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M:\Group\Lakossági Üzletág\4_Jelzáloghitelek\1_Jelzáloghitel kalkulátor\Támogatott\"/>
    </mc:Choice>
  </mc:AlternateContent>
  <workbookProtection workbookAlgorithmName="SHA-512" workbookHashValue="0REcEqaC/Mmw99PEhOhtpkTIcTkHGjE0RncXLraYOovd/SqBw9T/VK43L/CcT+yzzjW5gIBr+1NedyFRP+5FAQ==" workbookSaltValue="YxOxscg+JTGQUGp99Q0Xjw==" workbookSpinCount="100000" lockStructure="1"/>
  <bookViews>
    <workbookView xWindow="0" yWindow="0" windowWidth="23040" windowHeight="8328" tabRatio="881" firstSheet="1" activeTab="1"/>
  </bookViews>
  <sheets>
    <sheet name="Hirdetmény" sheetId="1" state="hidden" r:id="rId1"/>
    <sheet name="egyszerűsített_kalkulátor" sheetId="2" r:id="rId2"/>
    <sheet name="komplex kalkulátor" sheetId="3" state="hidden" r:id="rId3"/>
    <sheet name="paraméterek" sheetId="6" state="hidden" r:id="rId4"/>
    <sheet name="tr" sheetId="5" state="hidden" r:id="rId5"/>
    <sheet name="Ált tájék" sheetId="34" r:id="rId6"/>
    <sheet name="Személyes tájék" sheetId="35" state="hidden" r:id="rId7"/>
    <sheet name="Jz.kötelezett tájék" sheetId="30" r:id="rId8"/>
    <sheet name="Törl.r_Jöv változása_tájék" sheetId="29" r:id="rId9"/>
    <sheet name="Előterjesztés" sheetId="19" state="hidden" r:id="rId10"/>
    <sheet name="Kalkulációs adatlap" sheetId="4" state="hidden" r:id="rId11"/>
    <sheet name="Kölcsön adatai_igény" sheetId="7" state="hidden" r:id="rId12"/>
    <sheet name="Igénylő adatai_igény" sheetId="40" state="hidden" r:id="rId13"/>
    <sheet name="Ingatlan adatai_igény" sheetId="41" state="hidden" r:id="rId14"/>
    <sheet name="munkáltatói" sheetId="42" state="hidden" r:id="rId15"/>
    <sheet name="Termékösszehasonlító tábla" sheetId="13" state="hidden" r:id="rId16"/>
    <sheet name="jövedelemtípusok" sheetId="27" state="hidden" r:id="rId17"/>
    <sheet name="Településlista" sheetId="43" state="hidden" r:id="rId18"/>
    <sheet name="Benyújtandó dok" sheetId="44" state="hidden" r:id="rId19"/>
    <sheet name="Csatolt dokumentumok" sheetId="31" state="hidden" r:id="rId20"/>
    <sheet name="Munka1" sheetId="39" state="hidden" r:id="rId21"/>
  </sheets>
  <externalReferences>
    <externalReference r:id="rId22"/>
    <externalReference r:id="rId23"/>
    <externalReference r:id="rId24"/>
    <externalReference r:id="rId25"/>
    <externalReference r:id="rId26"/>
    <externalReference r:id="rId27"/>
  </externalReferences>
  <definedNames>
    <definedName name="aaa" localSheetId="5">#REF!</definedName>
    <definedName name="aaa" localSheetId="18">#REF!</definedName>
    <definedName name="aaa" localSheetId="14">#REF!</definedName>
    <definedName name="aaa">#REF!</definedName>
    <definedName name="admindij" localSheetId="18">[1]Hirdetmény!$O$10</definedName>
    <definedName name="admindij" localSheetId="12">[2]Hirdetmény!$P$10</definedName>
    <definedName name="admindij" localSheetId="13">[3]Hirdetmény!$P$10</definedName>
    <definedName name="admindij" localSheetId="14">[4]Hirdetmény!$P$10</definedName>
    <definedName name="admindij">Hirdetmény!$AA$12</definedName>
    <definedName name="aktualisbubor" localSheetId="18">[1]Hirdetmény!$E$36</definedName>
    <definedName name="aktualisbubor" localSheetId="12">[2]Hirdetmény!$E$38</definedName>
    <definedName name="aktualisbubor" localSheetId="13">[3]Hirdetmény!$E$38</definedName>
    <definedName name="aktualisbubor" localSheetId="14">[4]Hirdetmény!$E$38</definedName>
    <definedName name="aktualisbubor" localSheetId="17">[5]Hirdetmény!$E$44</definedName>
    <definedName name="aktualisbubor">Hirdetmény!$E$42</definedName>
    <definedName name="deviza" localSheetId="18">[1]Előterjesztés!$R$82:$R$84</definedName>
    <definedName name="deviza" localSheetId="12">[2]Előterjesztés!$R$82:$R$84</definedName>
    <definedName name="deviza" localSheetId="13">[3]Előterjesztés!$R$82:$R$84</definedName>
    <definedName name="deviza" localSheetId="14">[4]Előterjesztés!$R$82:$R$84</definedName>
    <definedName name="deviza" localSheetId="17">[5]Előterjesztés!$R$82:$R$84</definedName>
    <definedName name="deviza">Előterjesztés!$R$82:$R$84</definedName>
    <definedName name="egyébjöv" localSheetId="18">[1]paraméterek!$A$106:$A$118</definedName>
    <definedName name="egyébjöv" localSheetId="12">[2]paraméterek!$A$106:$A$118</definedName>
    <definedName name="egyébjöv" localSheetId="13">[3]paraméterek!$A$106:$A$118</definedName>
    <definedName name="egyébjöv" localSheetId="14">[4]paraméterek!$A$106:$A$118</definedName>
    <definedName name="egyébjöv" localSheetId="17">[5]paraméterek!$A$106:$A$118</definedName>
    <definedName name="egyébjöv">paraméterek!$A$106:$A$118</definedName>
    <definedName name="életbiztosítás_fizetésének_gyakorisága" localSheetId="18">[5]paraméterek!$B$313:$B$316</definedName>
    <definedName name="életbiztosítás_fizetésének_gyakorisága">[5]paraméterek!$B$313:$B$316</definedName>
    <definedName name="EN_munk" localSheetId="18">#REF!</definedName>
    <definedName name="EN_munk">#REF!</definedName>
    <definedName name="értékesíthetőség" localSheetId="18">[1]Előterjesztés!$R$34:$R$37</definedName>
    <definedName name="értékesíthetőség" localSheetId="12">[2]Előterjesztés!$R$34:$R$37</definedName>
    <definedName name="értékesíthetőség" localSheetId="13">[3]Előterjesztés!$R$34:$R$37</definedName>
    <definedName name="értékesíthetőség" localSheetId="14">[4]Előterjesztés!$R$34:$R$37</definedName>
    <definedName name="értékesíthetőség" localSheetId="17">[5]Előterjesztés!$R$34:$R$37</definedName>
    <definedName name="értékesíthetőség">Előterjesztés!$R$34:$R$37</definedName>
    <definedName name="fedezetbejegyzesidij" localSheetId="18">[1]Hirdetmény!$O$12</definedName>
    <definedName name="fedezetbejegyzesidij" localSheetId="12">[2]Hirdetmény!$P$12</definedName>
    <definedName name="fedezetbejegyzesidij" localSheetId="13">[3]Hirdetmény!$P$12</definedName>
    <definedName name="fedezetbejegyzesidij" localSheetId="14">[4]Hirdetmény!$P$12</definedName>
    <definedName name="fedezetbejegyzesidij" localSheetId="17">[5]Hirdetmény!$O$12</definedName>
    <definedName name="fedezetbejegyzesidij">Hirdetmény!$AA$14</definedName>
    <definedName name="fedezetertekelesidij" localSheetId="18">[1]Hirdetmény!$O$6</definedName>
    <definedName name="fedezetertekelesidij" localSheetId="12">[2]Hirdetmény!$P$6</definedName>
    <definedName name="fedezetertekelesidij" localSheetId="13">[3]Hirdetmény!$P$6</definedName>
    <definedName name="fedezetertekelesidij" localSheetId="14">[4]Hirdetmény!$P$6</definedName>
    <definedName name="fedezetertekelesidij" localSheetId="17">[5]Hirdetmény!$O$6</definedName>
    <definedName name="fedezetertekelesidij">Hirdetmény!$AA$7</definedName>
    <definedName name="fennállótőke" localSheetId="18">OFFSET('[1]komplex kalkulátor'!$D$348,0,0,'[1]komplex kalkulátor'!$K$5,1)</definedName>
    <definedName name="fennállótőke" localSheetId="12">OFFSET('[2]komplex kalkulátor'!$D$350,0,0,'[2]komplex kalkulátor'!$K$5,1)</definedName>
    <definedName name="fennállótőke" localSheetId="13">OFFSET(#REF!,0,0,#REF!,1)</definedName>
    <definedName name="fennállótőke" localSheetId="14">OFFSET('[4]komplex kalkulátor'!$D$350,0,0,'[4]komplex kalkulátor'!$K$5,1)</definedName>
    <definedName name="fennállótőke" localSheetId="17">OFFSET('[5]komplex kalkulátor'!$D$326,0,0,'[5]komplex kalkulátor'!$K$5,1)</definedName>
    <definedName name="fennállótőke">OFFSET('komplex kalkulátor'!$D$355,0,0,'komplex kalkulátor'!$K$5,1)</definedName>
    <definedName name="folyjut" localSheetId="18">[1]Hirdetmény!$O$8</definedName>
    <definedName name="folyjut" localSheetId="12">[2]Hirdetmény!$P$8</definedName>
    <definedName name="folyjut" localSheetId="13">[3]Hirdetmény!$P$8</definedName>
    <definedName name="folyjut" localSheetId="14">[4]Hirdetmény!$P$8</definedName>
    <definedName name="folyjut" localSheetId="17">[5]Hirdetmény!$O$8</definedName>
    <definedName name="folyjut">Hirdetmény!$AA$10</definedName>
    <definedName name="folyószámla" localSheetId="18">[1]paraméterek!$A$36:$A$38</definedName>
    <definedName name="folyószámla" localSheetId="12">[2]paraméterek!$A$36:$A$38</definedName>
    <definedName name="folyószámla" localSheetId="13">[3]paraméterek!$A$36:$A$38</definedName>
    <definedName name="folyószámla" localSheetId="14">[4]paraméterek!$A$36:$A$38</definedName>
    <definedName name="folyószámla" localSheetId="17">[5]paraméterek!$A$36:$A$38</definedName>
    <definedName name="folyószámla">paraméterek!$A$36:$A$38</definedName>
    <definedName name="gyerekszám" localSheetId="18">[1]paraméterek!$A$47:$A$50</definedName>
    <definedName name="gyerekszám" localSheetId="12">[2]paraméterek!$A$47:$A$50</definedName>
    <definedName name="gyerekszám" localSheetId="13">[3]paraméterek!$A$47:$A$50</definedName>
    <definedName name="gyerekszám" localSheetId="14">[4]paraméterek!$A$47:$A$50</definedName>
    <definedName name="gyerekszám" localSheetId="17">[5]paraméterek!$A$47:$A$50</definedName>
    <definedName name="gyerekszám">paraméterek!$A$47:$A$50</definedName>
    <definedName name="haromotvenfelett" localSheetId="18">[1]egyszerűsített_kalkulátor!$B$13</definedName>
    <definedName name="haromotvenfelett" localSheetId="12">[2]egyszerűsített_kalkulátor!$B$14</definedName>
    <definedName name="haromotvenfelett" localSheetId="13">[3]egyszerűsített_kalkulátor!$B$14</definedName>
    <definedName name="haromotvenfelett" localSheetId="14">[4]egyszerűsített_kalkulátor!$B$14</definedName>
    <definedName name="haromotvenfelett">egyszerűsített_kalkulátor!$B$14</definedName>
    <definedName name="haromotvenkedvezmeny" localSheetId="18">[1]Hirdetmény!$E$74</definedName>
    <definedName name="haromotvenkedvezmeny" localSheetId="12">[2]Hirdetmény!$E$76</definedName>
    <definedName name="haromotvenkedvezmeny" localSheetId="13">[3]Hirdetmény!$E$76</definedName>
    <definedName name="haromotvenkedvezmeny" localSheetId="14">[4]Hirdetmény!$E$76</definedName>
    <definedName name="haromotvenkedvezmeny">Hirdetmény!$E$80</definedName>
    <definedName name="havimegtak" localSheetId="18">[1]paraméterek!$A$42:$A$44</definedName>
    <definedName name="havimegtak" localSheetId="12">[2]paraméterek!$A$42:$A$44</definedName>
    <definedName name="havimegtak" localSheetId="13">[3]paraméterek!$A$42:$A$44</definedName>
    <definedName name="havimegtak" localSheetId="14">[4]paraméterek!$A$42:$A$44</definedName>
    <definedName name="havimegtak" localSheetId="17">[5]paraméterek!$A$42:$A$44</definedName>
    <definedName name="havimegtak">paraméterek!$A$42:$A$44</definedName>
    <definedName name="hitelcél" localSheetId="18">[1]paraméterek!$A$177:$A$184</definedName>
    <definedName name="hitelcél" localSheetId="12">[5]paraméterek!$A$177:$A$186</definedName>
    <definedName name="hitelcél" localSheetId="13">[5]paraméterek!$A$177:$A$186</definedName>
    <definedName name="hitelcél" localSheetId="14">[5]paraméterek!$A$177:$A$186</definedName>
    <definedName name="hitelcél" localSheetId="17">[5]paraméterek!$A$177:$A$186</definedName>
    <definedName name="hitelcél">paraméterek!$A$177:$A$187</definedName>
    <definedName name="hitelek" localSheetId="18">[1]paraméterek!$A$123:$A$132</definedName>
    <definedName name="hitelek" localSheetId="12">[2]paraméterek!$A$123:$A$132</definedName>
    <definedName name="hitelek" localSheetId="13">[3]paraméterek!$A$123:$A$132</definedName>
    <definedName name="hitelek" localSheetId="14">[4]paraméterek!$A$123:$A$132</definedName>
    <definedName name="hitelek" localSheetId="17">[5]paraméterek!$A$123:$A$132</definedName>
    <definedName name="hitelek">paraméterek!$A$123:$A$132</definedName>
    <definedName name="hitelösszeg" localSheetId="18">'[5]komplex kalkulátor'!$K$4</definedName>
    <definedName name="hitelösszeg">'[5]komplex kalkulátor'!$K$4</definedName>
    <definedName name="hitelösszeg_ek" localSheetId="18">[5]egyszerűsített_kalkulátor!$B$9</definedName>
    <definedName name="hitelösszeg_ek">[5]egyszerűsített_kalkulátor!$B$9</definedName>
    <definedName name="igazolás" localSheetId="18">[1]paraméterek!$A$136:$A$137</definedName>
    <definedName name="igazolás" localSheetId="12">[2]paraméterek!$A$136:$A$137</definedName>
    <definedName name="igazolás" localSheetId="13">[3]paraméterek!$A$136:$A$137</definedName>
    <definedName name="igazolás" localSheetId="14">[4]paraméterek!$A$136:$A$137</definedName>
    <definedName name="igazolás" localSheetId="17">[5]paraméterek!$A$136:$A$137</definedName>
    <definedName name="igazolás">paraméterek!$A$136:$A$137</definedName>
    <definedName name="igazolás_doksi" localSheetId="18">[1]Előterjesztés!$R$85:$R$86</definedName>
    <definedName name="igazolás_doksi" localSheetId="12">[2]Előterjesztés!$R$85:$R$86</definedName>
    <definedName name="igazolás_doksi" localSheetId="13">[3]Előterjesztés!$R$85:$R$86</definedName>
    <definedName name="igazolás_doksi" localSheetId="14">[4]Előterjesztés!$R$85:$R$86</definedName>
    <definedName name="igazolás_doksi" localSheetId="17">[5]Előterjesztés!$R$85:$R$86</definedName>
    <definedName name="igazolás_doksi">Előterjesztés!$R$85:$R$86</definedName>
    <definedName name="igennem" localSheetId="18">[1]paraméterek!$A$142:$A$143</definedName>
    <definedName name="igennem" localSheetId="12">[2]paraméterek!$A$142:$A$143</definedName>
    <definedName name="igennem" localSheetId="13">[3]paraméterek!$A$142:$A$143</definedName>
    <definedName name="igennem" localSheetId="14">[4]paraméterek!$A$142:$A$143</definedName>
    <definedName name="igennem" localSheetId="17">[5]paraméterek!$A$142:$A$143</definedName>
    <definedName name="igennem">paraméterek!$A$142:$A$143</definedName>
    <definedName name="ingatlan" localSheetId="18">[1]paraméterek!$A$53:$A$54</definedName>
    <definedName name="ingatlan" localSheetId="12">[2]paraméterek!$A$53:$A$54</definedName>
    <definedName name="ingatlan" localSheetId="13">[3]paraméterek!$A$53:$A$54</definedName>
    <definedName name="ingatlan" localSheetId="14">[4]paraméterek!$A$53:$A$54</definedName>
    <definedName name="ingatlan" localSheetId="17">[5]paraméterek!$A$53:$A$54</definedName>
    <definedName name="ingatlan">paraméterek!$A$53:$A$54</definedName>
    <definedName name="ingatlanjogi" localSheetId="18">[1]paraméterek!$A$201:$A$203</definedName>
    <definedName name="ingatlanjogi" localSheetId="12">[2]paraméterek!$A$202:$A$204</definedName>
    <definedName name="ingatlanjogi" localSheetId="13">[3]paraméterek!$A$202:$A$204</definedName>
    <definedName name="ingatlanjogi" localSheetId="14">[4]paraméterek!$A$202:$A$204</definedName>
    <definedName name="ingatlanjogi" localSheetId="17">[5]paraméterek!$A$203:$A$205</definedName>
    <definedName name="ingatlanjogi">paraméterek!$A$204:$A$206</definedName>
    <definedName name="ingbesorolás" localSheetId="18">[1]paraméterek!$A$207:$A$215</definedName>
    <definedName name="ingbesorolás" localSheetId="12">[2]paraméterek!$A$208:$A$216</definedName>
    <definedName name="ingbesorolás" localSheetId="13">[3]paraméterek!$A$208:$A$216</definedName>
    <definedName name="ingbesorolás" localSheetId="14">[4]paraméterek!$A$208:$A$216</definedName>
    <definedName name="ingbesorolás" localSheetId="17">[5]paraméterek!$A$209:$A$217</definedName>
    <definedName name="ingbesorolás">paraméterek!$A$210:$A$218</definedName>
    <definedName name="jóváírás" localSheetId="18">'[5]komplex kalkulátor'!$O$7</definedName>
    <definedName name="jóváírás">'[5]komplex kalkulátor'!$O$7</definedName>
    <definedName name="jóváírás_ek" localSheetId="18">[5]egyszerűsített_kalkulátor!$D$17</definedName>
    <definedName name="jóváírás_ek">[5]egyszerűsített_kalkulátor!$D$17</definedName>
    <definedName name="jöv" localSheetId="18">[1]paraméterek!$A$91:$A$95</definedName>
    <definedName name="jöv" localSheetId="12">[2]paraméterek!$A$91:$A$95</definedName>
    <definedName name="jöv" localSheetId="13">[3]paraméterek!$A$91:$A$95</definedName>
    <definedName name="jöv" localSheetId="14">[4]paraméterek!$A$91:$A$95</definedName>
    <definedName name="jöv">paraméterek!$A$91:$A$95</definedName>
    <definedName name="jövig" localSheetId="18">[1]paraméterek!$A$98:$A$100</definedName>
    <definedName name="jövig" localSheetId="12">[2]paraméterek!$A$98:$A$100</definedName>
    <definedName name="jövig" localSheetId="13">[3]paraméterek!$A$98:$A$100</definedName>
    <definedName name="jövig" localSheetId="14">[4]paraméterek!$A$98:$A$100</definedName>
    <definedName name="jövig" localSheetId="17">[5]paraméterek!$A$98:$A$100</definedName>
    <definedName name="jövig">paraméterek!$A$98:$A$100</definedName>
    <definedName name="jtm400alatt" localSheetId="18">[1]paraméterek!$C$287</definedName>
    <definedName name="jtm400alatt" localSheetId="12">[2]paraméterek!$C$289</definedName>
    <definedName name="jtm400alatt" localSheetId="13">[3]paraméterek!$C$289</definedName>
    <definedName name="jtm400alatt" localSheetId="14">[4]paraméterek!$C$289</definedName>
    <definedName name="jtm400alatt">paraméterek!$C$326</definedName>
    <definedName name="jtm400felett" localSheetId="18">[1]paraméterek!$C$288</definedName>
    <definedName name="jtm400felett" localSheetId="12">[2]paraméterek!$C$290</definedName>
    <definedName name="jtm400felett" localSheetId="13">[3]paraméterek!$C$290</definedName>
    <definedName name="jtm400felett" localSheetId="14">[4]paraméterek!$C$290</definedName>
    <definedName name="jtm400felett">paraméterek!$C$327</definedName>
    <definedName name="jtmhitelcél" localSheetId="18">[1]paraméterek!$A$291:$A$292</definedName>
    <definedName name="jtmhitelcél" localSheetId="12">[5]paraméterek!$A$300:$A$301</definedName>
    <definedName name="jtmhitelcél" localSheetId="13">[5]paraméterek!$A$300:$A$301</definedName>
    <definedName name="jtmhitelcél" localSheetId="14">[5]paraméterek!$A$300:$A$301</definedName>
    <definedName name="jtmhitelcél" localSheetId="17">[5]paraméterek!$A$300:$A$301</definedName>
    <definedName name="jtmhitelcél">paraméterek!$A$330:$A$331</definedName>
    <definedName name="kamattörl" localSheetId="18">OFFSET('[1]komplex kalkulátor'!$N$349,0,0,'[1]komplex kalkulátor'!$K$5,1)</definedName>
    <definedName name="kamattörl" localSheetId="12">OFFSET('[2]komplex kalkulátor'!$N$351,0,0,'[2]komplex kalkulátor'!$K$5,1)</definedName>
    <definedName name="kamattörl" localSheetId="13">OFFSET(#REF!,0,0,#REF!,1)</definedName>
    <definedName name="kamattörl" localSheetId="14">OFFSET('[4]komplex kalkulátor'!$N$351,0,0,'[4]komplex kalkulátor'!$K$5,1)</definedName>
    <definedName name="kamattörl" localSheetId="17">OFFSET('[5]komplex kalkulátor'!$N$327,0,0,'[5]komplex kalkulátor'!$K$5,1)</definedName>
    <definedName name="kamattörl">OFFSET('komplex kalkulátor'!$N$356,0,0,'komplex kalkulátor'!$K$5,1)</definedName>
    <definedName name="kamattörl_egysz" localSheetId="18">OFFSET([1]egyszerűsített_kalkulátor!$J$64,0,0,[1]egyszerűsített_kalkulátor!$B$9,1)</definedName>
    <definedName name="kamattörl_egysz" localSheetId="12">OFFSET([2]egyszerűsített_kalkulátor!$J$77,0,0,[2]egyszerűsített_kalkulátor!$B$10,1)</definedName>
    <definedName name="kamattörl_egysz" localSheetId="13">OFFSET([3]egyszerűsített_kalkulátor!$J$77,0,0,[3]egyszerűsített_kalkulátor!$B$10,1)</definedName>
    <definedName name="kamattörl_egysz" localSheetId="14">OFFSET([4]egyszerűsített_kalkulátor!$J$77,0,0,[4]egyszerűsített_kalkulátor!$B$10,1)</definedName>
    <definedName name="kamattörl_egysz" localSheetId="17">OFFSET([5]egyszerűsített_kalkulátor!$J$79,0,0,[5]egyszerűsített_kalkulátor!$B$11,1)</definedName>
    <definedName name="kamattörl_egysz">OFFSET(egyszerűsített_kalkulátor!$J$80,0,0,egyszerűsített_kalkulátor!$B$10,1)</definedName>
    <definedName name="KHR" localSheetId="18">[1]paraméterek!$A$84:$A$85</definedName>
    <definedName name="KHR" localSheetId="12">[2]paraméterek!$A$84:$A$85</definedName>
    <definedName name="KHR" localSheetId="13">[3]paraméterek!$A$84:$A$85</definedName>
    <definedName name="KHR" localSheetId="14">[4]paraméterek!$A$84:$A$85</definedName>
    <definedName name="KHR" localSheetId="17">[5]paraméterek!$A$84:$A$85</definedName>
    <definedName name="KHR">paraméterek!$A$84:$A$85</definedName>
    <definedName name="kiváltás" localSheetId="18">[1]paraméterek!$A$187:$A$188</definedName>
    <definedName name="kiváltás" localSheetId="12">[2]paraméterek!$A$188:$A$189</definedName>
    <definedName name="kiváltás" localSheetId="13">[3]paraméterek!$A$188:$A$189</definedName>
    <definedName name="kiváltás" localSheetId="14">[4]paraméterek!$A$188:$A$189</definedName>
    <definedName name="kiváltás" localSheetId="17">[5]paraméterek!$A$189:$A$190</definedName>
    <definedName name="kiváltás">paraméterek!$A$190:$A$191</definedName>
    <definedName name="kompl_haromotvenfelett" localSheetId="18">'[1]komplex kalkulátor'!$H$8</definedName>
    <definedName name="kompl_haromotvenfelett" localSheetId="12">'[2]komplex kalkulátor'!$H$8</definedName>
    <definedName name="kompl_haromotvenfelett" localSheetId="13">#REF!</definedName>
    <definedName name="kompl_haromotvenfelett" localSheetId="14">'[4]komplex kalkulátor'!$H$8</definedName>
    <definedName name="kompl_haromotvenfelett" localSheetId="17">'[6]komplex kalkulátor'!$H$8</definedName>
    <definedName name="kompl_haromotvenfelett">'komplex kalkulátor'!$H$8</definedName>
    <definedName name="kompl_ötszázfelett" localSheetId="18">'[5]komplex kalkulátor'!$H$8</definedName>
    <definedName name="kompl_ötszázfelett">'[5]komplex kalkulátor'!$H$8</definedName>
    <definedName name="kompl_rendszeresjöv" localSheetId="18">'[1]komplex kalkulátor'!$H$7</definedName>
    <definedName name="kompl_rendszeresjöv" localSheetId="12">'[2]komplex kalkulátor'!$H$7</definedName>
    <definedName name="kompl_rendszeresjöv" localSheetId="13">#REF!</definedName>
    <definedName name="kompl_rendszeresjöv" localSheetId="14">'[4]komplex kalkulátor'!$H$7</definedName>
    <definedName name="kompl_rendszeresjöv" localSheetId="17">'[5]komplex kalkulátor'!$H$7</definedName>
    <definedName name="kompl_rendszeresjöv">'komplex kalkulátor'!$H$7</definedName>
    <definedName name="kompl_tizmilliofelett" localSheetId="18">'[1]komplex kalkulátor'!$E$13</definedName>
    <definedName name="kompl_tizmilliofelett" localSheetId="12">'[6]komplex kalkulátor'!$E$13</definedName>
    <definedName name="kompl_tizmilliofelett" localSheetId="13">'[6]komplex kalkulátor'!$E$13</definedName>
    <definedName name="kompl_tizmilliofelett" localSheetId="14">'[6]komplex kalkulátor'!$E$13</definedName>
    <definedName name="kompl_tizmilliofelett" localSheetId="17">'[6]komplex kalkulátor'!$E$13</definedName>
    <definedName name="kompl_tizmilliofelett">'komplex kalkulátor'!$E$13</definedName>
    <definedName name="lakáscélú" localSheetId="18">[1]Előterjesztés!$R$80:$R$81</definedName>
    <definedName name="lakáscélú" localSheetId="12">[2]Előterjesztés!$R$80:$R$81</definedName>
    <definedName name="lakáscélú" localSheetId="13">[3]Előterjesztés!$R$80:$R$81</definedName>
    <definedName name="lakáscélú" localSheetId="14">[4]Előterjesztés!$R$80:$R$81</definedName>
    <definedName name="lakáscélú" localSheetId="17">[5]Előterjesztés!$R$80:$R$81</definedName>
    <definedName name="lakáscélú">Előterjesztés!$R$80:$R$81</definedName>
    <definedName name="létmin" localSheetId="18">[1]paraméterek!$O$1</definedName>
    <definedName name="létmin" localSheetId="12">[2]paraméterek!$O$1</definedName>
    <definedName name="létmin" localSheetId="13">[3]paraméterek!$O$1</definedName>
    <definedName name="létmin" localSheetId="14">[4]paraméterek!$O$1</definedName>
    <definedName name="létmin" localSheetId="17">[5]paraméterek!$O$1</definedName>
    <definedName name="létmin">paraméterek!$O$1</definedName>
    <definedName name="meghit" localSheetId="18">[1]paraméterek!$A$235:$A$236</definedName>
    <definedName name="meghit" localSheetId="12">[2]paraméterek!$A$236:$A$237</definedName>
    <definedName name="meghit" localSheetId="13">[3]paraméterek!$A$236:$A$237</definedName>
    <definedName name="meghit" localSheetId="14">[4]paraméterek!$A$236:$A$237</definedName>
    <definedName name="meghit" localSheetId="17">[5]paraméterek!$A$237:$A$238</definedName>
    <definedName name="meghit">paraméterek!$A$238:$A$239</definedName>
    <definedName name="morál" localSheetId="18">[1]paraméterek!$A$148:$A$150</definedName>
    <definedName name="morál" localSheetId="12">[2]paraméterek!$A$148:$A$150</definedName>
    <definedName name="morál" localSheetId="13">[3]paraméterek!$A$148:$A$150</definedName>
    <definedName name="morál" localSheetId="14">[4]paraméterek!$A$148:$A$150</definedName>
    <definedName name="morál" localSheetId="17">[5]paraméterek!$A$148:$A$150</definedName>
    <definedName name="morál">paraméterek!$A$148:$A$150</definedName>
    <definedName name="munka" localSheetId="18">[1]paraméterek!$A$154:$A$157</definedName>
    <definedName name="munka" localSheetId="12">[2]paraméterek!$A$154:$A$157</definedName>
    <definedName name="munka" localSheetId="13">[3]paraméterek!$A$154:$A$157</definedName>
    <definedName name="munka" localSheetId="14">[4]paraméterek!$A$154:$A$157</definedName>
    <definedName name="munka">paraméterek!$A$154:$A$157</definedName>
    <definedName name="munkabérátutaláskedv" localSheetId="18">[1]Hirdetmény!$E$72</definedName>
    <definedName name="munkabérátutaláskedv" localSheetId="12">[2]Hirdetmény!$E$74</definedName>
    <definedName name="munkabérátutaláskedv" localSheetId="13">[3]Hirdetmény!$E$74</definedName>
    <definedName name="munkabérátutaláskedv" localSheetId="14">[4]Hirdetmény!$E$74</definedName>
    <definedName name="munkabérátutaláskedv" localSheetId="17">[5]Hirdetmény!$E$50</definedName>
    <definedName name="munkabérátutaláskedv">Hirdetmény!$E$78</definedName>
    <definedName name="nyelvismeret" localSheetId="18">[1]paraméterek!$A$22:$A$32</definedName>
    <definedName name="nyelvismeret" localSheetId="12">[2]paraméterek!$A$22:$A$32</definedName>
    <definedName name="nyelvismeret" localSheetId="13">[3]paraméterek!$A$22:$A$32</definedName>
    <definedName name="nyelvismeret" localSheetId="14">[4]paraméterek!$A$22:$A$32</definedName>
    <definedName name="nyelvismeret" localSheetId="17">[5]paraméterek!$A$22:$A$32</definedName>
    <definedName name="nyelvismeret">paraméterek!$A$22:$A$32</definedName>
    <definedName name="_xlnm.Print_Area" localSheetId="18">'Benyújtandó dok'!$A$1:$G$166</definedName>
    <definedName name="_xlnm.Print_Area" localSheetId="0">Hirdetmény!$H$1:$AD$201</definedName>
    <definedName name="_xlnm.Print_Area" localSheetId="12">'Igénylő adatai_igény'!$A$1:$AL$196</definedName>
    <definedName name="_xlnm.Print_Area" localSheetId="13">'Ingatlan adatai_igény'!$A$1:$AL$111</definedName>
    <definedName name="_xlnm.Print_Area" localSheetId="2">'komplex kalkulátor'!$A$1:$N$306</definedName>
    <definedName name="_xlnm.Print_Area" localSheetId="6">'Személyes tájék'!$A$4:$G$161</definedName>
    <definedName name="OLE_LINK187" localSheetId="18">'Benyújtandó dok'!#REF!</definedName>
    <definedName name="otszazfelett" localSheetId="18">[5]egyszerűsített_kalkulátor!$B$19</definedName>
    <definedName name="otszazfelett">[5]egyszerűsített_kalkulátor!$B$19</definedName>
    <definedName name="otszazkedvezmeny" localSheetId="18">[5]Hirdetmény!$E$53</definedName>
    <definedName name="otszazkedvezmeny">[5]Hirdetmény!$E$53</definedName>
    <definedName name="Print_Area" localSheetId="5">'Ált tájék'!$A$1:$B$32</definedName>
    <definedName name="Print_Area" localSheetId="1">egyszerűsített_kalkulátor!$A$1:$G$69</definedName>
    <definedName name="Print_Area" localSheetId="0">Hirdetmény!$G$1:$AD$201</definedName>
    <definedName name="Print_Area" localSheetId="12">'Igénylő adatai_igény'!$A$1:$AK$196</definedName>
    <definedName name="Print_Area" localSheetId="13">'Ingatlan adatai_igény'!$A$1:$AK$111</definedName>
    <definedName name="Print_Area" localSheetId="7">'Jz.kötelezett tájék'!$A$1:$H$22</definedName>
    <definedName name="Print_Area" localSheetId="10">'Kalkulációs adatlap'!$A$1:$D$44</definedName>
    <definedName name="Print_Area" localSheetId="2">'komplex kalkulátor'!$A$1:$N$295</definedName>
    <definedName name="Print_Area" localSheetId="11">'Kölcsön adatai_igény'!$A$1:$AO$89</definedName>
    <definedName name="Print_Area" localSheetId="14">munkáltatói!$A$1:$AJ$96</definedName>
    <definedName name="Print_Area" localSheetId="6">'Személyes tájék'!$A$3:$H$157</definedName>
    <definedName name="puffer" localSheetId="18">[1]Előterjesztés!$R$90</definedName>
    <definedName name="puffer" localSheetId="12">[2]Előterjesztés!$R$90</definedName>
    <definedName name="puffer" localSheetId="13">[3]Előterjesztés!$R$90</definedName>
    <definedName name="puffer" localSheetId="14">[4]Előterjesztés!$R$90</definedName>
    <definedName name="puffer" localSheetId="17">[5]Előterjesztés!$R$90</definedName>
    <definedName name="puffer">Előterjesztés!$R$90</definedName>
    <definedName name="rendszeresjöv" localSheetId="18">[1]egyszerűsített_kalkulátor!$B$11</definedName>
    <definedName name="rendszeresjöv" localSheetId="12">[2]egyszerűsített_kalkulátor!$B$12</definedName>
    <definedName name="rendszeresjöv" localSheetId="13">[3]egyszerűsített_kalkulátor!$B$12</definedName>
    <definedName name="rendszeresjöv" localSheetId="14">[4]egyszerűsített_kalkulátor!$B$12</definedName>
    <definedName name="rendszeresjöv" localSheetId="17">[5]egyszerűsített_kalkulátor!$B$17</definedName>
    <definedName name="rendszeresjöv">egyszerűsített_kalkulátor!$B$12</definedName>
    <definedName name="sor13idrészlet_komplex" localSheetId="6">'Személyes tájék'!$N$86</definedName>
    <definedName name="sor13ikrészlet" localSheetId="6">'Személyes tájék'!$J$86</definedName>
    <definedName name="szabfelár" localSheetId="18">[1]Hirdetmény!$E$55</definedName>
    <definedName name="szabfelár" localSheetId="12">[2]Hirdetmény!$E$57</definedName>
    <definedName name="szabfelár" localSheetId="13">[3]Hirdetmény!$E$57</definedName>
    <definedName name="szabfelár" localSheetId="14">[4]Hirdetmény!$E$57</definedName>
    <definedName name="szabfelár" localSheetId="17">[5]Hirdetmény!#REF!</definedName>
    <definedName name="szabfelár">Hirdetmény!$E$61</definedName>
    <definedName name="számlacsomagok" localSheetId="18">[1]paraméterek!$A$263:$A$284</definedName>
    <definedName name="számlacsomagok" localSheetId="12">[2]paraméterek!$A$264:$A$286</definedName>
    <definedName name="számlacsomagok" localSheetId="13">[3]paraméterek!$A$264:$A$286</definedName>
    <definedName name="számlacsomagok" localSheetId="14">[4]paraméterek!$A$264:$A$286</definedName>
    <definedName name="számlacsomagok" localSheetId="17">[5]paraméterek!$A$265:$A$293</definedName>
    <definedName name="számlacsomagok">paraméterek!$A$290:$A$319</definedName>
    <definedName name="szerepek" localSheetId="18">[1]Előterjesztés!$R$2:$R$6</definedName>
    <definedName name="szerepek" localSheetId="12">[2]Előterjesztés!$R$2:$R$6</definedName>
    <definedName name="szerepek" localSheetId="13">[3]Előterjesztés!$R$2:$R$6</definedName>
    <definedName name="szerepek" localSheetId="14">[4]Előterjesztés!$R$2:$R$6</definedName>
    <definedName name="szerepek" localSheetId="17">[5]Előterjesztés!$R$2:$R$6</definedName>
    <definedName name="szerepek">Előterjesztés!$R$2:$R$6</definedName>
    <definedName name="teherstat" localSheetId="18">[1]paraméterek!$A$229:$A$232</definedName>
    <definedName name="teherstat" localSheetId="12">[2]paraméterek!$A$230:$A$233</definedName>
    <definedName name="teherstat" localSheetId="13">[3]paraméterek!$A$230:$A$233</definedName>
    <definedName name="teherstat" localSheetId="14">[4]paraméterek!$A$230:$A$233</definedName>
    <definedName name="teherstat" localSheetId="17">[5]paraméterek!$A$231:$A$234</definedName>
    <definedName name="teherstat">paraméterek!$A$232:$A$235</definedName>
    <definedName name="településlista" localSheetId="18">[1]paraméterek!$W$2:$W$123</definedName>
    <definedName name="településlista" localSheetId="12">[2]paraméterek!$W$2:$W$123</definedName>
    <definedName name="településlista" localSheetId="13">[3]paraméterek!$W$2:$W$123</definedName>
    <definedName name="településlista" localSheetId="14">[4]paraméterek!$W$2:$W$123</definedName>
    <definedName name="településlista" localSheetId="17">[5]paraméterek!$W$2:$W$314</definedName>
    <definedName name="településlista">paraméterek!$W$2:$W$123</definedName>
    <definedName name="terhek" localSheetId="18">[1]paraméterek!$A$219:$A$225</definedName>
    <definedName name="terhek" localSheetId="12">[2]paraméterek!$A$220:$A$226</definedName>
    <definedName name="terhek" localSheetId="13">[3]paraméterek!$A$220:$A$226</definedName>
    <definedName name="terhek" localSheetId="14">[4]paraméterek!$A$220:$A$226</definedName>
    <definedName name="terhek" localSheetId="17">[5]paraméterek!$A$221:$A$227</definedName>
    <definedName name="terhek">paraméterek!$A$222:$A$228</definedName>
    <definedName name="termék" localSheetId="18">[1]paraméterek!$A$173:$A$174</definedName>
    <definedName name="termék" localSheetId="12">[5]paraméterek!$A$172:$A$173</definedName>
    <definedName name="termék" localSheetId="13">[5]paraméterek!$A$172:$A$173</definedName>
    <definedName name="termék" localSheetId="14">[5]paraméterek!$A$172:$A$173</definedName>
    <definedName name="termék" localSheetId="17">[5]paraméterek!$A$172:$A$173</definedName>
    <definedName name="termék">paraméterek!$A$173:$A$174</definedName>
    <definedName name="tizenotmilliofelett" localSheetId="18">[5]egyszerűsített_kalkulátor!#REF!</definedName>
    <definedName name="tizenotmilliofelett">[5]egyszerűsített_kalkulátor!#REF!</definedName>
    <definedName name="tizmilliofelett" localSheetId="18">[1]egyszerűsített_kalkulátor!$B$8</definedName>
    <definedName name="tizmilliofelett">egyszerűsített_kalkulátor!$B$9</definedName>
    <definedName name="tizmilliokedvezmeny" localSheetId="18">[1]Hirdetmény!$E$75</definedName>
    <definedName name="tizmilliokedvezmeny">Hirdetmény!$E$81</definedName>
    <definedName name="tőketörl" localSheetId="18">OFFSET('[1]komplex kalkulátor'!$H$349,0,0,'[1]komplex kalkulátor'!$K$5,1)</definedName>
    <definedName name="tőketörl" localSheetId="12">OFFSET('[2]komplex kalkulátor'!$H$351,0,0,'[2]komplex kalkulátor'!$K$5,1)</definedName>
    <definedName name="tőketörl" localSheetId="13">OFFSET(#REF!,0,0,#REF!,1)</definedName>
    <definedName name="tőketörl" localSheetId="14">OFFSET('[4]komplex kalkulátor'!$H$351,0,0,'[4]komplex kalkulátor'!$K$5,1)</definedName>
    <definedName name="tőketörl" localSheetId="17">OFFSET('[5]komplex kalkulátor'!$H$327,0,0,'[5]komplex kalkulátor'!$K$5,1)</definedName>
    <definedName name="tőketörl">OFFSET('komplex kalkulátor'!$H$356,0,0,'komplex kalkulátor'!$K$5,1)</definedName>
    <definedName name="tőketörl_egysz" localSheetId="18">OFFSET([1]egyszerűsített_kalkulátor!$H$64,0,0,[1]egyszerűsített_kalkulátor!$B$9,1)</definedName>
    <definedName name="tőketörl_egysz" localSheetId="12">OFFSET([2]egyszerűsített_kalkulátor!$H$77,0,0,[2]egyszerűsített_kalkulátor!$B$10,1)</definedName>
    <definedName name="tőketörl_egysz" localSheetId="13">OFFSET([3]egyszerűsített_kalkulátor!$H$77,0,0,[3]egyszerűsített_kalkulátor!$B$10,1)</definedName>
    <definedName name="tőketörl_egysz" localSheetId="14">OFFSET([4]egyszerűsített_kalkulátor!$H$77,0,0,[4]egyszerűsített_kalkulátor!$B$10,1)</definedName>
    <definedName name="tőketörl_egysz" localSheetId="17">OFFSET([5]egyszerűsített_kalkulátor!$H$73,0,0,[5]egyszerűsített_kalkulátor!$B$11,1)</definedName>
    <definedName name="tőketörl_egysz">OFFSET(egyszerűsített_kalkulátor!$H$80,0,0,egyszerűsített_kalkulátor!$B$10,1)</definedName>
    <definedName name="tullapktg" localSheetId="18">[1]Hirdetmény!$V$7</definedName>
    <definedName name="tullapktg" localSheetId="12">[2]Hirdetmény!$W$7</definedName>
    <definedName name="tullapktg" localSheetId="13">[3]Hirdetmény!$W$7</definedName>
    <definedName name="tullapktg" localSheetId="14">[4]Hirdetmény!$W$7</definedName>
    <definedName name="tullapktg" localSheetId="17">[5]Hirdetmény!#REF!</definedName>
    <definedName name="tullapktg">Hirdetmény!$AH$8</definedName>
    <definedName name="ügyérték">paraméterek!$E$6</definedName>
    <definedName name="végzettség" localSheetId="18">[1]paraméterek!$A$11:$A$18</definedName>
    <definedName name="végzettség" localSheetId="12">[2]paraméterek!$A$11:$A$18</definedName>
    <definedName name="végzettség" localSheetId="13">[3]paraméterek!$A$11:$A$18</definedName>
    <definedName name="végzettség" localSheetId="14">[4]paraméterek!$A$11:$A$18</definedName>
    <definedName name="végzettség" localSheetId="17">[5]paraméterek!$A$11:$A$18</definedName>
    <definedName name="végzettség">paraméterek!$A$11:$A$18</definedName>
    <definedName name="vonatkozóingatlan" localSheetId="18">[1]Előterjesztés!$U$3:$U$9</definedName>
    <definedName name="vonatkozóingatlan" localSheetId="12">[2]Előterjesztés!$U$3:$U$9</definedName>
    <definedName name="vonatkozóingatlan" localSheetId="13">[3]Előterjesztés!$U$3:$U$9</definedName>
    <definedName name="vonatkozóingatlan" localSheetId="14">[4]Előterjesztés!$U$3:$U$9</definedName>
    <definedName name="vonatkozóingatlan" localSheetId="17">[5]Előterjesztés!$U$3:$U$9</definedName>
    <definedName name="vonatkozóingatlan">Előterjesztés!$U$3:$U$9</definedName>
    <definedName name="Z_70D7E5A3_5109_46CA_A82E_1B68CB77D862_.wvu.PrintArea" localSheetId="5" hidden="1">'Ált tájék'!$A$1:$B$32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32" i="1" l="1"/>
  <c r="E286" i="3" l="1"/>
  <c r="F37" i="2" l="1"/>
  <c r="F45" i="35" s="1"/>
  <c r="F139" i="35"/>
  <c r="F43" i="2"/>
  <c r="K294" i="3" l="1"/>
  <c r="E296" i="3"/>
  <c r="P80" i="2"/>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356" i="3"/>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K295" i="3" l="1"/>
  <c r="E222" i="3"/>
  <c r="F15" i="2"/>
  <c r="F58" i="2"/>
  <c r="AA19" i="1" l="1"/>
  <c r="T19" i="1"/>
  <c r="AD46" i="1" l="1"/>
  <c r="AB46" i="1"/>
  <c r="E40" i="1" l="1"/>
  <c r="D28" i="3" l="1"/>
  <c r="J299" i="6"/>
  <c r="J302" i="6" s="1"/>
  <c r="A57" i="2"/>
  <c r="J303" i="6" l="1"/>
  <c r="J304" i="6"/>
  <c r="J305" i="6"/>
  <c r="I299" i="6" l="1"/>
  <c r="I303" i="6" l="1"/>
  <c r="B56" i="2" s="1"/>
  <c r="I305" i="6"/>
  <c r="I302" i="6"/>
  <c r="B54" i="2" s="1"/>
  <c r="I304" i="6"/>
  <c r="AB44" i="1"/>
  <c r="BA224" i="1" l="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BA223" i="1"/>
  <c r="AQ223" i="1"/>
  <c r="AX223" i="1"/>
  <c r="AW222" i="1"/>
  <c r="AM222" i="1"/>
  <c r="AW223" i="1" l="1"/>
  <c r="AW224" i="1" s="1"/>
  <c r="AW225" i="1" l="1"/>
  <c r="D29" i="3"/>
  <c r="F64" i="2"/>
  <c r="F66" i="2" s="1"/>
  <c r="A58" i="2"/>
  <c r="AW226" i="1" l="1"/>
  <c r="D292" i="3"/>
  <c r="E26" i="2"/>
  <c r="AW227" i="1" l="1"/>
  <c r="B16" i="13"/>
  <c r="B15" i="13"/>
  <c r="C14" i="13"/>
  <c r="B14" i="13"/>
  <c r="C12" i="13"/>
  <c r="B12" i="13"/>
  <c r="B25" i="4"/>
  <c r="L11" i="4"/>
  <c r="K11" i="4"/>
  <c r="J11" i="4"/>
  <c r="I11" i="4"/>
  <c r="H11" i="4"/>
  <c r="G11" i="4"/>
  <c r="F11" i="4"/>
  <c r="E11" i="4"/>
  <c r="C9" i="4"/>
  <c r="C7" i="4"/>
  <c r="C5" i="4"/>
  <c r="E109" i="19"/>
  <c r="E108" i="19"/>
  <c r="E107" i="19"/>
  <c r="E106" i="19"/>
  <c r="E105" i="19"/>
  <c r="E104" i="19"/>
  <c r="E103" i="19"/>
  <c r="E102" i="19"/>
  <c r="E101" i="19"/>
  <c r="E100" i="19"/>
  <c r="E99" i="19"/>
  <c r="E98" i="19"/>
  <c r="B84" i="19"/>
  <c r="B90" i="19" s="1"/>
  <c r="B91" i="19" s="1"/>
  <c r="B69" i="19"/>
  <c r="A68" i="19"/>
  <c r="A67" i="19"/>
  <c r="A66" i="19"/>
  <c r="A65" i="19"/>
  <c r="A64" i="19"/>
  <c r="B50" i="19"/>
  <c r="A49" i="19"/>
  <c r="A48" i="19"/>
  <c r="A47" i="19"/>
  <c r="A46" i="19"/>
  <c r="A45" i="19"/>
  <c r="B31" i="19"/>
  <c r="A30" i="19"/>
  <c r="A29" i="19"/>
  <c r="A28" i="19"/>
  <c r="A27" i="19"/>
  <c r="A10" i="19"/>
  <c r="A9" i="19"/>
  <c r="A8" i="19"/>
  <c r="A7" i="19"/>
  <c r="A6" i="19"/>
  <c r="A5" i="19"/>
  <c r="A4" i="19"/>
  <c r="A26" i="19" s="1"/>
  <c r="F3" i="19"/>
  <c r="G3" i="19" s="1"/>
  <c r="A3" i="19"/>
  <c r="A25" i="19" s="1"/>
  <c r="B34" i="29"/>
  <c r="B28" i="29" s="1"/>
  <c r="B22" i="29"/>
  <c r="B20" i="29"/>
  <c r="B18" i="29"/>
  <c r="B14" i="29"/>
  <c r="B12" i="29"/>
  <c r="B10" i="29"/>
  <c r="B14" i="30"/>
  <c r="B13" i="30"/>
  <c r="B3" i="30"/>
  <c r="F141" i="35"/>
  <c r="F140" i="35"/>
  <c r="F138" i="35"/>
  <c r="F137" i="35"/>
  <c r="F136" i="35"/>
  <c r="B133" i="35"/>
  <c r="B132" i="35"/>
  <c r="F128" i="35"/>
  <c r="F127" i="35"/>
  <c r="F126" i="35"/>
  <c r="F123" i="35"/>
  <c r="F114" i="35"/>
  <c r="C72" i="35"/>
  <c r="B69" i="35"/>
  <c r="C63" i="35"/>
  <c r="B22" i="35"/>
  <c r="F21" i="35"/>
  <c r="C7" i="35"/>
  <c r="K2" i="35"/>
  <c r="L2" i="35" s="1"/>
  <c r="K1" i="35"/>
  <c r="L1" i="35" s="1"/>
  <c r="H77" i="5"/>
  <c r="H76" i="5"/>
  <c r="H75" i="5"/>
  <c r="H74" i="5"/>
  <c r="H73" i="5"/>
  <c r="J68" i="5"/>
  <c r="J67" i="5"/>
  <c r="J66" i="5"/>
  <c r="K65" i="5"/>
  <c r="K66" i="5" s="1"/>
  <c r="K67" i="5" s="1"/>
  <c r="K68" i="5" s="1"/>
  <c r="J65" i="5"/>
  <c r="J64" i="5"/>
  <c r="B58" i="5"/>
  <c r="A58" i="5"/>
  <c r="C57" i="5" s="1"/>
  <c r="A57" i="5"/>
  <c r="C56" i="5" s="1"/>
  <c r="A56" i="5"/>
  <c r="C55" i="5" s="1"/>
  <c r="A55" i="5"/>
  <c r="C54" i="5" s="1"/>
  <c r="A54" i="5"/>
  <c r="C53" i="5" s="1"/>
  <c r="A53" i="5"/>
  <c r="U49" i="5"/>
  <c r="B48" i="5"/>
  <c r="A48" i="5"/>
  <c r="C47" i="5" s="1"/>
  <c r="A47" i="5"/>
  <c r="C46" i="5" s="1"/>
  <c r="A46" i="5"/>
  <c r="C45" i="5" s="1"/>
  <c r="A45" i="5"/>
  <c r="C44" i="5" s="1"/>
  <c r="A44" i="5"/>
  <c r="C43" i="5" s="1"/>
  <c r="A43" i="5"/>
  <c r="AN39" i="5"/>
  <c r="U39" i="5"/>
  <c r="H36" i="5"/>
  <c r="Y35" i="5"/>
  <c r="B28" i="5"/>
  <c r="A28" i="5"/>
  <c r="C27" i="5" s="1"/>
  <c r="A27" i="5"/>
  <c r="C26" i="5" s="1"/>
  <c r="A26" i="5"/>
  <c r="C25" i="5" s="1"/>
  <c r="A25" i="5"/>
  <c r="C24" i="5" s="1"/>
  <c r="A24" i="5"/>
  <c r="C23" i="5" s="1"/>
  <c r="A23" i="5"/>
  <c r="U19" i="5"/>
  <c r="C17" i="5"/>
  <c r="B17" i="5"/>
  <c r="C16" i="5"/>
  <c r="B16" i="5"/>
  <c r="C15" i="5"/>
  <c r="B15" i="5"/>
  <c r="B25" i="5" s="1"/>
  <c r="C14" i="5"/>
  <c r="B14" i="5"/>
  <c r="B24" i="5" s="1"/>
  <c r="C13" i="5"/>
  <c r="B13" i="5"/>
  <c r="AI12" i="5"/>
  <c r="AH12" i="5"/>
  <c r="AG12" i="5"/>
  <c r="AI11" i="5"/>
  <c r="AI10" i="5"/>
  <c r="AI9" i="5"/>
  <c r="U9" i="5"/>
  <c r="H6" i="5"/>
  <c r="H5" i="5"/>
  <c r="B338" i="6"/>
  <c r="B337" i="6"/>
  <c r="B284" i="6"/>
  <c r="B285" i="6" s="1"/>
  <c r="B286" i="6" s="1"/>
  <c r="E20" i="3" s="1"/>
  <c r="B279" i="6"/>
  <c r="B280" i="6" s="1"/>
  <c r="B281" i="6" s="1"/>
  <c r="F45" i="2" s="1"/>
  <c r="I259" i="6"/>
  <c r="H259" i="6"/>
  <c r="E262" i="6" s="1"/>
  <c r="G259" i="6"/>
  <c r="F259" i="6"/>
  <c r="D259" i="6"/>
  <c r="C259" i="6"/>
  <c r="B262" i="6" s="1"/>
  <c r="B259" i="6"/>
  <c r="A259" i="6"/>
  <c r="A81" i="6"/>
  <c r="B80" i="6"/>
  <c r="A80" i="6"/>
  <c r="B79" i="6"/>
  <c r="A79" i="6"/>
  <c r="B78" i="6"/>
  <c r="A78" i="6"/>
  <c r="B77" i="6"/>
  <c r="A77" i="6"/>
  <c r="B76" i="6"/>
  <c r="A76"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61" i="6"/>
  <c r="A61" i="6"/>
  <c r="B60" i="6"/>
  <c r="A60" i="6"/>
  <c r="B59" i="6"/>
  <c r="A59" i="6"/>
  <c r="B58" i="6"/>
  <c r="L9" i="6"/>
  <c r="L10" i="6" s="1"/>
  <c r="L11" i="6" s="1"/>
  <c r="L12" i="6" s="1"/>
  <c r="L13" i="6" s="1"/>
  <c r="L14" i="6" s="1"/>
  <c r="L15" i="6" s="1"/>
  <c r="L16" i="6" s="1"/>
  <c r="L17" i="6" s="1"/>
  <c r="L18" i="6" s="1"/>
  <c r="L19" i="6" s="1"/>
  <c r="L20" i="6" s="1"/>
  <c r="L21" i="6" s="1"/>
  <c r="L22" i="6" s="1"/>
  <c r="L23" i="6" s="1"/>
  <c r="L24" i="6" s="1"/>
  <c r="R8" i="6"/>
  <c r="R9" i="6" s="1"/>
  <c r="R10" i="6" s="1"/>
  <c r="R11" i="6" s="1"/>
  <c r="R12" i="6" s="1"/>
  <c r="R13" i="6" s="1"/>
  <c r="R14" i="6" s="1"/>
  <c r="R15" i="6" s="1"/>
  <c r="R16" i="6" s="1"/>
  <c r="R17" i="6" s="1"/>
  <c r="R18" i="6" s="1"/>
  <c r="R19" i="6" s="1"/>
  <c r="R20" i="6" s="1"/>
  <c r="R21" i="6" s="1"/>
  <c r="R22" i="6" s="1"/>
  <c r="R23" i="6" s="1"/>
  <c r="R24" i="6" s="1"/>
  <c r="O8" i="6"/>
  <c r="O9" i="6" s="1"/>
  <c r="O10" i="6" s="1"/>
  <c r="O11" i="6" s="1"/>
  <c r="O12" i="6" s="1"/>
  <c r="O13" i="6" s="1"/>
  <c r="O14" i="6" s="1"/>
  <c r="O15" i="6" s="1"/>
  <c r="O16" i="6" s="1"/>
  <c r="O17" i="6" s="1"/>
  <c r="O18" i="6" s="1"/>
  <c r="O19" i="6" s="1"/>
  <c r="O20" i="6" s="1"/>
  <c r="O21" i="6" s="1"/>
  <c r="O22" i="6" s="1"/>
  <c r="O23" i="6" s="1"/>
  <c r="O24" i="6" s="1"/>
  <c r="R7" i="6"/>
  <c r="F181" i="3" s="1"/>
  <c r="AC775" i="3"/>
  <c r="AB775" i="3"/>
  <c r="T775" i="3"/>
  <c r="P775" i="3"/>
  <c r="I775" i="3"/>
  <c r="C775" i="3"/>
  <c r="B775" i="3"/>
  <c r="AC774" i="3"/>
  <c r="AB774" i="3"/>
  <c r="T774" i="3"/>
  <c r="P774" i="3"/>
  <c r="I774" i="3"/>
  <c r="C774" i="3"/>
  <c r="B774" i="3"/>
  <c r="AC773" i="3"/>
  <c r="AB773" i="3"/>
  <c r="T773" i="3"/>
  <c r="P773" i="3"/>
  <c r="I773" i="3"/>
  <c r="C773" i="3"/>
  <c r="B773" i="3"/>
  <c r="AC772" i="3"/>
  <c r="AB772" i="3"/>
  <c r="T772" i="3"/>
  <c r="P772" i="3"/>
  <c r="I772" i="3"/>
  <c r="C772" i="3"/>
  <c r="B772" i="3"/>
  <c r="AC771" i="3"/>
  <c r="AB771" i="3"/>
  <c r="T771" i="3"/>
  <c r="P771" i="3"/>
  <c r="I771" i="3"/>
  <c r="C771" i="3"/>
  <c r="B771" i="3"/>
  <c r="AC770" i="3"/>
  <c r="AB770" i="3"/>
  <c r="T770" i="3"/>
  <c r="P770" i="3"/>
  <c r="I770" i="3"/>
  <c r="C770" i="3"/>
  <c r="B770" i="3"/>
  <c r="AC769" i="3"/>
  <c r="AB769" i="3"/>
  <c r="T769" i="3"/>
  <c r="P769" i="3"/>
  <c r="I769" i="3"/>
  <c r="C769" i="3"/>
  <c r="B769" i="3"/>
  <c r="AC768" i="3"/>
  <c r="AB768" i="3"/>
  <c r="T768" i="3"/>
  <c r="P768" i="3"/>
  <c r="I768" i="3"/>
  <c r="C768" i="3"/>
  <c r="B768" i="3"/>
  <c r="AC767" i="3"/>
  <c r="AB767" i="3"/>
  <c r="T767" i="3"/>
  <c r="P767" i="3"/>
  <c r="I767" i="3"/>
  <c r="C767" i="3"/>
  <c r="B767" i="3"/>
  <c r="AC766" i="3"/>
  <c r="AB766" i="3"/>
  <c r="T766" i="3"/>
  <c r="P766" i="3"/>
  <c r="I766" i="3"/>
  <c r="C766" i="3"/>
  <c r="B766" i="3"/>
  <c r="AC765" i="3"/>
  <c r="AB765" i="3"/>
  <c r="T765" i="3"/>
  <c r="P765" i="3"/>
  <c r="I765" i="3"/>
  <c r="C765" i="3"/>
  <c r="B765" i="3"/>
  <c r="AC764" i="3"/>
  <c r="AB764" i="3"/>
  <c r="T764" i="3"/>
  <c r="P764" i="3"/>
  <c r="I764" i="3"/>
  <c r="C764" i="3"/>
  <c r="B764" i="3"/>
  <c r="AC763" i="3"/>
  <c r="AB763" i="3"/>
  <c r="T763" i="3"/>
  <c r="P763" i="3"/>
  <c r="I763" i="3"/>
  <c r="C763" i="3"/>
  <c r="B763" i="3"/>
  <c r="AC762" i="3"/>
  <c r="AB762" i="3"/>
  <c r="T762" i="3"/>
  <c r="P762" i="3"/>
  <c r="I762" i="3"/>
  <c r="C762" i="3"/>
  <c r="B762" i="3"/>
  <c r="AC761" i="3"/>
  <c r="AB761" i="3"/>
  <c r="T761" i="3"/>
  <c r="P761" i="3"/>
  <c r="I761" i="3"/>
  <c r="C761" i="3"/>
  <c r="B761" i="3"/>
  <c r="AC760" i="3"/>
  <c r="AB760" i="3"/>
  <c r="T760" i="3"/>
  <c r="P760" i="3"/>
  <c r="I760" i="3"/>
  <c r="C760" i="3"/>
  <c r="B760" i="3"/>
  <c r="AC759" i="3"/>
  <c r="AB759" i="3"/>
  <c r="T759" i="3"/>
  <c r="P759" i="3"/>
  <c r="I759" i="3"/>
  <c r="C759" i="3"/>
  <c r="B759" i="3"/>
  <c r="AC758" i="3"/>
  <c r="AB758" i="3"/>
  <c r="T758" i="3"/>
  <c r="P758" i="3"/>
  <c r="I758" i="3"/>
  <c r="C758" i="3"/>
  <c r="B758" i="3"/>
  <c r="AC757" i="3"/>
  <c r="AB757" i="3"/>
  <c r="T757" i="3"/>
  <c r="P757" i="3"/>
  <c r="I757" i="3"/>
  <c r="C757" i="3"/>
  <c r="B757" i="3"/>
  <c r="AC756" i="3"/>
  <c r="AB756" i="3"/>
  <c r="T756" i="3"/>
  <c r="P756" i="3"/>
  <c r="I756" i="3"/>
  <c r="C756" i="3"/>
  <c r="B756" i="3"/>
  <c r="AC755" i="3"/>
  <c r="AB755" i="3"/>
  <c r="T755" i="3"/>
  <c r="P755" i="3"/>
  <c r="I755" i="3"/>
  <c r="C755" i="3"/>
  <c r="B755" i="3"/>
  <c r="AC754" i="3"/>
  <c r="AB754" i="3"/>
  <c r="T754" i="3"/>
  <c r="P754" i="3"/>
  <c r="I754" i="3"/>
  <c r="C754" i="3"/>
  <c r="B754" i="3"/>
  <c r="AC753" i="3"/>
  <c r="AB753" i="3"/>
  <c r="T753" i="3"/>
  <c r="P753" i="3"/>
  <c r="I753" i="3"/>
  <c r="C753" i="3"/>
  <c r="B753" i="3"/>
  <c r="AC752" i="3"/>
  <c r="AB752" i="3"/>
  <c r="T752" i="3"/>
  <c r="P752" i="3"/>
  <c r="I752" i="3"/>
  <c r="C752" i="3"/>
  <c r="B752" i="3"/>
  <c r="AC751" i="3"/>
  <c r="AB751" i="3"/>
  <c r="T751" i="3"/>
  <c r="P751" i="3"/>
  <c r="I751" i="3"/>
  <c r="C751" i="3"/>
  <c r="B751" i="3"/>
  <c r="AC750" i="3"/>
  <c r="AB750" i="3"/>
  <c r="T750" i="3"/>
  <c r="P750" i="3"/>
  <c r="I750" i="3"/>
  <c r="C750" i="3"/>
  <c r="B750" i="3"/>
  <c r="AC749" i="3"/>
  <c r="AB749" i="3"/>
  <c r="T749" i="3"/>
  <c r="P749" i="3"/>
  <c r="I749" i="3"/>
  <c r="C749" i="3"/>
  <c r="B749" i="3"/>
  <c r="AC748" i="3"/>
  <c r="AB748" i="3"/>
  <c r="T748" i="3"/>
  <c r="P748" i="3"/>
  <c r="I748" i="3"/>
  <c r="C748" i="3"/>
  <c r="B748" i="3"/>
  <c r="AC747" i="3"/>
  <c r="AB747" i="3"/>
  <c r="T747" i="3"/>
  <c r="P747" i="3"/>
  <c r="I747" i="3"/>
  <c r="C747" i="3"/>
  <c r="B747" i="3"/>
  <c r="AC746" i="3"/>
  <c r="AB746" i="3"/>
  <c r="T746" i="3"/>
  <c r="P746" i="3"/>
  <c r="I746" i="3"/>
  <c r="C746" i="3"/>
  <c r="B746" i="3"/>
  <c r="AC745" i="3"/>
  <c r="AB745" i="3"/>
  <c r="T745" i="3"/>
  <c r="P745" i="3"/>
  <c r="I745" i="3"/>
  <c r="C745" i="3"/>
  <c r="B745" i="3"/>
  <c r="AC744" i="3"/>
  <c r="AB744" i="3"/>
  <c r="T744" i="3"/>
  <c r="P744" i="3"/>
  <c r="I744" i="3"/>
  <c r="C744" i="3"/>
  <c r="B744" i="3"/>
  <c r="AC743" i="3"/>
  <c r="AB743" i="3"/>
  <c r="T743" i="3"/>
  <c r="P743" i="3"/>
  <c r="I743" i="3"/>
  <c r="C743" i="3"/>
  <c r="B743" i="3"/>
  <c r="AC742" i="3"/>
  <c r="AB742" i="3"/>
  <c r="T742" i="3"/>
  <c r="P742" i="3"/>
  <c r="I742" i="3"/>
  <c r="C742" i="3"/>
  <c r="B742" i="3"/>
  <c r="AC741" i="3"/>
  <c r="AB741" i="3"/>
  <c r="T741" i="3"/>
  <c r="P741" i="3"/>
  <c r="I741" i="3"/>
  <c r="C741" i="3"/>
  <c r="B741" i="3"/>
  <c r="AC740" i="3"/>
  <c r="AB740" i="3"/>
  <c r="T740" i="3"/>
  <c r="P740" i="3"/>
  <c r="I740" i="3"/>
  <c r="C740" i="3"/>
  <c r="B740" i="3"/>
  <c r="AC739" i="3"/>
  <c r="AB739" i="3"/>
  <c r="T739" i="3"/>
  <c r="P739" i="3"/>
  <c r="I739" i="3"/>
  <c r="C739" i="3"/>
  <c r="B739" i="3"/>
  <c r="AC738" i="3"/>
  <c r="AB738" i="3"/>
  <c r="T738" i="3"/>
  <c r="P738" i="3"/>
  <c r="I738" i="3"/>
  <c r="C738" i="3"/>
  <c r="B738" i="3"/>
  <c r="AC737" i="3"/>
  <c r="AB737" i="3"/>
  <c r="T737" i="3"/>
  <c r="P737" i="3"/>
  <c r="I737" i="3"/>
  <c r="C737" i="3"/>
  <c r="B737" i="3"/>
  <c r="AC736" i="3"/>
  <c r="AB736" i="3"/>
  <c r="T736" i="3"/>
  <c r="P736" i="3"/>
  <c r="I736" i="3"/>
  <c r="C736" i="3"/>
  <c r="B736" i="3"/>
  <c r="AC735" i="3"/>
  <c r="AB735" i="3"/>
  <c r="T735" i="3"/>
  <c r="P735" i="3"/>
  <c r="I735" i="3"/>
  <c r="C735" i="3"/>
  <c r="B735" i="3"/>
  <c r="AC734" i="3"/>
  <c r="AB734" i="3"/>
  <c r="T734" i="3"/>
  <c r="P734" i="3"/>
  <c r="I734" i="3"/>
  <c r="C734" i="3"/>
  <c r="B734" i="3"/>
  <c r="AC733" i="3"/>
  <c r="AB733" i="3"/>
  <c r="T733" i="3"/>
  <c r="P733" i="3"/>
  <c r="I733" i="3"/>
  <c r="C733" i="3"/>
  <c r="B733" i="3"/>
  <c r="AC732" i="3"/>
  <c r="AB732" i="3"/>
  <c r="T732" i="3"/>
  <c r="P732" i="3"/>
  <c r="I732" i="3"/>
  <c r="C732" i="3"/>
  <c r="B732" i="3"/>
  <c r="AC731" i="3"/>
  <c r="AB731" i="3"/>
  <c r="T731" i="3"/>
  <c r="P731" i="3"/>
  <c r="I731" i="3"/>
  <c r="C731" i="3"/>
  <c r="B731" i="3"/>
  <c r="AC730" i="3"/>
  <c r="AB730" i="3"/>
  <c r="T730" i="3"/>
  <c r="P730" i="3"/>
  <c r="I730" i="3"/>
  <c r="C730" i="3"/>
  <c r="B730" i="3"/>
  <c r="AC729" i="3"/>
  <c r="AB729" i="3"/>
  <c r="T729" i="3"/>
  <c r="P729" i="3"/>
  <c r="I729" i="3"/>
  <c r="C729" i="3"/>
  <c r="B729" i="3"/>
  <c r="AC728" i="3"/>
  <c r="AB728" i="3"/>
  <c r="T728" i="3"/>
  <c r="P728" i="3"/>
  <c r="I728" i="3"/>
  <c r="C728" i="3"/>
  <c r="B728" i="3"/>
  <c r="AC727" i="3"/>
  <c r="AB727" i="3"/>
  <c r="T727" i="3"/>
  <c r="P727" i="3"/>
  <c r="I727" i="3"/>
  <c r="C727" i="3"/>
  <c r="B727" i="3"/>
  <c r="AC726" i="3"/>
  <c r="AB726" i="3"/>
  <c r="T726" i="3"/>
  <c r="P726" i="3"/>
  <c r="I726" i="3"/>
  <c r="C726" i="3"/>
  <c r="B726" i="3"/>
  <c r="AC725" i="3"/>
  <c r="AB725" i="3"/>
  <c r="T725" i="3"/>
  <c r="P725" i="3"/>
  <c r="I725" i="3"/>
  <c r="C725" i="3"/>
  <c r="B725" i="3"/>
  <c r="AC724" i="3"/>
  <c r="AB724" i="3"/>
  <c r="T724" i="3"/>
  <c r="P724" i="3"/>
  <c r="I724" i="3"/>
  <c r="C724" i="3"/>
  <c r="B724" i="3"/>
  <c r="AC723" i="3"/>
  <c r="AB723" i="3"/>
  <c r="T723" i="3"/>
  <c r="P723" i="3"/>
  <c r="I723" i="3"/>
  <c r="C723" i="3"/>
  <c r="B723" i="3"/>
  <c r="AC722" i="3"/>
  <c r="AB722" i="3"/>
  <c r="T722" i="3"/>
  <c r="P722" i="3"/>
  <c r="I722" i="3"/>
  <c r="C722" i="3"/>
  <c r="B722" i="3"/>
  <c r="AC721" i="3"/>
  <c r="AB721" i="3"/>
  <c r="T721" i="3"/>
  <c r="P721" i="3"/>
  <c r="I721" i="3"/>
  <c r="C721" i="3"/>
  <c r="B721" i="3"/>
  <c r="AC720" i="3"/>
  <c r="AB720" i="3"/>
  <c r="T720" i="3"/>
  <c r="P720" i="3"/>
  <c r="I720" i="3"/>
  <c r="C720" i="3"/>
  <c r="B720" i="3"/>
  <c r="AC719" i="3"/>
  <c r="AB719" i="3"/>
  <c r="T719" i="3"/>
  <c r="P719" i="3"/>
  <c r="I719" i="3"/>
  <c r="C719" i="3"/>
  <c r="B719" i="3"/>
  <c r="AC718" i="3"/>
  <c r="AB718" i="3"/>
  <c r="T718" i="3"/>
  <c r="P718" i="3"/>
  <c r="I718" i="3"/>
  <c r="C718" i="3"/>
  <c r="B718" i="3"/>
  <c r="AC717" i="3"/>
  <c r="AB717" i="3"/>
  <c r="T717" i="3"/>
  <c r="P717" i="3"/>
  <c r="I717" i="3"/>
  <c r="C717" i="3"/>
  <c r="B717" i="3"/>
  <c r="AC716" i="3"/>
  <c r="AB716" i="3"/>
  <c r="T716" i="3"/>
  <c r="P716" i="3"/>
  <c r="I716" i="3"/>
  <c r="C716" i="3"/>
  <c r="B716" i="3"/>
  <c r="AC715" i="3"/>
  <c r="AB715" i="3"/>
  <c r="T715" i="3"/>
  <c r="P715" i="3"/>
  <c r="I715" i="3"/>
  <c r="C715" i="3"/>
  <c r="B715" i="3"/>
  <c r="AC714" i="3"/>
  <c r="AB714" i="3"/>
  <c r="T714" i="3"/>
  <c r="P714" i="3"/>
  <c r="I714" i="3"/>
  <c r="C714" i="3"/>
  <c r="B714" i="3"/>
  <c r="AC713" i="3"/>
  <c r="AB713" i="3"/>
  <c r="T713" i="3"/>
  <c r="P713" i="3"/>
  <c r="I713" i="3"/>
  <c r="C713" i="3"/>
  <c r="B713" i="3"/>
  <c r="AC712" i="3"/>
  <c r="AB712" i="3"/>
  <c r="T712" i="3"/>
  <c r="P712" i="3"/>
  <c r="I712" i="3"/>
  <c r="C712" i="3"/>
  <c r="B712" i="3"/>
  <c r="AC711" i="3"/>
  <c r="AB711" i="3"/>
  <c r="T711" i="3"/>
  <c r="P711" i="3"/>
  <c r="I711" i="3"/>
  <c r="C711" i="3"/>
  <c r="B711" i="3"/>
  <c r="AC710" i="3"/>
  <c r="AB710" i="3"/>
  <c r="T710" i="3"/>
  <c r="P710" i="3"/>
  <c r="I710" i="3"/>
  <c r="C710" i="3"/>
  <c r="B710" i="3"/>
  <c r="AC709" i="3"/>
  <c r="AB709" i="3"/>
  <c r="T709" i="3"/>
  <c r="P709" i="3"/>
  <c r="I709" i="3"/>
  <c r="C709" i="3"/>
  <c r="B709" i="3"/>
  <c r="AC708" i="3"/>
  <c r="AB708" i="3"/>
  <c r="T708" i="3"/>
  <c r="P708" i="3"/>
  <c r="I708" i="3"/>
  <c r="C708" i="3"/>
  <c r="B708" i="3"/>
  <c r="AC707" i="3"/>
  <c r="AB707" i="3"/>
  <c r="T707" i="3"/>
  <c r="P707" i="3"/>
  <c r="I707" i="3"/>
  <c r="C707" i="3"/>
  <c r="B707" i="3"/>
  <c r="AC706" i="3"/>
  <c r="AB706" i="3"/>
  <c r="T706" i="3"/>
  <c r="P706" i="3"/>
  <c r="I706" i="3"/>
  <c r="C706" i="3"/>
  <c r="B706" i="3"/>
  <c r="AC705" i="3"/>
  <c r="AB705" i="3"/>
  <c r="T705" i="3"/>
  <c r="P705" i="3"/>
  <c r="I705" i="3"/>
  <c r="C705" i="3"/>
  <c r="B705" i="3"/>
  <c r="AC704" i="3"/>
  <c r="AB704" i="3"/>
  <c r="T704" i="3"/>
  <c r="P704" i="3"/>
  <c r="I704" i="3"/>
  <c r="C704" i="3"/>
  <c r="B704" i="3"/>
  <c r="AC703" i="3"/>
  <c r="AB703" i="3"/>
  <c r="T703" i="3"/>
  <c r="P703" i="3"/>
  <c r="I703" i="3"/>
  <c r="C703" i="3"/>
  <c r="B703" i="3"/>
  <c r="AC702" i="3"/>
  <c r="AB702" i="3"/>
  <c r="T702" i="3"/>
  <c r="P702" i="3"/>
  <c r="I702" i="3"/>
  <c r="C702" i="3"/>
  <c r="B702" i="3"/>
  <c r="AC701" i="3"/>
  <c r="AB701" i="3"/>
  <c r="T701" i="3"/>
  <c r="P701" i="3"/>
  <c r="I701" i="3"/>
  <c r="C701" i="3"/>
  <c r="B701" i="3"/>
  <c r="AC700" i="3"/>
  <c r="AB700" i="3"/>
  <c r="T700" i="3"/>
  <c r="P700" i="3"/>
  <c r="I700" i="3"/>
  <c r="C700" i="3"/>
  <c r="B700" i="3"/>
  <c r="AC699" i="3"/>
  <c r="AB699" i="3"/>
  <c r="T699" i="3"/>
  <c r="P699" i="3"/>
  <c r="I699" i="3"/>
  <c r="C699" i="3"/>
  <c r="B699" i="3"/>
  <c r="AC698" i="3"/>
  <c r="AB698" i="3"/>
  <c r="T698" i="3"/>
  <c r="P698" i="3"/>
  <c r="I698" i="3"/>
  <c r="C698" i="3"/>
  <c r="B698" i="3"/>
  <c r="AC697" i="3"/>
  <c r="AB697" i="3"/>
  <c r="T697" i="3"/>
  <c r="P697" i="3"/>
  <c r="I697" i="3"/>
  <c r="C697" i="3"/>
  <c r="B697" i="3"/>
  <c r="AC696" i="3"/>
  <c r="AB696" i="3"/>
  <c r="T696" i="3"/>
  <c r="P696" i="3"/>
  <c r="I696" i="3"/>
  <c r="C696" i="3"/>
  <c r="B696" i="3"/>
  <c r="AC695" i="3"/>
  <c r="AB695" i="3"/>
  <c r="T695" i="3"/>
  <c r="P695" i="3"/>
  <c r="I695" i="3"/>
  <c r="C695" i="3"/>
  <c r="B695" i="3"/>
  <c r="AC694" i="3"/>
  <c r="AB694" i="3"/>
  <c r="T694" i="3"/>
  <c r="P694" i="3"/>
  <c r="I694" i="3"/>
  <c r="C694" i="3"/>
  <c r="B694" i="3"/>
  <c r="AC693" i="3"/>
  <c r="AB693" i="3"/>
  <c r="T693" i="3"/>
  <c r="P693" i="3"/>
  <c r="I693" i="3"/>
  <c r="C693" i="3"/>
  <c r="B693" i="3"/>
  <c r="AC692" i="3"/>
  <c r="AB692" i="3"/>
  <c r="T692" i="3"/>
  <c r="P692" i="3"/>
  <c r="I692" i="3"/>
  <c r="C692" i="3"/>
  <c r="B692" i="3"/>
  <c r="AC691" i="3"/>
  <c r="AB691" i="3"/>
  <c r="T691" i="3"/>
  <c r="P691" i="3"/>
  <c r="I691" i="3"/>
  <c r="C691" i="3"/>
  <c r="B691" i="3"/>
  <c r="AC690" i="3"/>
  <c r="AB690" i="3"/>
  <c r="T690" i="3"/>
  <c r="P690" i="3"/>
  <c r="I690" i="3"/>
  <c r="C690" i="3"/>
  <c r="B690" i="3"/>
  <c r="AC689" i="3"/>
  <c r="AB689" i="3"/>
  <c r="T689" i="3"/>
  <c r="P689" i="3"/>
  <c r="I689" i="3"/>
  <c r="C689" i="3"/>
  <c r="B689" i="3"/>
  <c r="AC688" i="3"/>
  <c r="AB688" i="3"/>
  <c r="T688" i="3"/>
  <c r="P688" i="3"/>
  <c r="I688" i="3"/>
  <c r="C688" i="3"/>
  <c r="B688" i="3"/>
  <c r="AC687" i="3"/>
  <c r="AB687" i="3"/>
  <c r="T687" i="3"/>
  <c r="P687" i="3"/>
  <c r="I687" i="3"/>
  <c r="C687" i="3"/>
  <c r="B687" i="3"/>
  <c r="AC686" i="3"/>
  <c r="AB686" i="3"/>
  <c r="T686" i="3"/>
  <c r="P686" i="3"/>
  <c r="I686" i="3"/>
  <c r="C686" i="3"/>
  <c r="B686" i="3"/>
  <c r="AC685" i="3"/>
  <c r="AB685" i="3"/>
  <c r="T685" i="3"/>
  <c r="P685" i="3"/>
  <c r="I685" i="3"/>
  <c r="C685" i="3"/>
  <c r="B685" i="3"/>
  <c r="AC684" i="3"/>
  <c r="AB684" i="3"/>
  <c r="T684" i="3"/>
  <c r="P684" i="3"/>
  <c r="I684" i="3"/>
  <c r="C684" i="3"/>
  <c r="B684" i="3"/>
  <c r="AC683" i="3"/>
  <c r="AB683" i="3"/>
  <c r="T683" i="3"/>
  <c r="P683" i="3"/>
  <c r="I683" i="3"/>
  <c r="C683" i="3"/>
  <c r="B683" i="3"/>
  <c r="AC682" i="3"/>
  <c r="AB682" i="3"/>
  <c r="T682" i="3"/>
  <c r="P682" i="3"/>
  <c r="I682" i="3"/>
  <c r="C682" i="3"/>
  <c r="B682" i="3"/>
  <c r="AC681" i="3"/>
  <c r="AB681" i="3"/>
  <c r="T681" i="3"/>
  <c r="P681" i="3"/>
  <c r="I681" i="3"/>
  <c r="C681" i="3"/>
  <c r="B681" i="3"/>
  <c r="AC680" i="3"/>
  <c r="AB680" i="3"/>
  <c r="T680" i="3"/>
  <c r="P680" i="3"/>
  <c r="I680" i="3"/>
  <c r="C680" i="3"/>
  <c r="B680" i="3"/>
  <c r="AC679" i="3"/>
  <c r="AB679" i="3"/>
  <c r="T679" i="3"/>
  <c r="P679" i="3"/>
  <c r="I679" i="3"/>
  <c r="C679" i="3"/>
  <c r="B679" i="3"/>
  <c r="AC678" i="3"/>
  <c r="AB678" i="3"/>
  <c r="T678" i="3"/>
  <c r="P678" i="3"/>
  <c r="I678" i="3"/>
  <c r="C678" i="3"/>
  <c r="B678" i="3"/>
  <c r="AC677" i="3"/>
  <c r="AB677" i="3"/>
  <c r="T677" i="3"/>
  <c r="P677" i="3"/>
  <c r="I677" i="3"/>
  <c r="C677" i="3"/>
  <c r="B677" i="3"/>
  <c r="AC676" i="3"/>
  <c r="AB676" i="3"/>
  <c r="T676" i="3"/>
  <c r="P676" i="3"/>
  <c r="I676" i="3"/>
  <c r="C676" i="3"/>
  <c r="B676" i="3"/>
  <c r="AC675" i="3"/>
  <c r="AB675" i="3"/>
  <c r="T675" i="3"/>
  <c r="P675" i="3"/>
  <c r="I675" i="3"/>
  <c r="C675" i="3"/>
  <c r="B675" i="3"/>
  <c r="AC674" i="3"/>
  <c r="AB674" i="3"/>
  <c r="T674" i="3"/>
  <c r="P674" i="3"/>
  <c r="I674" i="3"/>
  <c r="C674" i="3"/>
  <c r="B674" i="3"/>
  <c r="AC673" i="3"/>
  <c r="AB673" i="3"/>
  <c r="T673" i="3"/>
  <c r="P673" i="3"/>
  <c r="I673" i="3"/>
  <c r="C673" i="3"/>
  <c r="B673" i="3"/>
  <c r="AC672" i="3"/>
  <c r="AB672" i="3"/>
  <c r="T672" i="3"/>
  <c r="P672" i="3"/>
  <c r="I672" i="3"/>
  <c r="C672" i="3"/>
  <c r="B672" i="3"/>
  <c r="AC671" i="3"/>
  <c r="AB671" i="3"/>
  <c r="T671" i="3"/>
  <c r="P671" i="3"/>
  <c r="I671" i="3"/>
  <c r="C671" i="3"/>
  <c r="B671" i="3"/>
  <c r="AC670" i="3"/>
  <c r="AB670" i="3"/>
  <c r="T670" i="3"/>
  <c r="P670" i="3"/>
  <c r="I670" i="3"/>
  <c r="C670" i="3"/>
  <c r="B670" i="3"/>
  <c r="AC669" i="3"/>
  <c r="AB669" i="3"/>
  <c r="T669" i="3"/>
  <c r="P669" i="3"/>
  <c r="I669" i="3"/>
  <c r="C669" i="3"/>
  <c r="B669" i="3"/>
  <c r="AC668" i="3"/>
  <c r="AB668" i="3"/>
  <c r="T668" i="3"/>
  <c r="P668" i="3"/>
  <c r="I668" i="3"/>
  <c r="C668" i="3"/>
  <c r="B668" i="3"/>
  <c r="AC667" i="3"/>
  <c r="AB667" i="3"/>
  <c r="T667" i="3"/>
  <c r="P667" i="3"/>
  <c r="I667" i="3"/>
  <c r="C667" i="3"/>
  <c r="B667" i="3"/>
  <c r="AC666" i="3"/>
  <c r="AB666" i="3"/>
  <c r="T666" i="3"/>
  <c r="P666" i="3"/>
  <c r="I666" i="3"/>
  <c r="C666" i="3"/>
  <c r="B666" i="3"/>
  <c r="AC665" i="3"/>
  <c r="AB665" i="3"/>
  <c r="T665" i="3"/>
  <c r="P665" i="3"/>
  <c r="I665" i="3"/>
  <c r="C665" i="3"/>
  <c r="B665" i="3"/>
  <c r="AC664" i="3"/>
  <c r="AB664" i="3"/>
  <c r="T664" i="3"/>
  <c r="P664" i="3"/>
  <c r="I664" i="3"/>
  <c r="C664" i="3"/>
  <c r="B664" i="3"/>
  <c r="AC663" i="3"/>
  <c r="AB663" i="3"/>
  <c r="T663" i="3"/>
  <c r="P663" i="3"/>
  <c r="I663" i="3"/>
  <c r="C663" i="3"/>
  <c r="B663" i="3"/>
  <c r="AC662" i="3"/>
  <c r="AB662" i="3"/>
  <c r="T662" i="3"/>
  <c r="P662" i="3"/>
  <c r="I662" i="3"/>
  <c r="C662" i="3"/>
  <c r="B662" i="3"/>
  <c r="AC661" i="3"/>
  <c r="AB661" i="3"/>
  <c r="T661" i="3"/>
  <c r="P661" i="3"/>
  <c r="I661" i="3"/>
  <c r="C661" i="3"/>
  <c r="B661" i="3"/>
  <c r="AC660" i="3"/>
  <c r="AB660" i="3"/>
  <c r="T660" i="3"/>
  <c r="P660" i="3"/>
  <c r="I660" i="3"/>
  <c r="C660" i="3"/>
  <c r="B660" i="3"/>
  <c r="AC659" i="3"/>
  <c r="AB659" i="3"/>
  <c r="T659" i="3"/>
  <c r="P659" i="3"/>
  <c r="I659" i="3"/>
  <c r="C659" i="3"/>
  <c r="B659" i="3"/>
  <c r="AC658" i="3"/>
  <c r="AB658" i="3"/>
  <c r="T658" i="3"/>
  <c r="P658" i="3"/>
  <c r="I658" i="3"/>
  <c r="C658" i="3"/>
  <c r="B658" i="3"/>
  <c r="AC657" i="3"/>
  <c r="AB657" i="3"/>
  <c r="T657" i="3"/>
  <c r="P657" i="3"/>
  <c r="I657" i="3"/>
  <c r="C657" i="3"/>
  <c r="B657" i="3"/>
  <c r="AC656" i="3"/>
  <c r="AB656" i="3"/>
  <c r="T656" i="3"/>
  <c r="P656" i="3"/>
  <c r="I656" i="3"/>
  <c r="C656" i="3"/>
  <c r="B656" i="3"/>
  <c r="AC655" i="3"/>
  <c r="AB655" i="3"/>
  <c r="T655" i="3"/>
  <c r="P655" i="3"/>
  <c r="I655" i="3"/>
  <c r="C655" i="3"/>
  <c r="B655" i="3"/>
  <c r="AC654" i="3"/>
  <c r="AB654" i="3"/>
  <c r="T654" i="3"/>
  <c r="P654" i="3"/>
  <c r="I654" i="3"/>
  <c r="C654" i="3"/>
  <c r="B654" i="3"/>
  <c r="AC653" i="3"/>
  <c r="AB653" i="3"/>
  <c r="T653" i="3"/>
  <c r="P653" i="3"/>
  <c r="I653" i="3"/>
  <c r="C653" i="3"/>
  <c r="B653" i="3"/>
  <c r="AC652" i="3"/>
  <c r="AB652" i="3"/>
  <c r="T652" i="3"/>
  <c r="P652" i="3"/>
  <c r="I652" i="3"/>
  <c r="C652" i="3"/>
  <c r="B652" i="3"/>
  <c r="AC651" i="3"/>
  <c r="AB651" i="3"/>
  <c r="T651" i="3"/>
  <c r="P651" i="3"/>
  <c r="I651" i="3"/>
  <c r="C651" i="3"/>
  <c r="B651" i="3"/>
  <c r="AC650" i="3"/>
  <c r="AB650" i="3"/>
  <c r="T650" i="3"/>
  <c r="P650" i="3"/>
  <c r="I650" i="3"/>
  <c r="C650" i="3"/>
  <c r="B650" i="3"/>
  <c r="AC649" i="3"/>
  <c r="AB649" i="3"/>
  <c r="T649" i="3"/>
  <c r="P649" i="3"/>
  <c r="I649" i="3"/>
  <c r="C649" i="3"/>
  <c r="B649" i="3"/>
  <c r="AC648" i="3"/>
  <c r="AB648" i="3"/>
  <c r="T648" i="3"/>
  <c r="P648" i="3"/>
  <c r="I648" i="3"/>
  <c r="C648" i="3"/>
  <c r="B648" i="3"/>
  <c r="AC647" i="3"/>
  <c r="AB647" i="3"/>
  <c r="T647" i="3"/>
  <c r="P647" i="3"/>
  <c r="I647" i="3"/>
  <c r="C647" i="3"/>
  <c r="B647" i="3"/>
  <c r="AC646" i="3"/>
  <c r="AB646" i="3"/>
  <c r="T646" i="3"/>
  <c r="P646" i="3"/>
  <c r="I646" i="3"/>
  <c r="C646" i="3"/>
  <c r="B646" i="3"/>
  <c r="AC645" i="3"/>
  <c r="AB645" i="3"/>
  <c r="T645" i="3"/>
  <c r="P645" i="3"/>
  <c r="I645" i="3"/>
  <c r="C645" i="3"/>
  <c r="B645" i="3"/>
  <c r="AC644" i="3"/>
  <c r="AB644" i="3"/>
  <c r="T644" i="3"/>
  <c r="P644" i="3"/>
  <c r="I644" i="3"/>
  <c r="C644" i="3"/>
  <c r="B644" i="3"/>
  <c r="AC643" i="3"/>
  <c r="AB643" i="3"/>
  <c r="T643" i="3"/>
  <c r="P643" i="3"/>
  <c r="I643" i="3"/>
  <c r="C643" i="3"/>
  <c r="B643" i="3"/>
  <c r="AC642" i="3"/>
  <c r="AB642" i="3"/>
  <c r="T642" i="3"/>
  <c r="P642" i="3"/>
  <c r="I642" i="3"/>
  <c r="C642" i="3"/>
  <c r="B642" i="3"/>
  <c r="AC641" i="3"/>
  <c r="AB641" i="3"/>
  <c r="T641" i="3"/>
  <c r="P641" i="3"/>
  <c r="I641" i="3"/>
  <c r="C641" i="3"/>
  <c r="B641" i="3"/>
  <c r="AC640" i="3"/>
  <c r="AB640" i="3"/>
  <c r="T640" i="3"/>
  <c r="P640" i="3"/>
  <c r="I640" i="3"/>
  <c r="C640" i="3"/>
  <c r="B640" i="3"/>
  <c r="AC639" i="3"/>
  <c r="AB639" i="3"/>
  <c r="T639" i="3"/>
  <c r="P639" i="3"/>
  <c r="I639" i="3"/>
  <c r="C639" i="3"/>
  <c r="B639" i="3"/>
  <c r="AC638" i="3"/>
  <c r="AB638" i="3"/>
  <c r="T638" i="3"/>
  <c r="P638" i="3"/>
  <c r="I638" i="3"/>
  <c r="C638" i="3"/>
  <c r="B638" i="3"/>
  <c r="AC637" i="3"/>
  <c r="AB637" i="3"/>
  <c r="T637" i="3"/>
  <c r="P637" i="3"/>
  <c r="I637" i="3"/>
  <c r="C637" i="3"/>
  <c r="B637" i="3"/>
  <c r="AC636" i="3"/>
  <c r="AB636" i="3"/>
  <c r="T636" i="3"/>
  <c r="P636" i="3"/>
  <c r="I636" i="3"/>
  <c r="C636" i="3"/>
  <c r="B636" i="3"/>
  <c r="AC635" i="3"/>
  <c r="AB635" i="3"/>
  <c r="T635" i="3"/>
  <c r="P635" i="3"/>
  <c r="I635" i="3"/>
  <c r="C635" i="3"/>
  <c r="B635" i="3"/>
  <c r="AC634" i="3"/>
  <c r="AB634" i="3"/>
  <c r="T634" i="3"/>
  <c r="P634" i="3"/>
  <c r="I634" i="3"/>
  <c r="C634" i="3"/>
  <c r="B634" i="3"/>
  <c r="AC633" i="3"/>
  <c r="AB633" i="3"/>
  <c r="T633" i="3"/>
  <c r="P633" i="3"/>
  <c r="I633" i="3"/>
  <c r="C633" i="3"/>
  <c r="B633" i="3"/>
  <c r="AC632" i="3"/>
  <c r="AB632" i="3"/>
  <c r="T632" i="3"/>
  <c r="P632" i="3"/>
  <c r="I632" i="3"/>
  <c r="C632" i="3"/>
  <c r="B632" i="3"/>
  <c r="AC631" i="3"/>
  <c r="AB631" i="3"/>
  <c r="T631" i="3"/>
  <c r="P631" i="3"/>
  <c r="I631" i="3"/>
  <c r="C631" i="3"/>
  <c r="B631" i="3"/>
  <c r="AC630" i="3"/>
  <c r="AB630" i="3"/>
  <c r="T630" i="3"/>
  <c r="P630" i="3"/>
  <c r="I630" i="3"/>
  <c r="C630" i="3"/>
  <c r="B630" i="3"/>
  <c r="AC629" i="3"/>
  <c r="AB629" i="3"/>
  <c r="T629" i="3"/>
  <c r="P629" i="3"/>
  <c r="I629" i="3"/>
  <c r="C629" i="3"/>
  <c r="B629" i="3"/>
  <c r="AC628" i="3"/>
  <c r="AB628" i="3"/>
  <c r="T628" i="3"/>
  <c r="P628" i="3"/>
  <c r="I628" i="3"/>
  <c r="C628" i="3"/>
  <c r="B628" i="3"/>
  <c r="AC627" i="3"/>
  <c r="AB627" i="3"/>
  <c r="T627" i="3"/>
  <c r="P627" i="3"/>
  <c r="I627" i="3"/>
  <c r="C627" i="3"/>
  <c r="B627" i="3"/>
  <c r="AC626" i="3"/>
  <c r="AB626" i="3"/>
  <c r="T626" i="3"/>
  <c r="P626" i="3"/>
  <c r="I626" i="3"/>
  <c r="C626" i="3"/>
  <c r="B626" i="3"/>
  <c r="AC625" i="3"/>
  <c r="AB625" i="3"/>
  <c r="T625" i="3"/>
  <c r="P625" i="3"/>
  <c r="I625" i="3"/>
  <c r="C625" i="3"/>
  <c r="B625" i="3"/>
  <c r="AC624" i="3"/>
  <c r="AB624" i="3"/>
  <c r="T624" i="3"/>
  <c r="P624" i="3"/>
  <c r="I624" i="3"/>
  <c r="C624" i="3"/>
  <c r="B624" i="3"/>
  <c r="AC623" i="3"/>
  <c r="AB623" i="3"/>
  <c r="T623" i="3"/>
  <c r="P623" i="3"/>
  <c r="I623" i="3"/>
  <c r="C623" i="3"/>
  <c r="B623" i="3"/>
  <c r="AC622" i="3"/>
  <c r="AB622" i="3"/>
  <c r="T622" i="3"/>
  <c r="P622" i="3"/>
  <c r="I622" i="3"/>
  <c r="C622" i="3"/>
  <c r="B622" i="3"/>
  <c r="AC621" i="3"/>
  <c r="AB621" i="3"/>
  <c r="T621" i="3"/>
  <c r="P621" i="3"/>
  <c r="I621" i="3"/>
  <c r="C621" i="3"/>
  <c r="B621" i="3"/>
  <c r="AC620" i="3"/>
  <c r="AB620" i="3"/>
  <c r="T620" i="3"/>
  <c r="P620" i="3"/>
  <c r="I620" i="3"/>
  <c r="C620" i="3"/>
  <c r="B620" i="3"/>
  <c r="AC619" i="3"/>
  <c r="AB619" i="3"/>
  <c r="T619" i="3"/>
  <c r="P619" i="3"/>
  <c r="I619" i="3"/>
  <c r="C619" i="3"/>
  <c r="B619" i="3"/>
  <c r="AC618" i="3"/>
  <c r="AB618" i="3"/>
  <c r="T618" i="3"/>
  <c r="P618" i="3"/>
  <c r="I618" i="3"/>
  <c r="C618" i="3"/>
  <c r="B618" i="3"/>
  <c r="AC617" i="3"/>
  <c r="AB617" i="3"/>
  <c r="T617" i="3"/>
  <c r="P617" i="3"/>
  <c r="I617" i="3"/>
  <c r="C617" i="3"/>
  <c r="B617" i="3"/>
  <c r="AC616" i="3"/>
  <c r="AB616" i="3"/>
  <c r="T616" i="3"/>
  <c r="P616" i="3"/>
  <c r="I616" i="3"/>
  <c r="C616" i="3"/>
  <c r="B616" i="3"/>
  <c r="AC615" i="3"/>
  <c r="AB615" i="3"/>
  <c r="T615" i="3"/>
  <c r="P615" i="3"/>
  <c r="I615" i="3"/>
  <c r="C615" i="3"/>
  <c r="B615" i="3"/>
  <c r="AC614" i="3"/>
  <c r="AB614" i="3"/>
  <c r="T614" i="3"/>
  <c r="P614" i="3"/>
  <c r="I614" i="3"/>
  <c r="C614" i="3"/>
  <c r="B614" i="3"/>
  <c r="AC613" i="3"/>
  <c r="AB613" i="3"/>
  <c r="T613" i="3"/>
  <c r="P613" i="3"/>
  <c r="I613" i="3"/>
  <c r="C613" i="3"/>
  <c r="B613" i="3"/>
  <c r="AC612" i="3"/>
  <c r="AB612" i="3"/>
  <c r="T612" i="3"/>
  <c r="P612" i="3"/>
  <c r="I612" i="3"/>
  <c r="C612" i="3"/>
  <c r="B612" i="3"/>
  <c r="AC611" i="3"/>
  <c r="AB611" i="3"/>
  <c r="T611" i="3"/>
  <c r="P611" i="3"/>
  <c r="I611" i="3"/>
  <c r="C611" i="3"/>
  <c r="B611" i="3"/>
  <c r="AC610" i="3"/>
  <c r="AB610" i="3"/>
  <c r="T610" i="3"/>
  <c r="P610" i="3"/>
  <c r="I610" i="3"/>
  <c r="C610" i="3"/>
  <c r="B610" i="3"/>
  <c r="AC609" i="3"/>
  <c r="AB609" i="3"/>
  <c r="T609" i="3"/>
  <c r="P609" i="3"/>
  <c r="I609" i="3"/>
  <c r="C609" i="3"/>
  <c r="B609" i="3"/>
  <c r="AC608" i="3"/>
  <c r="AB608" i="3"/>
  <c r="T608" i="3"/>
  <c r="P608" i="3"/>
  <c r="I608" i="3"/>
  <c r="C608" i="3"/>
  <c r="B608" i="3"/>
  <c r="AC607" i="3"/>
  <c r="AB607" i="3"/>
  <c r="T607" i="3"/>
  <c r="P607" i="3"/>
  <c r="I607" i="3"/>
  <c r="C607" i="3"/>
  <c r="B607" i="3"/>
  <c r="AC606" i="3"/>
  <c r="AB606" i="3"/>
  <c r="T606" i="3"/>
  <c r="P606" i="3"/>
  <c r="I606" i="3"/>
  <c r="C606" i="3"/>
  <c r="B606" i="3"/>
  <c r="AC605" i="3"/>
  <c r="AB605" i="3"/>
  <c r="T605" i="3"/>
  <c r="P605" i="3"/>
  <c r="I605" i="3"/>
  <c r="C605" i="3"/>
  <c r="B605" i="3"/>
  <c r="AC604" i="3"/>
  <c r="AB604" i="3"/>
  <c r="T604" i="3"/>
  <c r="P604" i="3"/>
  <c r="I604" i="3"/>
  <c r="C604" i="3"/>
  <c r="B604" i="3"/>
  <c r="AC603" i="3"/>
  <c r="AB603" i="3"/>
  <c r="T603" i="3"/>
  <c r="P603" i="3"/>
  <c r="I603" i="3"/>
  <c r="C603" i="3"/>
  <c r="B603" i="3"/>
  <c r="AC602" i="3"/>
  <c r="AB602" i="3"/>
  <c r="T602" i="3"/>
  <c r="P602" i="3"/>
  <c r="I602" i="3"/>
  <c r="C602" i="3"/>
  <c r="B602" i="3"/>
  <c r="AC601" i="3"/>
  <c r="AB601" i="3"/>
  <c r="T601" i="3"/>
  <c r="P601" i="3"/>
  <c r="I601" i="3"/>
  <c r="C601" i="3"/>
  <c r="B601" i="3"/>
  <c r="AC600" i="3"/>
  <c r="AB600" i="3"/>
  <c r="T600" i="3"/>
  <c r="P600" i="3"/>
  <c r="I600" i="3"/>
  <c r="C600" i="3"/>
  <c r="B600" i="3"/>
  <c r="AC599" i="3"/>
  <c r="AB599" i="3"/>
  <c r="T599" i="3"/>
  <c r="P599" i="3"/>
  <c r="I599" i="3"/>
  <c r="C599" i="3"/>
  <c r="B599" i="3"/>
  <c r="AC598" i="3"/>
  <c r="AB598" i="3"/>
  <c r="T598" i="3"/>
  <c r="P598" i="3"/>
  <c r="I598" i="3"/>
  <c r="C598" i="3"/>
  <c r="B598" i="3"/>
  <c r="AC597" i="3"/>
  <c r="AB597" i="3"/>
  <c r="T597" i="3"/>
  <c r="P597" i="3"/>
  <c r="I597" i="3"/>
  <c r="C597" i="3"/>
  <c r="B597" i="3"/>
  <c r="AC596" i="3"/>
  <c r="AB596" i="3"/>
  <c r="T596" i="3"/>
  <c r="P596" i="3"/>
  <c r="I596" i="3"/>
  <c r="C596" i="3"/>
  <c r="B596" i="3"/>
  <c r="AB595" i="3"/>
  <c r="C595" i="3"/>
  <c r="B595" i="3"/>
  <c r="AB594" i="3"/>
  <c r="I594" i="3"/>
  <c r="C594" i="3"/>
  <c r="B594" i="3"/>
  <c r="AB593" i="3"/>
  <c r="I593" i="3"/>
  <c r="C593" i="3"/>
  <c r="B593" i="3"/>
  <c r="AB592" i="3"/>
  <c r="I592" i="3"/>
  <c r="C592" i="3"/>
  <c r="B592" i="3"/>
  <c r="AB591" i="3"/>
  <c r="I591" i="3"/>
  <c r="C591" i="3"/>
  <c r="B591" i="3"/>
  <c r="AB590" i="3"/>
  <c r="I590" i="3"/>
  <c r="C590" i="3"/>
  <c r="B590" i="3"/>
  <c r="AB589" i="3"/>
  <c r="I589" i="3"/>
  <c r="C589" i="3"/>
  <c r="B589" i="3"/>
  <c r="AB588" i="3"/>
  <c r="I588" i="3"/>
  <c r="C588" i="3"/>
  <c r="B588" i="3"/>
  <c r="AB587" i="3"/>
  <c r="I587" i="3"/>
  <c r="C587" i="3"/>
  <c r="B587" i="3"/>
  <c r="AB586" i="3"/>
  <c r="I586" i="3"/>
  <c r="C586" i="3"/>
  <c r="B586" i="3"/>
  <c r="AB585" i="3"/>
  <c r="I585" i="3"/>
  <c r="C585" i="3"/>
  <c r="B585" i="3"/>
  <c r="AB584" i="3"/>
  <c r="I584" i="3"/>
  <c r="C584" i="3"/>
  <c r="B584" i="3"/>
  <c r="AB583" i="3"/>
  <c r="I583" i="3"/>
  <c r="C583" i="3"/>
  <c r="B583" i="3"/>
  <c r="AB582" i="3"/>
  <c r="I582" i="3"/>
  <c r="C582" i="3"/>
  <c r="B582" i="3"/>
  <c r="AB581" i="3"/>
  <c r="I581" i="3"/>
  <c r="C581" i="3"/>
  <c r="B581" i="3"/>
  <c r="AB580" i="3"/>
  <c r="I580" i="3"/>
  <c r="C580" i="3"/>
  <c r="B580" i="3"/>
  <c r="AB579" i="3"/>
  <c r="I579" i="3"/>
  <c r="C579" i="3"/>
  <c r="B579" i="3"/>
  <c r="AB578" i="3"/>
  <c r="I578" i="3"/>
  <c r="C578" i="3"/>
  <c r="B578" i="3"/>
  <c r="AB577" i="3"/>
  <c r="I577" i="3"/>
  <c r="C577" i="3"/>
  <c r="B577" i="3"/>
  <c r="AB576" i="3"/>
  <c r="I576" i="3"/>
  <c r="C576" i="3"/>
  <c r="B576" i="3"/>
  <c r="AB575" i="3"/>
  <c r="I575" i="3"/>
  <c r="C575" i="3"/>
  <c r="B575" i="3"/>
  <c r="AB574" i="3"/>
  <c r="I574" i="3"/>
  <c r="C574" i="3"/>
  <c r="B574" i="3"/>
  <c r="AB573" i="3"/>
  <c r="I573" i="3"/>
  <c r="C573" i="3"/>
  <c r="B573" i="3"/>
  <c r="AB572" i="3"/>
  <c r="I572" i="3"/>
  <c r="C572" i="3"/>
  <c r="B572" i="3"/>
  <c r="AB571" i="3"/>
  <c r="I571" i="3"/>
  <c r="C571" i="3"/>
  <c r="B571" i="3"/>
  <c r="AB570" i="3"/>
  <c r="I570" i="3"/>
  <c r="C570" i="3"/>
  <c r="B570" i="3"/>
  <c r="AB569" i="3"/>
  <c r="I569" i="3"/>
  <c r="C569" i="3"/>
  <c r="B569" i="3"/>
  <c r="AB568" i="3"/>
  <c r="I568" i="3"/>
  <c r="C568" i="3"/>
  <c r="B568" i="3"/>
  <c r="AB567" i="3"/>
  <c r="I567" i="3"/>
  <c r="C567" i="3"/>
  <c r="B567" i="3"/>
  <c r="AB566" i="3"/>
  <c r="I566" i="3"/>
  <c r="C566" i="3"/>
  <c r="B566" i="3"/>
  <c r="AB565" i="3"/>
  <c r="I565" i="3"/>
  <c r="C565" i="3"/>
  <c r="B565" i="3"/>
  <c r="AB564" i="3"/>
  <c r="I564" i="3"/>
  <c r="C564" i="3"/>
  <c r="B564" i="3"/>
  <c r="AB563" i="3"/>
  <c r="I563" i="3"/>
  <c r="C563" i="3"/>
  <c r="B563" i="3"/>
  <c r="AB562" i="3"/>
  <c r="I562" i="3"/>
  <c r="C562" i="3"/>
  <c r="B562" i="3"/>
  <c r="AB561" i="3"/>
  <c r="I561" i="3"/>
  <c r="C561" i="3"/>
  <c r="B561" i="3"/>
  <c r="AB560" i="3"/>
  <c r="I560" i="3"/>
  <c r="C560" i="3"/>
  <c r="B560" i="3"/>
  <c r="AB559" i="3"/>
  <c r="I559" i="3"/>
  <c r="C559" i="3"/>
  <c r="B559" i="3"/>
  <c r="AB558" i="3"/>
  <c r="I558" i="3"/>
  <c r="C558" i="3"/>
  <c r="B558" i="3"/>
  <c r="AB557" i="3"/>
  <c r="I557" i="3"/>
  <c r="C557" i="3"/>
  <c r="B557" i="3"/>
  <c r="AB556" i="3"/>
  <c r="I556" i="3"/>
  <c r="C556" i="3"/>
  <c r="B556" i="3"/>
  <c r="AB555" i="3"/>
  <c r="I555" i="3"/>
  <c r="C555" i="3"/>
  <c r="B555" i="3"/>
  <c r="AB554" i="3"/>
  <c r="I554" i="3"/>
  <c r="C554" i="3"/>
  <c r="B554" i="3"/>
  <c r="AB553" i="3"/>
  <c r="I553" i="3"/>
  <c r="C553" i="3"/>
  <c r="B553" i="3"/>
  <c r="AB552" i="3"/>
  <c r="I552" i="3"/>
  <c r="C552" i="3"/>
  <c r="B552" i="3"/>
  <c r="AB551" i="3"/>
  <c r="I551" i="3"/>
  <c r="C551" i="3"/>
  <c r="B551" i="3"/>
  <c r="AB550" i="3"/>
  <c r="I550" i="3"/>
  <c r="C550" i="3"/>
  <c r="B550" i="3"/>
  <c r="AB549" i="3"/>
  <c r="I549" i="3"/>
  <c r="C549" i="3"/>
  <c r="B549" i="3"/>
  <c r="AB548" i="3"/>
  <c r="I548" i="3"/>
  <c r="C548" i="3"/>
  <c r="B548" i="3"/>
  <c r="AB547" i="3"/>
  <c r="I547" i="3"/>
  <c r="C547" i="3"/>
  <c r="B547" i="3"/>
  <c r="AB546" i="3"/>
  <c r="I546" i="3"/>
  <c r="C546" i="3"/>
  <c r="B546" i="3"/>
  <c r="AB545" i="3"/>
  <c r="I545" i="3"/>
  <c r="C545" i="3"/>
  <c r="B545" i="3"/>
  <c r="AB544" i="3"/>
  <c r="I544" i="3"/>
  <c r="C544" i="3"/>
  <c r="B544" i="3"/>
  <c r="AB543" i="3"/>
  <c r="I543" i="3"/>
  <c r="C543" i="3"/>
  <c r="B543" i="3"/>
  <c r="AB542" i="3"/>
  <c r="I542" i="3"/>
  <c r="C542" i="3"/>
  <c r="B542" i="3"/>
  <c r="AB541" i="3"/>
  <c r="I541" i="3"/>
  <c r="C541" i="3"/>
  <c r="B541" i="3"/>
  <c r="AB540" i="3"/>
  <c r="I540" i="3"/>
  <c r="C540" i="3"/>
  <c r="B540" i="3"/>
  <c r="AB539" i="3"/>
  <c r="I539" i="3"/>
  <c r="C539" i="3"/>
  <c r="B539" i="3"/>
  <c r="AB538" i="3"/>
  <c r="I538" i="3"/>
  <c r="C538" i="3"/>
  <c r="B538" i="3"/>
  <c r="AB537" i="3"/>
  <c r="I537" i="3"/>
  <c r="C537" i="3"/>
  <c r="B537" i="3"/>
  <c r="AB536" i="3"/>
  <c r="I536" i="3"/>
  <c r="C536" i="3"/>
  <c r="B536" i="3"/>
  <c r="AB535" i="3"/>
  <c r="I535" i="3"/>
  <c r="C535" i="3"/>
  <c r="B535" i="3"/>
  <c r="AB534" i="3"/>
  <c r="I534" i="3"/>
  <c r="C534" i="3"/>
  <c r="B534" i="3"/>
  <c r="AB533" i="3"/>
  <c r="I533" i="3"/>
  <c r="C533" i="3"/>
  <c r="B533" i="3"/>
  <c r="AB532" i="3"/>
  <c r="I532" i="3"/>
  <c r="C532" i="3"/>
  <c r="B532" i="3"/>
  <c r="AB531" i="3"/>
  <c r="I531" i="3"/>
  <c r="C531" i="3"/>
  <c r="B531" i="3"/>
  <c r="AB530" i="3"/>
  <c r="I530" i="3"/>
  <c r="C530" i="3"/>
  <c r="B530" i="3"/>
  <c r="AB529" i="3"/>
  <c r="I529" i="3"/>
  <c r="C529" i="3"/>
  <c r="B529" i="3"/>
  <c r="AB528" i="3"/>
  <c r="I528" i="3"/>
  <c r="C528" i="3"/>
  <c r="B528" i="3"/>
  <c r="AB527" i="3"/>
  <c r="I527" i="3"/>
  <c r="C527" i="3"/>
  <c r="B527" i="3"/>
  <c r="AB526" i="3"/>
  <c r="I526" i="3"/>
  <c r="C526" i="3"/>
  <c r="B526" i="3"/>
  <c r="AB525" i="3"/>
  <c r="I525" i="3"/>
  <c r="C525" i="3"/>
  <c r="B525" i="3"/>
  <c r="AB524" i="3"/>
  <c r="I524" i="3"/>
  <c r="C524" i="3"/>
  <c r="B524" i="3"/>
  <c r="AB523" i="3"/>
  <c r="I523" i="3"/>
  <c r="C523" i="3"/>
  <c r="B523" i="3"/>
  <c r="AB522" i="3"/>
  <c r="I522" i="3"/>
  <c r="C522" i="3"/>
  <c r="B522" i="3"/>
  <c r="AB521" i="3"/>
  <c r="I521" i="3"/>
  <c r="C521" i="3"/>
  <c r="B521" i="3"/>
  <c r="AB520" i="3"/>
  <c r="I520" i="3"/>
  <c r="C520" i="3"/>
  <c r="B520" i="3"/>
  <c r="AB519" i="3"/>
  <c r="I519" i="3"/>
  <c r="C519" i="3"/>
  <c r="B519" i="3"/>
  <c r="AB518" i="3"/>
  <c r="I518" i="3"/>
  <c r="C518" i="3"/>
  <c r="B518" i="3"/>
  <c r="AB517" i="3"/>
  <c r="I517" i="3"/>
  <c r="C517" i="3"/>
  <c r="B517" i="3"/>
  <c r="AB516" i="3"/>
  <c r="I516" i="3"/>
  <c r="C516" i="3"/>
  <c r="B516" i="3"/>
  <c r="AB515" i="3"/>
  <c r="I515" i="3"/>
  <c r="C515" i="3"/>
  <c r="B515" i="3"/>
  <c r="AB514" i="3"/>
  <c r="I514" i="3"/>
  <c r="C514" i="3"/>
  <c r="B514" i="3"/>
  <c r="AB513" i="3"/>
  <c r="I513" i="3"/>
  <c r="C513" i="3"/>
  <c r="B513" i="3"/>
  <c r="AB512" i="3"/>
  <c r="I512" i="3"/>
  <c r="C512" i="3"/>
  <c r="B512" i="3"/>
  <c r="AB511" i="3"/>
  <c r="I511" i="3"/>
  <c r="C511" i="3"/>
  <c r="B511" i="3"/>
  <c r="AB510" i="3"/>
  <c r="I510" i="3"/>
  <c r="C510" i="3"/>
  <c r="B510" i="3"/>
  <c r="AB509" i="3"/>
  <c r="I509" i="3"/>
  <c r="C509" i="3"/>
  <c r="B509" i="3"/>
  <c r="AB508" i="3"/>
  <c r="I508" i="3"/>
  <c r="C508" i="3"/>
  <c r="B508" i="3"/>
  <c r="AB507" i="3"/>
  <c r="I507" i="3"/>
  <c r="C507" i="3"/>
  <c r="B507" i="3"/>
  <c r="AB506" i="3"/>
  <c r="I506" i="3"/>
  <c r="C506" i="3"/>
  <c r="B506" i="3"/>
  <c r="AB505" i="3"/>
  <c r="I505" i="3"/>
  <c r="C505" i="3"/>
  <c r="B505" i="3"/>
  <c r="AB504" i="3"/>
  <c r="I504" i="3"/>
  <c r="C504" i="3"/>
  <c r="B504" i="3"/>
  <c r="AB503" i="3"/>
  <c r="I503" i="3"/>
  <c r="C503" i="3"/>
  <c r="B503" i="3"/>
  <c r="AB502" i="3"/>
  <c r="I502" i="3"/>
  <c r="C502" i="3"/>
  <c r="B502" i="3"/>
  <c r="AB501" i="3"/>
  <c r="I501" i="3"/>
  <c r="C501" i="3"/>
  <c r="B501" i="3"/>
  <c r="AB500" i="3"/>
  <c r="I500" i="3"/>
  <c r="C500" i="3"/>
  <c r="B500" i="3"/>
  <c r="AB499" i="3"/>
  <c r="I499" i="3"/>
  <c r="C499" i="3"/>
  <c r="B499" i="3"/>
  <c r="AB498" i="3"/>
  <c r="I498" i="3"/>
  <c r="C498" i="3"/>
  <c r="B498" i="3"/>
  <c r="AB497" i="3"/>
  <c r="I497" i="3"/>
  <c r="C497" i="3"/>
  <c r="B497" i="3"/>
  <c r="AB496" i="3"/>
  <c r="I496" i="3"/>
  <c r="C496" i="3"/>
  <c r="B496" i="3"/>
  <c r="AB495" i="3"/>
  <c r="I495" i="3"/>
  <c r="C495" i="3"/>
  <c r="B495" i="3"/>
  <c r="AB494" i="3"/>
  <c r="I494" i="3"/>
  <c r="C494" i="3"/>
  <c r="B494" i="3"/>
  <c r="AB493" i="3"/>
  <c r="I493" i="3"/>
  <c r="C493" i="3"/>
  <c r="B493" i="3"/>
  <c r="AB492" i="3"/>
  <c r="I492" i="3"/>
  <c r="C492" i="3"/>
  <c r="B492" i="3"/>
  <c r="AB491" i="3"/>
  <c r="I491" i="3"/>
  <c r="C491" i="3"/>
  <c r="B491" i="3"/>
  <c r="AB490" i="3"/>
  <c r="I490" i="3"/>
  <c r="C490" i="3"/>
  <c r="B490" i="3"/>
  <c r="AB489" i="3"/>
  <c r="I489" i="3"/>
  <c r="C489" i="3"/>
  <c r="B489" i="3"/>
  <c r="AB488" i="3"/>
  <c r="I488" i="3"/>
  <c r="C488" i="3"/>
  <c r="B488" i="3"/>
  <c r="AB487" i="3"/>
  <c r="I487" i="3"/>
  <c r="C487" i="3"/>
  <c r="B487" i="3"/>
  <c r="AB486" i="3"/>
  <c r="I486" i="3"/>
  <c r="C486" i="3"/>
  <c r="B486" i="3"/>
  <c r="AB485" i="3"/>
  <c r="I485" i="3"/>
  <c r="C485" i="3"/>
  <c r="B485" i="3"/>
  <c r="AB484" i="3"/>
  <c r="I484" i="3"/>
  <c r="C484" i="3"/>
  <c r="B484" i="3"/>
  <c r="AB483" i="3"/>
  <c r="I483" i="3"/>
  <c r="C483" i="3"/>
  <c r="B483" i="3"/>
  <c r="AB482" i="3"/>
  <c r="I482" i="3"/>
  <c r="C482" i="3"/>
  <c r="B482" i="3"/>
  <c r="AB481" i="3"/>
  <c r="I481" i="3"/>
  <c r="C481" i="3"/>
  <c r="B481" i="3"/>
  <c r="AB480" i="3"/>
  <c r="I480" i="3"/>
  <c r="C480" i="3"/>
  <c r="B480" i="3"/>
  <c r="AB479" i="3"/>
  <c r="I479" i="3"/>
  <c r="C479" i="3"/>
  <c r="B479" i="3"/>
  <c r="AB478" i="3"/>
  <c r="I478" i="3"/>
  <c r="C478" i="3"/>
  <c r="B478" i="3"/>
  <c r="AB477" i="3"/>
  <c r="I477" i="3"/>
  <c r="C477" i="3"/>
  <c r="B477" i="3"/>
  <c r="AB476" i="3"/>
  <c r="I476" i="3"/>
  <c r="C476" i="3"/>
  <c r="B476" i="3"/>
  <c r="AB475" i="3"/>
  <c r="I475" i="3"/>
  <c r="C475" i="3"/>
  <c r="B475" i="3"/>
  <c r="AB474" i="3"/>
  <c r="I474" i="3"/>
  <c r="C474" i="3"/>
  <c r="B474" i="3"/>
  <c r="AB473" i="3"/>
  <c r="I473" i="3"/>
  <c r="C473" i="3"/>
  <c r="B473" i="3"/>
  <c r="AB472" i="3"/>
  <c r="I472" i="3"/>
  <c r="C472" i="3"/>
  <c r="B472" i="3"/>
  <c r="AB471" i="3"/>
  <c r="I471" i="3"/>
  <c r="C471" i="3"/>
  <c r="B471" i="3"/>
  <c r="AB470" i="3"/>
  <c r="I470" i="3"/>
  <c r="C470" i="3"/>
  <c r="B470" i="3"/>
  <c r="AB469" i="3"/>
  <c r="I469" i="3"/>
  <c r="C469" i="3"/>
  <c r="B469" i="3"/>
  <c r="AB468" i="3"/>
  <c r="I468" i="3"/>
  <c r="C468" i="3"/>
  <c r="B468" i="3"/>
  <c r="AB467" i="3"/>
  <c r="I467" i="3"/>
  <c r="C467" i="3"/>
  <c r="B467" i="3"/>
  <c r="AB466" i="3"/>
  <c r="I466" i="3"/>
  <c r="C466" i="3"/>
  <c r="B466" i="3"/>
  <c r="AB465" i="3"/>
  <c r="I465" i="3"/>
  <c r="C465" i="3"/>
  <c r="B465" i="3"/>
  <c r="AB464" i="3"/>
  <c r="I464" i="3"/>
  <c r="C464" i="3"/>
  <c r="B464" i="3"/>
  <c r="AB463" i="3"/>
  <c r="I463" i="3"/>
  <c r="C463" i="3"/>
  <c r="B463" i="3"/>
  <c r="AB462" i="3"/>
  <c r="I462" i="3"/>
  <c r="C462" i="3"/>
  <c r="B462" i="3"/>
  <c r="AB461" i="3"/>
  <c r="I461" i="3"/>
  <c r="C461" i="3"/>
  <c r="B461" i="3"/>
  <c r="AB460" i="3"/>
  <c r="I460" i="3"/>
  <c r="C460" i="3"/>
  <c r="B460" i="3"/>
  <c r="AB459" i="3"/>
  <c r="I459" i="3"/>
  <c r="C459" i="3"/>
  <c r="B459" i="3"/>
  <c r="AB458" i="3"/>
  <c r="I458" i="3"/>
  <c r="C458" i="3"/>
  <c r="B458" i="3"/>
  <c r="AB457" i="3"/>
  <c r="I457" i="3"/>
  <c r="C457" i="3"/>
  <c r="B457" i="3"/>
  <c r="AB456" i="3"/>
  <c r="I456" i="3"/>
  <c r="C456" i="3"/>
  <c r="B456" i="3"/>
  <c r="AB455" i="3"/>
  <c r="I455" i="3"/>
  <c r="C455" i="3"/>
  <c r="B455" i="3"/>
  <c r="AB454" i="3"/>
  <c r="I454" i="3"/>
  <c r="C454" i="3"/>
  <c r="B454" i="3"/>
  <c r="AB453" i="3"/>
  <c r="I453" i="3"/>
  <c r="C453" i="3"/>
  <c r="B453" i="3"/>
  <c r="AB452" i="3"/>
  <c r="I452" i="3"/>
  <c r="C452" i="3"/>
  <c r="B452" i="3"/>
  <c r="AB451" i="3"/>
  <c r="I451" i="3"/>
  <c r="C451" i="3"/>
  <c r="B451" i="3"/>
  <c r="AB450" i="3"/>
  <c r="I450" i="3"/>
  <c r="C450" i="3"/>
  <c r="B450" i="3"/>
  <c r="AB449" i="3"/>
  <c r="I449" i="3"/>
  <c r="C449" i="3"/>
  <c r="B449" i="3"/>
  <c r="AB448" i="3"/>
  <c r="I448" i="3"/>
  <c r="C448" i="3"/>
  <c r="B448" i="3"/>
  <c r="AB447" i="3"/>
  <c r="I447" i="3"/>
  <c r="C447" i="3"/>
  <c r="B447" i="3"/>
  <c r="AB446" i="3"/>
  <c r="I446" i="3"/>
  <c r="C446" i="3"/>
  <c r="B446" i="3"/>
  <c r="AB445" i="3"/>
  <c r="I445" i="3"/>
  <c r="C445" i="3"/>
  <c r="B445" i="3"/>
  <c r="AB444" i="3"/>
  <c r="I444" i="3"/>
  <c r="C444" i="3"/>
  <c r="B444" i="3"/>
  <c r="AB443" i="3"/>
  <c r="I443" i="3"/>
  <c r="C443" i="3"/>
  <c r="B443" i="3"/>
  <c r="AB442" i="3"/>
  <c r="I442" i="3"/>
  <c r="C442" i="3"/>
  <c r="B442" i="3"/>
  <c r="AB441" i="3"/>
  <c r="I441" i="3"/>
  <c r="C441" i="3"/>
  <c r="B441" i="3"/>
  <c r="AB440" i="3"/>
  <c r="I440" i="3"/>
  <c r="C440" i="3"/>
  <c r="B440" i="3"/>
  <c r="AB439" i="3"/>
  <c r="I439" i="3"/>
  <c r="C439" i="3"/>
  <c r="B439" i="3"/>
  <c r="AB438" i="3"/>
  <c r="I438" i="3"/>
  <c r="C438" i="3"/>
  <c r="B438" i="3"/>
  <c r="AB437" i="3"/>
  <c r="I437" i="3"/>
  <c r="C437" i="3"/>
  <c r="B437" i="3"/>
  <c r="AB436" i="3"/>
  <c r="I436" i="3"/>
  <c r="C436" i="3"/>
  <c r="B436" i="3"/>
  <c r="AB435" i="3"/>
  <c r="I435" i="3"/>
  <c r="C435" i="3"/>
  <c r="B435" i="3"/>
  <c r="AB434" i="3"/>
  <c r="I434" i="3"/>
  <c r="C434" i="3"/>
  <c r="B434" i="3"/>
  <c r="AB433" i="3"/>
  <c r="I433" i="3"/>
  <c r="C433" i="3"/>
  <c r="B433" i="3"/>
  <c r="AB432" i="3"/>
  <c r="I432" i="3"/>
  <c r="C432" i="3"/>
  <c r="B432" i="3"/>
  <c r="AB431" i="3"/>
  <c r="I431" i="3"/>
  <c r="C431" i="3"/>
  <c r="B431" i="3"/>
  <c r="AB430" i="3"/>
  <c r="I430" i="3"/>
  <c r="C430" i="3"/>
  <c r="B430" i="3"/>
  <c r="AB429" i="3"/>
  <c r="I429" i="3"/>
  <c r="C429" i="3"/>
  <c r="B429" i="3"/>
  <c r="AB428" i="3"/>
  <c r="I428" i="3"/>
  <c r="C428" i="3"/>
  <c r="B428" i="3"/>
  <c r="AB427" i="3"/>
  <c r="I427" i="3"/>
  <c r="C427" i="3"/>
  <c r="B427" i="3"/>
  <c r="AB426" i="3"/>
  <c r="I426" i="3"/>
  <c r="C426" i="3"/>
  <c r="B426" i="3"/>
  <c r="AB425" i="3"/>
  <c r="I425" i="3"/>
  <c r="C425" i="3"/>
  <c r="B425" i="3"/>
  <c r="AB424" i="3"/>
  <c r="I424" i="3"/>
  <c r="C424" i="3"/>
  <c r="B424" i="3"/>
  <c r="AB423" i="3"/>
  <c r="I423" i="3"/>
  <c r="C423" i="3"/>
  <c r="B423" i="3"/>
  <c r="AB422" i="3"/>
  <c r="I422" i="3"/>
  <c r="C422" i="3"/>
  <c r="B422" i="3"/>
  <c r="AB421" i="3"/>
  <c r="I421" i="3"/>
  <c r="C421" i="3"/>
  <c r="B421" i="3"/>
  <c r="AB420" i="3"/>
  <c r="I420" i="3"/>
  <c r="C420" i="3"/>
  <c r="B420" i="3"/>
  <c r="AB419" i="3"/>
  <c r="I419" i="3"/>
  <c r="C419" i="3"/>
  <c r="B419" i="3"/>
  <c r="AB418" i="3"/>
  <c r="I418" i="3"/>
  <c r="C418" i="3"/>
  <c r="B418" i="3"/>
  <c r="AB417" i="3"/>
  <c r="I417" i="3"/>
  <c r="C417" i="3"/>
  <c r="B417" i="3"/>
  <c r="AB416" i="3"/>
  <c r="I416" i="3"/>
  <c r="C416" i="3"/>
  <c r="B416" i="3"/>
  <c r="AB415" i="3"/>
  <c r="I415" i="3"/>
  <c r="C415" i="3"/>
  <c r="B415" i="3"/>
  <c r="AB414" i="3"/>
  <c r="I414" i="3"/>
  <c r="C414" i="3"/>
  <c r="B414" i="3"/>
  <c r="AB413" i="3"/>
  <c r="I413" i="3"/>
  <c r="C413" i="3"/>
  <c r="B413" i="3"/>
  <c r="AB412" i="3"/>
  <c r="I412" i="3"/>
  <c r="C412" i="3"/>
  <c r="B412" i="3"/>
  <c r="AB411" i="3"/>
  <c r="I411" i="3"/>
  <c r="C411" i="3"/>
  <c r="B411" i="3"/>
  <c r="AB410" i="3"/>
  <c r="I410" i="3"/>
  <c r="C410" i="3"/>
  <c r="B410" i="3"/>
  <c r="AB409" i="3"/>
  <c r="I409" i="3"/>
  <c r="C409" i="3"/>
  <c r="B409" i="3"/>
  <c r="AB408" i="3"/>
  <c r="I408" i="3"/>
  <c r="C408" i="3"/>
  <c r="B408" i="3"/>
  <c r="AB407" i="3"/>
  <c r="I407" i="3"/>
  <c r="C407" i="3"/>
  <c r="B407" i="3"/>
  <c r="AB406" i="3"/>
  <c r="I406" i="3"/>
  <c r="C406" i="3"/>
  <c r="B406" i="3"/>
  <c r="AB405" i="3"/>
  <c r="I405" i="3"/>
  <c r="C405" i="3"/>
  <c r="B405" i="3"/>
  <c r="AB404" i="3"/>
  <c r="I404" i="3"/>
  <c r="C404" i="3"/>
  <c r="B404" i="3"/>
  <c r="AB403" i="3"/>
  <c r="I403" i="3"/>
  <c r="C403" i="3"/>
  <c r="B403" i="3"/>
  <c r="AB402" i="3"/>
  <c r="I402" i="3"/>
  <c r="C402" i="3"/>
  <c r="B402" i="3"/>
  <c r="AB401" i="3"/>
  <c r="I401" i="3"/>
  <c r="C401" i="3"/>
  <c r="B401" i="3"/>
  <c r="AB400" i="3"/>
  <c r="I400" i="3"/>
  <c r="C400" i="3"/>
  <c r="B400" i="3"/>
  <c r="AB399" i="3"/>
  <c r="I399" i="3"/>
  <c r="C399" i="3"/>
  <c r="B399" i="3"/>
  <c r="AB398" i="3"/>
  <c r="I398" i="3"/>
  <c r="C398" i="3"/>
  <c r="B398" i="3"/>
  <c r="AB397" i="3"/>
  <c r="I397" i="3"/>
  <c r="C397" i="3"/>
  <c r="B397" i="3"/>
  <c r="AB396" i="3"/>
  <c r="I396" i="3"/>
  <c r="C396" i="3"/>
  <c r="B396" i="3"/>
  <c r="AB395" i="3"/>
  <c r="I395" i="3"/>
  <c r="C395" i="3"/>
  <c r="B395" i="3"/>
  <c r="AB394" i="3"/>
  <c r="I394" i="3"/>
  <c r="C394" i="3"/>
  <c r="B394" i="3"/>
  <c r="AB393" i="3"/>
  <c r="I393" i="3"/>
  <c r="C393" i="3"/>
  <c r="B393" i="3"/>
  <c r="AB392" i="3"/>
  <c r="I392" i="3"/>
  <c r="C392" i="3"/>
  <c r="B392" i="3"/>
  <c r="AB391" i="3"/>
  <c r="I391" i="3"/>
  <c r="C391" i="3"/>
  <c r="B391" i="3"/>
  <c r="AB390" i="3"/>
  <c r="I390" i="3"/>
  <c r="C390" i="3"/>
  <c r="B390" i="3"/>
  <c r="AB389" i="3"/>
  <c r="I389" i="3"/>
  <c r="C389" i="3"/>
  <c r="B389" i="3"/>
  <c r="AB388" i="3"/>
  <c r="I388" i="3"/>
  <c r="C388" i="3"/>
  <c r="B388" i="3"/>
  <c r="AB387" i="3"/>
  <c r="I387" i="3"/>
  <c r="C387" i="3"/>
  <c r="B387" i="3"/>
  <c r="AB386" i="3"/>
  <c r="I386" i="3"/>
  <c r="C386" i="3"/>
  <c r="B386" i="3"/>
  <c r="AB385" i="3"/>
  <c r="I385" i="3"/>
  <c r="C385" i="3"/>
  <c r="B385" i="3"/>
  <c r="AB384" i="3"/>
  <c r="I384" i="3"/>
  <c r="C384" i="3"/>
  <c r="B384" i="3"/>
  <c r="AB383" i="3"/>
  <c r="I383" i="3"/>
  <c r="C383" i="3"/>
  <c r="B383" i="3"/>
  <c r="AB382" i="3"/>
  <c r="I382" i="3"/>
  <c r="C382" i="3"/>
  <c r="B382" i="3"/>
  <c r="AB381" i="3"/>
  <c r="I381" i="3"/>
  <c r="C381" i="3"/>
  <c r="B381" i="3"/>
  <c r="AB380" i="3"/>
  <c r="I380" i="3"/>
  <c r="C380" i="3"/>
  <c r="B380" i="3"/>
  <c r="AB379" i="3"/>
  <c r="I379" i="3"/>
  <c r="C379" i="3"/>
  <c r="B379" i="3"/>
  <c r="AB378" i="3"/>
  <c r="I378" i="3"/>
  <c r="C378" i="3"/>
  <c r="B378" i="3"/>
  <c r="AB377" i="3"/>
  <c r="I377" i="3"/>
  <c r="C377" i="3"/>
  <c r="B377" i="3"/>
  <c r="AB376" i="3"/>
  <c r="I376" i="3"/>
  <c r="C376" i="3"/>
  <c r="B376" i="3"/>
  <c r="AB375" i="3"/>
  <c r="I375" i="3"/>
  <c r="C375" i="3"/>
  <c r="B375" i="3"/>
  <c r="AB374" i="3"/>
  <c r="I374" i="3"/>
  <c r="C374" i="3"/>
  <c r="B374" i="3"/>
  <c r="AB373" i="3"/>
  <c r="I373" i="3"/>
  <c r="C373" i="3"/>
  <c r="B373" i="3"/>
  <c r="AB372" i="3"/>
  <c r="I372" i="3"/>
  <c r="C372" i="3"/>
  <c r="B372" i="3"/>
  <c r="AB371" i="3"/>
  <c r="I371" i="3"/>
  <c r="C371" i="3"/>
  <c r="B371" i="3"/>
  <c r="AB370" i="3"/>
  <c r="I370" i="3"/>
  <c r="C370" i="3"/>
  <c r="B370" i="3"/>
  <c r="AB369" i="3"/>
  <c r="I369" i="3"/>
  <c r="C369" i="3"/>
  <c r="B369" i="3"/>
  <c r="AB368" i="3"/>
  <c r="I368" i="3"/>
  <c r="C368" i="3"/>
  <c r="B368" i="3"/>
  <c r="AB367" i="3"/>
  <c r="I367" i="3"/>
  <c r="C367" i="3"/>
  <c r="B367" i="3"/>
  <c r="AB366" i="3"/>
  <c r="I366" i="3"/>
  <c r="C366" i="3"/>
  <c r="B366" i="3"/>
  <c r="AB365" i="3"/>
  <c r="I365" i="3"/>
  <c r="C365" i="3"/>
  <c r="B365" i="3"/>
  <c r="AB364" i="3"/>
  <c r="I364" i="3"/>
  <c r="C364" i="3"/>
  <c r="B364" i="3"/>
  <c r="AB363" i="3"/>
  <c r="I363" i="3"/>
  <c r="C363" i="3"/>
  <c r="B363" i="3"/>
  <c r="AB362" i="3"/>
  <c r="I362" i="3"/>
  <c r="C362" i="3"/>
  <c r="B362" i="3"/>
  <c r="AB361" i="3"/>
  <c r="I361" i="3"/>
  <c r="C361" i="3"/>
  <c r="B361" i="3"/>
  <c r="AB360" i="3"/>
  <c r="I360" i="3"/>
  <c r="C360" i="3"/>
  <c r="B360" i="3"/>
  <c r="AB359" i="3"/>
  <c r="I359" i="3"/>
  <c r="C359" i="3"/>
  <c r="B359" i="3"/>
  <c r="AB358" i="3"/>
  <c r="I358" i="3"/>
  <c r="C358" i="3"/>
  <c r="B358" i="3"/>
  <c r="AB357" i="3"/>
  <c r="I357" i="3"/>
  <c r="C357" i="3"/>
  <c r="B357" i="3"/>
  <c r="AB356" i="3"/>
  <c r="I356" i="3"/>
  <c r="C356" i="3"/>
  <c r="B356" i="3"/>
  <c r="AB355" i="3"/>
  <c r="C355" i="3"/>
  <c r="E295" i="3"/>
  <c r="N294" i="3"/>
  <c r="K293" i="3"/>
  <c r="N292" i="3"/>
  <c r="F656" i="3" s="1"/>
  <c r="B30" i="4"/>
  <c r="D291" i="3"/>
  <c r="B31" i="4" s="1"/>
  <c r="O286" i="3"/>
  <c r="D285" i="3"/>
  <c r="N283" i="3"/>
  <c r="D283" i="3"/>
  <c r="E279" i="3"/>
  <c r="H271" i="3"/>
  <c r="H270" i="3"/>
  <c r="F270" i="3" s="1"/>
  <c r="N267" i="3"/>
  <c r="M267" i="3"/>
  <c r="L267" i="3"/>
  <c r="K267" i="3"/>
  <c r="J267" i="3"/>
  <c r="I267" i="3"/>
  <c r="H267" i="3"/>
  <c r="G267" i="3"/>
  <c r="F267" i="3"/>
  <c r="E267" i="3"/>
  <c r="N187" i="3"/>
  <c r="O184" i="3"/>
  <c r="O183" i="3"/>
  <c r="F180" i="3"/>
  <c r="F179" i="3"/>
  <c r="D177" i="3"/>
  <c r="H176" i="3"/>
  <c r="E176" i="3"/>
  <c r="O124" i="3"/>
  <c r="L124" i="3"/>
  <c r="I124" i="3"/>
  <c r="F124" i="3"/>
  <c r="O123" i="3"/>
  <c r="L123" i="3"/>
  <c r="I123" i="3"/>
  <c r="F123" i="3"/>
  <c r="O122" i="3"/>
  <c r="L122" i="3"/>
  <c r="I122" i="3"/>
  <c r="F122" i="3"/>
  <c r="O121" i="3"/>
  <c r="L121" i="3"/>
  <c r="I121" i="3"/>
  <c r="F121" i="3"/>
  <c r="O120" i="3"/>
  <c r="L120" i="3"/>
  <c r="I120" i="3"/>
  <c r="F120" i="3"/>
  <c r="O119" i="3"/>
  <c r="L119" i="3"/>
  <c r="I119" i="3"/>
  <c r="F119" i="3"/>
  <c r="O118" i="3"/>
  <c r="N118" i="3"/>
  <c r="L118" i="3"/>
  <c r="K118" i="3"/>
  <c r="I118" i="3"/>
  <c r="H118" i="3"/>
  <c r="F118" i="3"/>
  <c r="E118" i="3"/>
  <c r="N108" i="3"/>
  <c r="O105" i="3"/>
  <c r="O104" i="3"/>
  <c r="F101" i="3"/>
  <c r="F100" i="3"/>
  <c r="D98" i="3"/>
  <c r="N97" i="3"/>
  <c r="K97" i="3"/>
  <c r="H97" i="3"/>
  <c r="E97" i="3"/>
  <c r="O43" i="3"/>
  <c r="L43" i="3"/>
  <c r="I43" i="3"/>
  <c r="F43" i="3"/>
  <c r="O42" i="3"/>
  <c r="L42" i="3"/>
  <c r="I42" i="3"/>
  <c r="F42" i="3"/>
  <c r="O41" i="3"/>
  <c r="L41" i="3"/>
  <c r="I41" i="3"/>
  <c r="F41" i="3"/>
  <c r="O40" i="3"/>
  <c r="L40" i="3"/>
  <c r="I40" i="3"/>
  <c r="F40" i="3"/>
  <c r="O39" i="3"/>
  <c r="L39" i="3"/>
  <c r="I39" i="3"/>
  <c r="F39" i="3"/>
  <c r="O38" i="3"/>
  <c r="L38" i="3"/>
  <c r="I38" i="3"/>
  <c r="F38" i="3"/>
  <c r="O37" i="3"/>
  <c r="N37" i="3"/>
  <c r="L37" i="3"/>
  <c r="K37" i="3"/>
  <c r="I37" i="3"/>
  <c r="H37" i="3"/>
  <c r="E37" i="3"/>
  <c r="N27" i="3"/>
  <c r="E27" i="3"/>
  <c r="E25" i="3"/>
  <c r="D21" i="3"/>
  <c r="E19" i="3"/>
  <c r="E18" i="3"/>
  <c r="E17" i="3"/>
  <c r="E16" i="3"/>
  <c r="N18" i="3" s="1"/>
  <c r="E15" i="3"/>
  <c r="E14" i="3"/>
  <c r="E13" i="3"/>
  <c r="K11" i="3"/>
  <c r="I595" i="3" s="1"/>
  <c r="N5" i="3"/>
  <c r="N4" i="3"/>
  <c r="AC716" i="2"/>
  <c r="AA716" i="2"/>
  <c r="T716" i="2"/>
  <c r="O716" i="2"/>
  <c r="I716" i="2"/>
  <c r="B716" i="2"/>
  <c r="AC715" i="2"/>
  <c r="AA715" i="2"/>
  <c r="T715" i="2"/>
  <c r="O715" i="2"/>
  <c r="I715" i="2"/>
  <c r="B715" i="2"/>
  <c r="AC714" i="2"/>
  <c r="AA714" i="2"/>
  <c r="T714" i="2"/>
  <c r="O714" i="2"/>
  <c r="I714" i="2"/>
  <c r="B714" i="2"/>
  <c r="AC713" i="2"/>
  <c r="AA713" i="2"/>
  <c r="T713" i="2"/>
  <c r="O713" i="2"/>
  <c r="I713" i="2"/>
  <c r="B713" i="2"/>
  <c r="AC712" i="2"/>
  <c r="AA712" i="2"/>
  <c r="T712" i="2"/>
  <c r="O712" i="2"/>
  <c r="I712" i="2"/>
  <c r="B712" i="2"/>
  <c r="AC711" i="2"/>
  <c r="AA711" i="2"/>
  <c r="T711" i="2"/>
  <c r="O711" i="2"/>
  <c r="I711" i="2"/>
  <c r="B711" i="2"/>
  <c r="AC710" i="2"/>
  <c r="AA710" i="2"/>
  <c r="T710" i="2"/>
  <c r="O710" i="2"/>
  <c r="I710" i="2"/>
  <c r="B710" i="2"/>
  <c r="AC709" i="2"/>
  <c r="AA709" i="2"/>
  <c r="T709" i="2"/>
  <c r="O709" i="2"/>
  <c r="I709" i="2"/>
  <c r="B709" i="2"/>
  <c r="AC708" i="2"/>
  <c r="AA708" i="2"/>
  <c r="T708" i="2"/>
  <c r="O708" i="2"/>
  <c r="I708" i="2"/>
  <c r="B708" i="2"/>
  <c r="AC707" i="2"/>
  <c r="AA707" i="2"/>
  <c r="T707" i="2"/>
  <c r="O707" i="2"/>
  <c r="I707" i="2"/>
  <c r="B707" i="2"/>
  <c r="AC706" i="2"/>
  <c r="AA706" i="2"/>
  <c r="T706" i="2"/>
  <c r="O706" i="2"/>
  <c r="I706" i="2"/>
  <c r="B706" i="2"/>
  <c r="AC705" i="2"/>
  <c r="AA705" i="2"/>
  <c r="T705" i="2"/>
  <c r="O705" i="2"/>
  <c r="I705" i="2"/>
  <c r="B705" i="2"/>
  <c r="AC704" i="2"/>
  <c r="AA704" i="2"/>
  <c r="T704" i="2"/>
  <c r="O704" i="2"/>
  <c r="I704" i="2"/>
  <c r="B704" i="2"/>
  <c r="AC703" i="2"/>
  <c r="AA703" i="2"/>
  <c r="T703" i="2"/>
  <c r="O703" i="2"/>
  <c r="I703" i="2"/>
  <c r="B703" i="2"/>
  <c r="AC702" i="2"/>
  <c r="AA702" i="2"/>
  <c r="T702" i="2"/>
  <c r="O702" i="2"/>
  <c r="I702" i="2"/>
  <c r="B702" i="2"/>
  <c r="AC701" i="2"/>
  <c r="AA701" i="2"/>
  <c r="T701" i="2"/>
  <c r="O701" i="2"/>
  <c r="I701" i="2"/>
  <c r="B701" i="2"/>
  <c r="AC700" i="2"/>
  <c r="AA700" i="2"/>
  <c r="T700" i="2"/>
  <c r="O700" i="2"/>
  <c r="I700" i="2"/>
  <c r="B700" i="2"/>
  <c r="AC699" i="2"/>
  <c r="AA699" i="2"/>
  <c r="T699" i="2"/>
  <c r="O699" i="2"/>
  <c r="I699" i="2"/>
  <c r="B699" i="2"/>
  <c r="AC698" i="2"/>
  <c r="AA698" i="2"/>
  <c r="T698" i="2"/>
  <c r="O698" i="2"/>
  <c r="I698" i="2"/>
  <c r="B698" i="2"/>
  <c r="AC697" i="2"/>
  <c r="AA697" i="2"/>
  <c r="T697" i="2"/>
  <c r="O697" i="2"/>
  <c r="I697" i="2"/>
  <c r="B697" i="2"/>
  <c r="AC696" i="2"/>
  <c r="AA696" i="2"/>
  <c r="T696" i="2"/>
  <c r="O696" i="2"/>
  <c r="I696" i="2"/>
  <c r="B696" i="2"/>
  <c r="AC695" i="2"/>
  <c r="AA695" i="2"/>
  <c r="T695" i="2"/>
  <c r="O695" i="2"/>
  <c r="I695" i="2"/>
  <c r="B695" i="2"/>
  <c r="AC694" i="2"/>
  <c r="AA694" i="2"/>
  <c r="T694" i="2"/>
  <c r="O694" i="2"/>
  <c r="I694" i="2"/>
  <c r="B694" i="2"/>
  <c r="AC693" i="2"/>
  <c r="AA693" i="2"/>
  <c r="T693" i="2"/>
  <c r="O693" i="2"/>
  <c r="I693" i="2"/>
  <c r="B693" i="2"/>
  <c r="AC692" i="2"/>
  <c r="AA692" i="2"/>
  <c r="T692" i="2"/>
  <c r="O692" i="2"/>
  <c r="I692" i="2"/>
  <c r="B692" i="2"/>
  <c r="AC691" i="2"/>
  <c r="AA691" i="2"/>
  <c r="T691" i="2"/>
  <c r="O691" i="2"/>
  <c r="I691" i="2"/>
  <c r="B691" i="2"/>
  <c r="AC690" i="2"/>
  <c r="AA690" i="2"/>
  <c r="T690" i="2"/>
  <c r="O690" i="2"/>
  <c r="I690" i="2"/>
  <c r="B690" i="2"/>
  <c r="AC689" i="2"/>
  <c r="AA689" i="2"/>
  <c r="T689" i="2"/>
  <c r="O689" i="2"/>
  <c r="I689" i="2"/>
  <c r="B689" i="2"/>
  <c r="AC688" i="2"/>
  <c r="AA688" i="2"/>
  <c r="T688" i="2"/>
  <c r="O688" i="2"/>
  <c r="I688" i="2"/>
  <c r="B688" i="2"/>
  <c r="AC687" i="2"/>
  <c r="AA687" i="2"/>
  <c r="T687" i="2"/>
  <c r="O687" i="2"/>
  <c r="I687" i="2"/>
  <c r="B687" i="2"/>
  <c r="AC686" i="2"/>
  <c r="AA686" i="2"/>
  <c r="T686" i="2"/>
  <c r="O686" i="2"/>
  <c r="I686" i="2"/>
  <c r="B686" i="2"/>
  <c r="AC685" i="2"/>
  <c r="AA685" i="2"/>
  <c r="T685" i="2"/>
  <c r="O685" i="2"/>
  <c r="I685" i="2"/>
  <c r="B685" i="2"/>
  <c r="AC684" i="2"/>
  <c r="AA684" i="2"/>
  <c r="T684" i="2"/>
  <c r="O684" i="2"/>
  <c r="I684" i="2"/>
  <c r="B684" i="2"/>
  <c r="AC683" i="2"/>
  <c r="AA683" i="2"/>
  <c r="T683" i="2"/>
  <c r="O683" i="2"/>
  <c r="I683" i="2"/>
  <c r="B683" i="2"/>
  <c r="AC682" i="2"/>
  <c r="AA682" i="2"/>
  <c r="T682" i="2"/>
  <c r="O682" i="2"/>
  <c r="I682" i="2"/>
  <c r="B682" i="2"/>
  <c r="AC681" i="2"/>
  <c r="AA681" i="2"/>
  <c r="T681" i="2"/>
  <c r="O681" i="2"/>
  <c r="I681" i="2"/>
  <c r="B681" i="2"/>
  <c r="AC680" i="2"/>
  <c r="AA680" i="2"/>
  <c r="T680" i="2"/>
  <c r="O680" i="2"/>
  <c r="I680" i="2"/>
  <c r="B680" i="2"/>
  <c r="AC679" i="2"/>
  <c r="AA679" i="2"/>
  <c r="T679" i="2"/>
  <c r="O679" i="2"/>
  <c r="I679" i="2"/>
  <c r="B679" i="2"/>
  <c r="AC678" i="2"/>
  <c r="AA678" i="2"/>
  <c r="T678" i="2"/>
  <c r="O678" i="2"/>
  <c r="I678" i="2"/>
  <c r="B678" i="2"/>
  <c r="AC677" i="2"/>
  <c r="AA677" i="2"/>
  <c r="T677" i="2"/>
  <c r="O677" i="2"/>
  <c r="I677" i="2"/>
  <c r="B677" i="2"/>
  <c r="AC676" i="2"/>
  <c r="AA676" i="2"/>
  <c r="T676" i="2"/>
  <c r="O676" i="2"/>
  <c r="I676" i="2"/>
  <c r="B676" i="2"/>
  <c r="AC675" i="2"/>
  <c r="AA675" i="2"/>
  <c r="T675" i="2"/>
  <c r="O675" i="2"/>
  <c r="I675" i="2"/>
  <c r="B675" i="2"/>
  <c r="AC674" i="2"/>
  <c r="AA674" i="2"/>
  <c r="T674" i="2"/>
  <c r="O674" i="2"/>
  <c r="I674" i="2"/>
  <c r="B674" i="2"/>
  <c r="AC673" i="2"/>
  <c r="AA673" i="2"/>
  <c r="T673" i="2"/>
  <c r="O673" i="2"/>
  <c r="I673" i="2"/>
  <c r="B673" i="2"/>
  <c r="AC672" i="2"/>
  <c r="AA672" i="2"/>
  <c r="T672" i="2"/>
  <c r="O672" i="2"/>
  <c r="I672" i="2"/>
  <c r="B672" i="2"/>
  <c r="AC671" i="2"/>
  <c r="AA671" i="2"/>
  <c r="T671" i="2"/>
  <c r="O671" i="2"/>
  <c r="I671" i="2"/>
  <c r="B671" i="2"/>
  <c r="AC670" i="2"/>
  <c r="AA670" i="2"/>
  <c r="T670" i="2"/>
  <c r="O670" i="2"/>
  <c r="I670" i="2"/>
  <c r="B670" i="2"/>
  <c r="AC669" i="2"/>
  <c r="AA669" i="2"/>
  <c r="T669" i="2"/>
  <c r="O669" i="2"/>
  <c r="I669" i="2"/>
  <c r="B669" i="2"/>
  <c r="AC668" i="2"/>
  <c r="AA668" i="2"/>
  <c r="T668" i="2"/>
  <c r="O668" i="2"/>
  <c r="I668" i="2"/>
  <c r="B668" i="2"/>
  <c r="AC667" i="2"/>
  <c r="AA667" i="2"/>
  <c r="T667" i="2"/>
  <c r="O667" i="2"/>
  <c r="I667" i="2"/>
  <c r="B667" i="2"/>
  <c r="AC666" i="2"/>
  <c r="AA666" i="2"/>
  <c r="T666" i="2"/>
  <c r="O666" i="2"/>
  <c r="I666" i="2"/>
  <c r="B666" i="2"/>
  <c r="AC665" i="2"/>
  <c r="AA665" i="2"/>
  <c r="T665" i="2"/>
  <c r="O665" i="2"/>
  <c r="I665" i="2"/>
  <c r="B665" i="2"/>
  <c r="AC664" i="2"/>
  <c r="AA664" i="2"/>
  <c r="T664" i="2"/>
  <c r="O664" i="2"/>
  <c r="I664" i="2"/>
  <c r="B664" i="2"/>
  <c r="AC663" i="2"/>
  <c r="AA663" i="2"/>
  <c r="T663" i="2"/>
  <c r="O663" i="2"/>
  <c r="I663" i="2"/>
  <c r="B663" i="2"/>
  <c r="AC662" i="2"/>
  <c r="AA662" i="2"/>
  <c r="T662" i="2"/>
  <c r="O662" i="2"/>
  <c r="I662" i="2"/>
  <c r="B662" i="2"/>
  <c r="AC661" i="2"/>
  <c r="AA661" i="2"/>
  <c r="T661" i="2"/>
  <c r="O661" i="2"/>
  <c r="I661" i="2"/>
  <c r="B661" i="2"/>
  <c r="AC660" i="2"/>
  <c r="AA660" i="2"/>
  <c r="T660" i="2"/>
  <c r="O660" i="2"/>
  <c r="I660" i="2"/>
  <c r="B660" i="2"/>
  <c r="AC659" i="2"/>
  <c r="AA659" i="2"/>
  <c r="T659" i="2"/>
  <c r="O659" i="2"/>
  <c r="I659" i="2"/>
  <c r="B659" i="2"/>
  <c r="AC658" i="2"/>
  <c r="AA658" i="2"/>
  <c r="T658" i="2"/>
  <c r="O658" i="2"/>
  <c r="I658" i="2"/>
  <c r="B658" i="2"/>
  <c r="AC657" i="2"/>
  <c r="AA657" i="2"/>
  <c r="T657" i="2"/>
  <c r="O657" i="2"/>
  <c r="I657" i="2"/>
  <c r="B657" i="2"/>
  <c r="AC656" i="2"/>
  <c r="AA656" i="2"/>
  <c r="T656" i="2"/>
  <c r="O656" i="2"/>
  <c r="I656" i="2"/>
  <c r="B656" i="2"/>
  <c r="AC655" i="2"/>
  <c r="AA655" i="2"/>
  <c r="T655" i="2"/>
  <c r="O655" i="2"/>
  <c r="I655" i="2"/>
  <c r="B655" i="2"/>
  <c r="AC654" i="2"/>
  <c r="AA654" i="2"/>
  <c r="T654" i="2"/>
  <c r="O654" i="2"/>
  <c r="I654" i="2"/>
  <c r="B654" i="2"/>
  <c r="AC653" i="2"/>
  <c r="AA653" i="2"/>
  <c r="T653" i="2"/>
  <c r="O653" i="2"/>
  <c r="I653" i="2"/>
  <c r="B653" i="2"/>
  <c r="AC652" i="2"/>
  <c r="AA652" i="2"/>
  <c r="T652" i="2"/>
  <c r="O652" i="2"/>
  <c r="I652" i="2"/>
  <c r="B652" i="2"/>
  <c r="AC651" i="2"/>
  <c r="AA651" i="2"/>
  <c r="T651" i="2"/>
  <c r="O651" i="2"/>
  <c r="I651" i="2"/>
  <c r="B651" i="2"/>
  <c r="AC650" i="2"/>
  <c r="AA650" i="2"/>
  <c r="T650" i="2"/>
  <c r="O650" i="2"/>
  <c r="I650" i="2"/>
  <c r="B650" i="2"/>
  <c r="AC649" i="2"/>
  <c r="AA649" i="2"/>
  <c r="T649" i="2"/>
  <c r="O649" i="2"/>
  <c r="I649" i="2"/>
  <c r="B649" i="2"/>
  <c r="AC648" i="2"/>
  <c r="AA648" i="2"/>
  <c r="T648" i="2"/>
  <c r="O648" i="2"/>
  <c r="I648" i="2"/>
  <c r="B648" i="2"/>
  <c r="AC647" i="2"/>
  <c r="AA647" i="2"/>
  <c r="T647" i="2"/>
  <c r="O647" i="2"/>
  <c r="I647" i="2"/>
  <c r="B647" i="2"/>
  <c r="AC646" i="2"/>
  <c r="AA646" i="2"/>
  <c r="T646" i="2"/>
  <c r="O646" i="2"/>
  <c r="I646" i="2"/>
  <c r="B646" i="2"/>
  <c r="AC645" i="2"/>
  <c r="AA645" i="2"/>
  <c r="T645" i="2"/>
  <c r="O645" i="2"/>
  <c r="I645" i="2"/>
  <c r="B645" i="2"/>
  <c r="AC644" i="2"/>
  <c r="AA644" i="2"/>
  <c r="T644" i="2"/>
  <c r="O644" i="2"/>
  <c r="I644" i="2"/>
  <c r="B644" i="2"/>
  <c r="AC643" i="2"/>
  <c r="AA643" i="2"/>
  <c r="T643" i="2"/>
  <c r="O643" i="2"/>
  <c r="I643" i="2"/>
  <c r="B643" i="2"/>
  <c r="AC642" i="2"/>
  <c r="AA642" i="2"/>
  <c r="T642" i="2"/>
  <c r="O642" i="2"/>
  <c r="I642" i="2"/>
  <c r="B642" i="2"/>
  <c r="AC641" i="2"/>
  <c r="AA641" i="2"/>
  <c r="T641" i="2"/>
  <c r="O641" i="2"/>
  <c r="I641" i="2"/>
  <c r="B641" i="2"/>
  <c r="AC640" i="2"/>
  <c r="AA640" i="2"/>
  <c r="T640" i="2"/>
  <c r="O640" i="2"/>
  <c r="I640" i="2"/>
  <c r="B640" i="2"/>
  <c r="AC639" i="2"/>
  <c r="AA639" i="2"/>
  <c r="T639" i="2"/>
  <c r="O639" i="2"/>
  <c r="I639" i="2"/>
  <c r="B639" i="2"/>
  <c r="AC638" i="2"/>
  <c r="AA638" i="2"/>
  <c r="T638" i="2"/>
  <c r="O638" i="2"/>
  <c r="I638" i="2"/>
  <c r="B638" i="2"/>
  <c r="AC637" i="2"/>
  <c r="AA637" i="2"/>
  <c r="T637" i="2"/>
  <c r="O637" i="2"/>
  <c r="I637" i="2"/>
  <c r="B637" i="2"/>
  <c r="AC636" i="2"/>
  <c r="AA636" i="2"/>
  <c r="T636" i="2"/>
  <c r="O636" i="2"/>
  <c r="I636" i="2"/>
  <c r="B636" i="2"/>
  <c r="AC635" i="2"/>
  <c r="AA635" i="2"/>
  <c r="T635" i="2"/>
  <c r="O635" i="2"/>
  <c r="I635" i="2"/>
  <c r="B635" i="2"/>
  <c r="AC634" i="2"/>
  <c r="AA634" i="2"/>
  <c r="T634" i="2"/>
  <c r="O634" i="2"/>
  <c r="I634" i="2"/>
  <c r="B634" i="2"/>
  <c r="AC633" i="2"/>
  <c r="AA633" i="2"/>
  <c r="T633" i="2"/>
  <c r="O633" i="2"/>
  <c r="I633" i="2"/>
  <c r="B633" i="2"/>
  <c r="AC632" i="2"/>
  <c r="AA632" i="2"/>
  <c r="T632" i="2"/>
  <c r="O632" i="2"/>
  <c r="I632" i="2"/>
  <c r="B632" i="2"/>
  <c r="AC631" i="2"/>
  <c r="AA631" i="2"/>
  <c r="T631" i="2"/>
  <c r="O631" i="2"/>
  <c r="I631" i="2"/>
  <c r="B631" i="2"/>
  <c r="AC630" i="2"/>
  <c r="AA630" i="2"/>
  <c r="T630" i="2"/>
  <c r="O630" i="2"/>
  <c r="I630" i="2"/>
  <c r="B630" i="2"/>
  <c r="AC629" i="2"/>
  <c r="AA629" i="2"/>
  <c r="T629" i="2"/>
  <c r="O629" i="2"/>
  <c r="I629" i="2"/>
  <c r="B629" i="2"/>
  <c r="AC628" i="2"/>
  <c r="AA628" i="2"/>
  <c r="T628" i="2"/>
  <c r="O628" i="2"/>
  <c r="I628" i="2"/>
  <c r="B628" i="2"/>
  <c r="AC627" i="2"/>
  <c r="AA627" i="2"/>
  <c r="T627" i="2"/>
  <c r="O627" i="2"/>
  <c r="I627" i="2"/>
  <c r="B627" i="2"/>
  <c r="AC626" i="2"/>
  <c r="AA626" i="2"/>
  <c r="T626" i="2"/>
  <c r="O626" i="2"/>
  <c r="I626" i="2"/>
  <c r="B626" i="2"/>
  <c r="AC625" i="2"/>
  <c r="AA625" i="2"/>
  <c r="T625" i="2"/>
  <c r="O625" i="2"/>
  <c r="I625" i="2"/>
  <c r="B625" i="2"/>
  <c r="AC624" i="2"/>
  <c r="AA624" i="2"/>
  <c r="T624" i="2"/>
  <c r="O624" i="2"/>
  <c r="I624" i="2"/>
  <c r="B624" i="2"/>
  <c r="AC623" i="2"/>
  <c r="AA623" i="2"/>
  <c r="T623" i="2"/>
  <c r="O623" i="2"/>
  <c r="I623" i="2"/>
  <c r="B623" i="2"/>
  <c r="AC622" i="2"/>
  <c r="AA622" i="2"/>
  <c r="T622" i="2"/>
  <c r="O622" i="2"/>
  <c r="I622" i="2"/>
  <c r="B622" i="2"/>
  <c r="AC621" i="2"/>
  <c r="AA621" i="2"/>
  <c r="T621" i="2"/>
  <c r="O621" i="2"/>
  <c r="I621" i="2"/>
  <c r="B621" i="2"/>
  <c r="AC620" i="2"/>
  <c r="AA620" i="2"/>
  <c r="T620" i="2"/>
  <c r="O620" i="2"/>
  <c r="I620" i="2"/>
  <c r="B620" i="2"/>
  <c r="AC619" i="2"/>
  <c r="AA619" i="2"/>
  <c r="T619" i="2"/>
  <c r="O619" i="2"/>
  <c r="I619" i="2"/>
  <c r="B619" i="2"/>
  <c r="AC618" i="2"/>
  <c r="AA618" i="2"/>
  <c r="T618" i="2"/>
  <c r="O618" i="2"/>
  <c r="I618" i="2"/>
  <c r="B618" i="2"/>
  <c r="AC617" i="2"/>
  <c r="AA617" i="2"/>
  <c r="T617" i="2"/>
  <c r="O617" i="2"/>
  <c r="I617" i="2"/>
  <c r="B617" i="2"/>
  <c r="AC616" i="2"/>
  <c r="AA616" i="2"/>
  <c r="T616" i="2"/>
  <c r="O616" i="2"/>
  <c r="I616" i="2"/>
  <c r="B616" i="2"/>
  <c r="AC615" i="2"/>
  <c r="AA615" i="2"/>
  <c r="T615" i="2"/>
  <c r="O615" i="2"/>
  <c r="I615" i="2"/>
  <c r="B615" i="2"/>
  <c r="AC614" i="2"/>
  <c r="AA614" i="2"/>
  <c r="T614" i="2"/>
  <c r="O614" i="2"/>
  <c r="I614" i="2"/>
  <c r="B614" i="2"/>
  <c r="AC613" i="2"/>
  <c r="AA613" i="2"/>
  <c r="T613" i="2"/>
  <c r="O613" i="2"/>
  <c r="I613" i="2"/>
  <c r="B613" i="2"/>
  <c r="AC612" i="2"/>
  <c r="AA612" i="2"/>
  <c r="T612" i="2"/>
  <c r="O612" i="2"/>
  <c r="I612" i="2"/>
  <c r="B612" i="2"/>
  <c r="AC611" i="2"/>
  <c r="AA611" i="2"/>
  <c r="T611" i="2"/>
  <c r="O611" i="2"/>
  <c r="I611" i="2"/>
  <c r="B611" i="2"/>
  <c r="AC610" i="2"/>
  <c r="AA610" i="2"/>
  <c r="T610" i="2"/>
  <c r="O610" i="2"/>
  <c r="I610" i="2"/>
  <c r="B610" i="2"/>
  <c r="AC609" i="2"/>
  <c r="AA609" i="2"/>
  <c r="T609" i="2"/>
  <c r="O609" i="2"/>
  <c r="I609" i="2"/>
  <c r="B609" i="2"/>
  <c r="AC608" i="2"/>
  <c r="AA608" i="2"/>
  <c r="T608" i="2"/>
  <c r="O608" i="2"/>
  <c r="I608" i="2"/>
  <c r="B608" i="2"/>
  <c r="AC607" i="2"/>
  <c r="AA607" i="2"/>
  <c r="T607" i="2"/>
  <c r="O607" i="2"/>
  <c r="I607" i="2"/>
  <c r="B607" i="2"/>
  <c r="AC606" i="2"/>
  <c r="AA606" i="2"/>
  <c r="T606" i="2"/>
  <c r="O606" i="2"/>
  <c r="I606" i="2"/>
  <c r="B606" i="2"/>
  <c r="AC605" i="2"/>
  <c r="AA605" i="2"/>
  <c r="T605" i="2"/>
  <c r="O605" i="2"/>
  <c r="I605" i="2"/>
  <c r="B605" i="2"/>
  <c r="AC604" i="2"/>
  <c r="AA604" i="2"/>
  <c r="T604" i="2"/>
  <c r="O604" i="2"/>
  <c r="I604" i="2"/>
  <c r="B604" i="2"/>
  <c r="AC603" i="2"/>
  <c r="AA603" i="2"/>
  <c r="T603" i="2"/>
  <c r="O603" i="2"/>
  <c r="I603" i="2"/>
  <c r="B603" i="2"/>
  <c r="AC602" i="2"/>
  <c r="AA602" i="2"/>
  <c r="T602" i="2"/>
  <c r="O602" i="2"/>
  <c r="I602" i="2"/>
  <c r="B602" i="2"/>
  <c r="AC601" i="2"/>
  <c r="AA601" i="2"/>
  <c r="T601" i="2"/>
  <c r="O601" i="2"/>
  <c r="I601" i="2"/>
  <c r="B601" i="2"/>
  <c r="AC600" i="2"/>
  <c r="AA600" i="2"/>
  <c r="T600" i="2"/>
  <c r="O600" i="2"/>
  <c r="I600" i="2"/>
  <c r="B600" i="2"/>
  <c r="AC599" i="2"/>
  <c r="AA599" i="2"/>
  <c r="T599" i="2"/>
  <c r="O599" i="2"/>
  <c r="I599" i="2"/>
  <c r="B599" i="2"/>
  <c r="AC598" i="2"/>
  <c r="AA598" i="2"/>
  <c r="T598" i="2"/>
  <c r="O598" i="2"/>
  <c r="I598" i="2"/>
  <c r="B598" i="2"/>
  <c r="AC597" i="2"/>
  <c r="AA597" i="2"/>
  <c r="T597" i="2"/>
  <c r="O597" i="2"/>
  <c r="I597" i="2"/>
  <c r="B597" i="2"/>
  <c r="AC596" i="2"/>
  <c r="AA596" i="2"/>
  <c r="T596" i="2"/>
  <c r="O596" i="2"/>
  <c r="I596" i="2"/>
  <c r="B596" i="2"/>
  <c r="AC595" i="2"/>
  <c r="AA595" i="2"/>
  <c r="T595" i="2"/>
  <c r="O595" i="2"/>
  <c r="I595" i="2"/>
  <c r="B595" i="2"/>
  <c r="AC594" i="2"/>
  <c r="AA594" i="2"/>
  <c r="T594" i="2"/>
  <c r="O594" i="2"/>
  <c r="I594" i="2"/>
  <c r="B594" i="2"/>
  <c r="AC593" i="2"/>
  <c r="AA593" i="2"/>
  <c r="T593" i="2"/>
  <c r="O593" i="2"/>
  <c r="I593" i="2"/>
  <c r="B593" i="2"/>
  <c r="AC592" i="2"/>
  <c r="AA592" i="2"/>
  <c r="T592" i="2"/>
  <c r="O592" i="2"/>
  <c r="I592" i="2"/>
  <c r="B592" i="2"/>
  <c r="AC591" i="2"/>
  <c r="AA591" i="2"/>
  <c r="T591" i="2"/>
  <c r="O591" i="2"/>
  <c r="I591" i="2"/>
  <c r="B591" i="2"/>
  <c r="AC590" i="2"/>
  <c r="AA590" i="2"/>
  <c r="T590" i="2"/>
  <c r="O590" i="2"/>
  <c r="I590" i="2"/>
  <c r="B590" i="2"/>
  <c r="AC589" i="2"/>
  <c r="AA589" i="2"/>
  <c r="T589" i="2"/>
  <c r="O589" i="2"/>
  <c r="I589" i="2"/>
  <c r="B589" i="2"/>
  <c r="AC588" i="2"/>
  <c r="AA588" i="2"/>
  <c r="T588" i="2"/>
  <c r="O588" i="2"/>
  <c r="I588" i="2"/>
  <c r="B588" i="2"/>
  <c r="AC587" i="2"/>
  <c r="AA587" i="2"/>
  <c r="T587" i="2"/>
  <c r="O587" i="2"/>
  <c r="I587" i="2"/>
  <c r="B587" i="2"/>
  <c r="AC586" i="2"/>
  <c r="AA586" i="2"/>
  <c r="T586" i="2"/>
  <c r="O586" i="2"/>
  <c r="I586" i="2"/>
  <c r="B586" i="2"/>
  <c r="AC585" i="2"/>
  <c r="AA585" i="2"/>
  <c r="T585" i="2"/>
  <c r="O585" i="2"/>
  <c r="I585" i="2"/>
  <c r="B585" i="2"/>
  <c r="AC584" i="2"/>
  <c r="AA584" i="2"/>
  <c r="T584" i="2"/>
  <c r="O584" i="2"/>
  <c r="I584" i="2"/>
  <c r="B584" i="2"/>
  <c r="AC583" i="2"/>
  <c r="AA583" i="2"/>
  <c r="T583" i="2"/>
  <c r="O583" i="2"/>
  <c r="I583" i="2"/>
  <c r="B583" i="2"/>
  <c r="AC582" i="2"/>
  <c r="AA582" i="2"/>
  <c r="T582" i="2"/>
  <c r="O582" i="2"/>
  <c r="I582" i="2"/>
  <c r="B582" i="2"/>
  <c r="AC581" i="2"/>
  <c r="AA581" i="2"/>
  <c r="T581" i="2"/>
  <c r="O581" i="2"/>
  <c r="I581" i="2"/>
  <c r="B581" i="2"/>
  <c r="AC580" i="2"/>
  <c r="AA580" i="2"/>
  <c r="T580" i="2"/>
  <c r="O580" i="2"/>
  <c r="I580" i="2"/>
  <c r="B580" i="2"/>
  <c r="AC579" i="2"/>
  <c r="AA579" i="2"/>
  <c r="T579" i="2"/>
  <c r="O579" i="2"/>
  <c r="I579" i="2"/>
  <c r="B579" i="2"/>
  <c r="AC578" i="2"/>
  <c r="AA578" i="2"/>
  <c r="T578" i="2"/>
  <c r="O578" i="2"/>
  <c r="I578" i="2"/>
  <c r="B578" i="2"/>
  <c r="AC577" i="2"/>
  <c r="AA577" i="2"/>
  <c r="T577" i="2"/>
  <c r="O577" i="2"/>
  <c r="I577" i="2"/>
  <c r="B577" i="2"/>
  <c r="AC576" i="2"/>
  <c r="AA576" i="2"/>
  <c r="T576" i="2"/>
  <c r="O576" i="2"/>
  <c r="I576" i="2"/>
  <c r="B576" i="2"/>
  <c r="AC575" i="2"/>
  <c r="AA575" i="2"/>
  <c r="T575" i="2"/>
  <c r="O575" i="2"/>
  <c r="I575" i="2"/>
  <c r="B575" i="2"/>
  <c r="AC574" i="2"/>
  <c r="AA574" i="2"/>
  <c r="T574" i="2"/>
  <c r="O574" i="2"/>
  <c r="I574" i="2"/>
  <c r="B574" i="2"/>
  <c r="AC573" i="2"/>
  <c r="AA573" i="2"/>
  <c r="T573" i="2"/>
  <c r="O573" i="2"/>
  <c r="I573" i="2"/>
  <c r="B573" i="2"/>
  <c r="AC572" i="2"/>
  <c r="AA572" i="2"/>
  <c r="T572" i="2"/>
  <c r="O572" i="2"/>
  <c r="I572" i="2"/>
  <c r="B572" i="2"/>
  <c r="AC571" i="2"/>
  <c r="AA571" i="2"/>
  <c r="T571" i="2"/>
  <c r="O571" i="2"/>
  <c r="I571" i="2"/>
  <c r="B571" i="2"/>
  <c r="AC570" i="2"/>
  <c r="AA570" i="2"/>
  <c r="T570" i="2"/>
  <c r="O570" i="2"/>
  <c r="I570" i="2"/>
  <c r="B570" i="2"/>
  <c r="AC569" i="2"/>
  <c r="AA569" i="2"/>
  <c r="T569" i="2"/>
  <c r="O569" i="2"/>
  <c r="I569" i="2"/>
  <c r="B569" i="2"/>
  <c r="AC568" i="2"/>
  <c r="AA568" i="2"/>
  <c r="T568" i="2"/>
  <c r="O568" i="2"/>
  <c r="I568" i="2"/>
  <c r="B568" i="2"/>
  <c r="AC567" i="2"/>
  <c r="AA567" i="2"/>
  <c r="T567" i="2"/>
  <c r="O567" i="2"/>
  <c r="I567" i="2"/>
  <c r="B567" i="2"/>
  <c r="AC566" i="2"/>
  <c r="AA566" i="2"/>
  <c r="T566" i="2"/>
  <c r="O566" i="2"/>
  <c r="I566" i="2"/>
  <c r="B566" i="2"/>
  <c r="AC565" i="2"/>
  <c r="AA565" i="2"/>
  <c r="T565" i="2"/>
  <c r="O565" i="2"/>
  <c r="I565" i="2"/>
  <c r="B565" i="2"/>
  <c r="AC564" i="2"/>
  <c r="AA564" i="2"/>
  <c r="T564" i="2"/>
  <c r="O564" i="2"/>
  <c r="I564" i="2"/>
  <c r="B564" i="2"/>
  <c r="AC563" i="2"/>
  <c r="AA563" i="2"/>
  <c r="T563" i="2"/>
  <c r="O563" i="2"/>
  <c r="I563" i="2"/>
  <c r="B563" i="2"/>
  <c r="AC562" i="2"/>
  <c r="AA562" i="2"/>
  <c r="T562" i="2"/>
  <c r="O562" i="2"/>
  <c r="I562" i="2"/>
  <c r="B562" i="2"/>
  <c r="AC561" i="2"/>
  <c r="AA561" i="2"/>
  <c r="T561" i="2"/>
  <c r="O561" i="2"/>
  <c r="I561" i="2"/>
  <c r="B561" i="2"/>
  <c r="AC560" i="2"/>
  <c r="AA560" i="2"/>
  <c r="T560" i="2"/>
  <c r="O560" i="2"/>
  <c r="I560" i="2"/>
  <c r="B560" i="2"/>
  <c r="AC559" i="2"/>
  <c r="AA559" i="2"/>
  <c r="T559" i="2"/>
  <c r="O559" i="2"/>
  <c r="I559" i="2"/>
  <c r="B559" i="2"/>
  <c r="AC558" i="2"/>
  <c r="AA558" i="2"/>
  <c r="T558" i="2"/>
  <c r="O558" i="2"/>
  <c r="I558" i="2"/>
  <c r="B558" i="2"/>
  <c r="AC557" i="2"/>
  <c r="AA557" i="2"/>
  <c r="T557" i="2"/>
  <c r="O557" i="2"/>
  <c r="I557" i="2"/>
  <c r="B557" i="2"/>
  <c r="AC556" i="2"/>
  <c r="AA556" i="2"/>
  <c r="T556" i="2"/>
  <c r="O556" i="2"/>
  <c r="I556" i="2"/>
  <c r="B556" i="2"/>
  <c r="AC555" i="2"/>
  <c r="AA555" i="2"/>
  <c r="T555" i="2"/>
  <c r="O555" i="2"/>
  <c r="I555" i="2"/>
  <c r="B555" i="2"/>
  <c r="AC554" i="2"/>
  <c r="AA554" i="2"/>
  <c r="T554" i="2"/>
  <c r="O554" i="2"/>
  <c r="I554" i="2"/>
  <c r="B554" i="2"/>
  <c r="AC553" i="2"/>
  <c r="AA553" i="2"/>
  <c r="T553" i="2"/>
  <c r="O553" i="2"/>
  <c r="I553" i="2"/>
  <c r="B553" i="2"/>
  <c r="AC552" i="2"/>
  <c r="AA552" i="2"/>
  <c r="T552" i="2"/>
  <c r="O552" i="2"/>
  <c r="I552" i="2"/>
  <c r="B552" i="2"/>
  <c r="AC551" i="2"/>
  <c r="AA551" i="2"/>
  <c r="T551" i="2"/>
  <c r="O551" i="2"/>
  <c r="I551" i="2"/>
  <c r="B551" i="2"/>
  <c r="AC550" i="2"/>
  <c r="AA550" i="2"/>
  <c r="T550" i="2"/>
  <c r="O550" i="2"/>
  <c r="I550" i="2"/>
  <c r="B550" i="2"/>
  <c r="AC549" i="2"/>
  <c r="AA549" i="2"/>
  <c r="T549" i="2"/>
  <c r="O549" i="2"/>
  <c r="I549" i="2"/>
  <c r="B549" i="2"/>
  <c r="AC548" i="2"/>
  <c r="AA548" i="2"/>
  <c r="T548" i="2"/>
  <c r="O548" i="2"/>
  <c r="I548" i="2"/>
  <c r="B548" i="2"/>
  <c r="AC547" i="2"/>
  <c r="AA547" i="2"/>
  <c r="T547" i="2"/>
  <c r="O547" i="2"/>
  <c r="I547" i="2"/>
  <c r="B547" i="2"/>
  <c r="AC546" i="2"/>
  <c r="AA546" i="2"/>
  <c r="T546" i="2"/>
  <c r="O546" i="2"/>
  <c r="I546" i="2"/>
  <c r="B546" i="2"/>
  <c r="AC545" i="2"/>
  <c r="AA545" i="2"/>
  <c r="T545" i="2"/>
  <c r="O545" i="2"/>
  <c r="I545" i="2"/>
  <c r="B545" i="2"/>
  <c r="AC544" i="2"/>
  <c r="AA544" i="2"/>
  <c r="T544" i="2"/>
  <c r="O544" i="2"/>
  <c r="I544" i="2"/>
  <c r="B544" i="2"/>
  <c r="AC543" i="2"/>
  <c r="AA543" i="2"/>
  <c r="T543" i="2"/>
  <c r="O543" i="2"/>
  <c r="I543" i="2"/>
  <c r="B543" i="2"/>
  <c r="AC542" i="2"/>
  <c r="AA542" i="2"/>
  <c r="T542" i="2"/>
  <c r="O542" i="2"/>
  <c r="I542" i="2"/>
  <c r="B542" i="2"/>
  <c r="AC541" i="2"/>
  <c r="AA541" i="2"/>
  <c r="T541" i="2"/>
  <c r="O541" i="2"/>
  <c r="I541" i="2"/>
  <c r="B541" i="2"/>
  <c r="AC540" i="2"/>
  <c r="AA540" i="2"/>
  <c r="T540" i="2"/>
  <c r="O540" i="2"/>
  <c r="I540" i="2"/>
  <c r="B540" i="2"/>
  <c r="AC539" i="2"/>
  <c r="AA539" i="2"/>
  <c r="T539" i="2"/>
  <c r="O539" i="2"/>
  <c r="I539" i="2"/>
  <c r="B539" i="2"/>
  <c r="AC538" i="2"/>
  <c r="AA538" i="2"/>
  <c r="T538" i="2"/>
  <c r="O538" i="2"/>
  <c r="I538" i="2"/>
  <c r="B538" i="2"/>
  <c r="AC537" i="2"/>
  <c r="AA537" i="2"/>
  <c r="T537" i="2"/>
  <c r="O537" i="2"/>
  <c r="I537" i="2"/>
  <c r="B537" i="2"/>
  <c r="AC536" i="2"/>
  <c r="AA536" i="2"/>
  <c r="T536" i="2"/>
  <c r="O536" i="2"/>
  <c r="I536" i="2"/>
  <c r="B536" i="2"/>
  <c r="AC535" i="2"/>
  <c r="AA535" i="2"/>
  <c r="T535" i="2"/>
  <c r="O535" i="2"/>
  <c r="I535" i="2"/>
  <c r="B535" i="2"/>
  <c r="AC534" i="2"/>
  <c r="AA534" i="2"/>
  <c r="T534" i="2"/>
  <c r="O534" i="2"/>
  <c r="I534" i="2"/>
  <c r="B534" i="2"/>
  <c r="AC533" i="2"/>
  <c r="AA533" i="2"/>
  <c r="T533" i="2"/>
  <c r="O533" i="2"/>
  <c r="I533" i="2"/>
  <c r="B533" i="2"/>
  <c r="AC532" i="2"/>
  <c r="AA532" i="2"/>
  <c r="T532" i="2"/>
  <c r="O532" i="2"/>
  <c r="I532" i="2"/>
  <c r="B532" i="2"/>
  <c r="AC531" i="2"/>
  <c r="AA531" i="2"/>
  <c r="T531" i="2"/>
  <c r="O531" i="2"/>
  <c r="I531" i="2"/>
  <c r="B531" i="2"/>
  <c r="AC530" i="2"/>
  <c r="AA530" i="2"/>
  <c r="T530" i="2"/>
  <c r="O530" i="2"/>
  <c r="I530" i="2"/>
  <c r="B530" i="2"/>
  <c r="AC529" i="2"/>
  <c r="AA529" i="2"/>
  <c r="T529" i="2"/>
  <c r="O529" i="2"/>
  <c r="I529" i="2"/>
  <c r="B529" i="2"/>
  <c r="AC528" i="2"/>
  <c r="AA528" i="2"/>
  <c r="T528" i="2"/>
  <c r="O528" i="2"/>
  <c r="I528" i="2"/>
  <c r="B528" i="2"/>
  <c r="AC527" i="2"/>
  <c r="AA527" i="2"/>
  <c r="T527" i="2"/>
  <c r="O527" i="2"/>
  <c r="I527" i="2"/>
  <c r="B527" i="2"/>
  <c r="AC526" i="2"/>
  <c r="AA526" i="2"/>
  <c r="T526" i="2"/>
  <c r="O526" i="2"/>
  <c r="I526" i="2"/>
  <c r="B526" i="2"/>
  <c r="AC525" i="2"/>
  <c r="AA525" i="2"/>
  <c r="T525" i="2"/>
  <c r="O525" i="2"/>
  <c r="I525" i="2"/>
  <c r="B525" i="2"/>
  <c r="AC524" i="2"/>
  <c r="AA524" i="2"/>
  <c r="T524" i="2"/>
  <c r="O524" i="2"/>
  <c r="I524" i="2"/>
  <c r="B524" i="2"/>
  <c r="AC523" i="2"/>
  <c r="AA523" i="2"/>
  <c r="T523" i="2"/>
  <c r="O523" i="2"/>
  <c r="I523" i="2"/>
  <c r="B523" i="2"/>
  <c r="AC522" i="2"/>
  <c r="AA522" i="2"/>
  <c r="T522" i="2"/>
  <c r="O522" i="2"/>
  <c r="I522" i="2"/>
  <c r="B522" i="2"/>
  <c r="AC521" i="2"/>
  <c r="AA521" i="2"/>
  <c r="T521" i="2"/>
  <c r="O521" i="2"/>
  <c r="I521" i="2"/>
  <c r="B521" i="2"/>
  <c r="AC520" i="2"/>
  <c r="AA520" i="2"/>
  <c r="T520" i="2"/>
  <c r="O520" i="2"/>
  <c r="I520" i="2"/>
  <c r="B520" i="2"/>
  <c r="AC519" i="2"/>
  <c r="AA519" i="2"/>
  <c r="T519" i="2"/>
  <c r="O519" i="2"/>
  <c r="I519" i="2"/>
  <c r="B519" i="2"/>
  <c r="AC518" i="2"/>
  <c r="AA518" i="2"/>
  <c r="T518" i="2"/>
  <c r="O518" i="2"/>
  <c r="I518" i="2"/>
  <c r="B518" i="2"/>
  <c r="AC517" i="2"/>
  <c r="AA517" i="2"/>
  <c r="T517" i="2"/>
  <c r="O517" i="2"/>
  <c r="I517" i="2"/>
  <c r="B517" i="2"/>
  <c r="AC516" i="2"/>
  <c r="AA516" i="2"/>
  <c r="T516" i="2"/>
  <c r="O516" i="2"/>
  <c r="I516" i="2"/>
  <c r="B516" i="2"/>
  <c r="AC515" i="2"/>
  <c r="AA515" i="2"/>
  <c r="T515" i="2"/>
  <c r="O515" i="2"/>
  <c r="I515" i="2"/>
  <c r="B515" i="2"/>
  <c r="AC514" i="2"/>
  <c r="AA514" i="2"/>
  <c r="T514" i="2"/>
  <c r="O514" i="2"/>
  <c r="I514" i="2"/>
  <c r="B514" i="2"/>
  <c r="AC513" i="2"/>
  <c r="AA513" i="2"/>
  <c r="T513" i="2"/>
  <c r="O513" i="2"/>
  <c r="I513" i="2"/>
  <c r="B513" i="2"/>
  <c r="AC512" i="2"/>
  <c r="AA512" i="2"/>
  <c r="T512" i="2"/>
  <c r="O512" i="2"/>
  <c r="I512" i="2"/>
  <c r="B512" i="2"/>
  <c r="AC511" i="2"/>
  <c r="AA511" i="2"/>
  <c r="T511" i="2"/>
  <c r="O511" i="2"/>
  <c r="I511" i="2"/>
  <c r="B511" i="2"/>
  <c r="AC510" i="2"/>
  <c r="AA510" i="2"/>
  <c r="T510" i="2"/>
  <c r="O510" i="2"/>
  <c r="I510" i="2"/>
  <c r="B510" i="2"/>
  <c r="AC509" i="2"/>
  <c r="AA509" i="2"/>
  <c r="T509" i="2"/>
  <c r="O509" i="2"/>
  <c r="I509" i="2"/>
  <c r="B509" i="2"/>
  <c r="AC508" i="2"/>
  <c r="AA508" i="2"/>
  <c r="T508" i="2"/>
  <c r="O508" i="2"/>
  <c r="I508" i="2"/>
  <c r="B508" i="2"/>
  <c r="AC507" i="2"/>
  <c r="AA507" i="2"/>
  <c r="T507" i="2"/>
  <c r="O507" i="2"/>
  <c r="I507" i="2"/>
  <c r="B507" i="2"/>
  <c r="AC506" i="2"/>
  <c r="AA506" i="2"/>
  <c r="T506" i="2"/>
  <c r="O506" i="2"/>
  <c r="I506" i="2"/>
  <c r="B506" i="2"/>
  <c r="AC505" i="2"/>
  <c r="AA505" i="2"/>
  <c r="T505" i="2"/>
  <c r="O505" i="2"/>
  <c r="I505" i="2"/>
  <c r="B505" i="2"/>
  <c r="AC504" i="2"/>
  <c r="AA504" i="2"/>
  <c r="T504" i="2"/>
  <c r="O504" i="2"/>
  <c r="I504" i="2"/>
  <c r="B504" i="2"/>
  <c r="AC503" i="2"/>
  <c r="AA503" i="2"/>
  <c r="T503" i="2"/>
  <c r="O503" i="2"/>
  <c r="I503" i="2"/>
  <c r="B503" i="2"/>
  <c r="AC502" i="2"/>
  <c r="AA502" i="2"/>
  <c r="T502" i="2"/>
  <c r="O502" i="2"/>
  <c r="I502" i="2"/>
  <c r="B502" i="2"/>
  <c r="AC501" i="2"/>
  <c r="AA501" i="2"/>
  <c r="T501" i="2"/>
  <c r="O501" i="2"/>
  <c r="I501" i="2"/>
  <c r="B501" i="2"/>
  <c r="AC500" i="2"/>
  <c r="AA500" i="2"/>
  <c r="T500" i="2"/>
  <c r="O500" i="2"/>
  <c r="I500" i="2"/>
  <c r="B500" i="2"/>
  <c r="AI499" i="2"/>
  <c r="AC499" i="2"/>
  <c r="AA499" i="2"/>
  <c r="T499" i="2"/>
  <c r="O499" i="2"/>
  <c r="I499" i="2"/>
  <c r="B499" i="2"/>
  <c r="AI498" i="2"/>
  <c r="AC498" i="2"/>
  <c r="AA498" i="2"/>
  <c r="T498" i="2"/>
  <c r="O498" i="2"/>
  <c r="I498" i="2"/>
  <c r="B498" i="2"/>
  <c r="AI497" i="2"/>
  <c r="AC497" i="2"/>
  <c r="AA497" i="2"/>
  <c r="T497" i="2"/>
  <c r="O497" i="2"/>
  <c r="I497" i="2"/>
  <c r="B497" i="2"/>
  <c r="AI496" i="2"/>
  <c r="AC496" i="2"/>
  <c r="AA496" i="2"/>
  <c r="T496" i="2"/>
  <c r="O496" i="2"/>
  <c r="I496" i="2"/>
  <c r="B496" i="2"/>
  <c r="AI495" i="2"/>
  <c r="AC495" i="2"/>
  <c r="AA495" i="2"/>
  <c r="T495" i="2"/>
  <c r="O495" i="2"/>
  <c r="I495" i="2"/>
  <c r="B495" i="2"/>
  <c r="AI494" i="2"/>
  <c r="AC494" i="2"/>
  <c r="AA494" i="2"/>
  <c r="T494" i="2"/>
  <c r="O494" i="2"/>
  <c r="I494" i="2"/>
  <c r="B494" i="2"/>
  <c r="AI493" i="2"/>
  <c r="AC493" i="2"/>
  <c r="AA493" i="2"/>
  <c r="T493" i="2"/>
  <c r="O493" i="2"/>
  <c r="I493" i="2"/>
  <c r="B493" i="2"/>
  <c r="AI492" i="2"/>
  <c r="AC492" i="2"/>
  <c r="AA492" i="2"/>
  <c r="T492" i="2"/>
  <c r="O492" i="2"/>
  <c r="I492" i="2"/>
  <c r="B492" i="2"/>
  <c r="AI491" i="2"/>
  <c r="AC491" i="2"/>
  <c r="AA491" i="2"/>
  <c r="T491" i="2"/>
  <c r="O491" i="2"/>
  <c r="I491" i="2"/>
  <c r="B491" i="2"/>
  <c r="AI490" i="2"/>
  <c r="AC490" i="2"/>
  <c r="AA490" i="2"/>
  <c r="T490" i="2"/>
  <c r="O490" i="2"/>
  <c r="I490" i="2"/>
  <c r="B490" i="2"/>
  <c r="AI489" i="2"/>
  <c r="AC489" i="2"/>
  <c r="AA489" i="2"/>
  <c r="T489" i="2"/>
  <c r="O489" i="2"/>
  <c r="I489" i="2"/>
  <c r="B489" i="2"/>
  <c r="AI488" i="2"/>
  <c r="AC488" i="2"/>
  <c r="AA488" i="2"/>
  <c r="T488" i="2"/>
  <c r="O488" i="2"/>
  <c r="I488" i="2"/>
  <c r="B488" i="2"/>
  <c r="AI487" i="2"/>
  <c r="AC487" i="2"/>
  <c r="AA487" i="2"/>
  <c r="T487" i="2"/>
  <c r="O487" i="2"/>
  <c r="I487" i="2"/>
  <c r="B487" i="2"/>
  <c r="AI486" i="2"/>
  <c r="AC486" i="2"/>
  <c r="AA486" i="2"/>
  <c r="T486" i="2"/>
  <c r="O486" i="2"/>
  <c r="I486" i="2"/>
  <c r="B486" i="2"/>
  <c r="AI485" i="2"/>
  <c r="AC485" i="2"/>
  <c r="AA485" i="2"/>
  <c r="T485" i="2"/>
  <c r="O485" i="2"/>
  <c r="I485" i="2"/>
  <c r="B485" i="2"/>
  <c r="AI484" i="2"/>
  <c r="AC484" i="2"/>
  <c r="AA484" i="2"/>
  <c r="T484" i="2"/>
  <c r="O484" i="2"/>
  <c r="I484" i="2"/>
  <c r="B484" i="2"/>
  <c r="AI483" i="2"/>
  <c r="AC483" i="2"/>
  <c r="AA483" i="2"/>
  <c r="T483" i="2"/>
  <c r="O483" i="2"/>
  <c r="I483" i="2"/>
  <c r="B483" i="2"/>
  <c r="AI482" i="2"/>
  <c r="AC482" i="2"/>
  <c r="AA482" i="2"/>
  <c r="T482" i="2"/>
  <c r="O482" i="2"/>
  <c r="I482" i="2"/>
  <c r="B482" i="2"/>
  <c r="AI481" i="2"/>
  <c r="AC481" i="2"/>
  <c r="AA481" i="2"/>
  <c r="T481" i="2"/>
  <c r="O481" i="2"/>
  <c r="I481" i="2"/>
  <c r="B481" i="2"/>
  <c r="AI480" i="2"/>
  <c r="AC480" i="2"/>
  <c r="AA480" i="2"/>
  <c r="T480" i="2"/>
  <c r="O480" i="2"/>
  <c r="I480" i="2"/>
  <c r="B480" i="2"/>
  <c r="AI479" i="2"/>
  <c r="AC479" i="2"/>
  <c r="AA479" i="2"/>
  <c r="T479" i="2"/>
  <c r="O479" i="2"/>
  <c r="I479" i="2"/>
  <c r="B479" i="2"/>
  <c r="AI478" i="2"/>
  <c r="AC478" i="2"/>
  <c r="AA478" i="2"/>
  <c r="T478" i="2"/>
  <c r="O478" i="2"/>
  <c r="I478" i="2"/>
  <c r="B478" i="2"/>
  <c r="AI477" i="2"/>
  <c r="AC477" i="2"/>
  <c r="AA477" i="2"/>
  <c r="T477" i="2"/>
  <c r="O477" i="2"/>
  <c r="I477" i="2"/>
  <c r="B477" i="2"/>
  <c r="AI476" i="2"/>
  <c r="AC476" i="2"/>
  <c r="AA476" i="2"/>
  <c r="T476" i="2"/>
  <c r="O476" i="2"/>
  <c r="I476" i="2"/>
  <c r="B476" i="2"/>
  <c r="AI475" i="2"/>
  <c r="AC475" i="2"/>
  <c r="AA475" i="2"/>
  <c r="T475" i="2"/>
  <c r="O475" i="2"/>
  <c r="I475" i="2"/>
  <c r="B475" i="2"/>
  <c r="AI474" i="2"/>
  <c r="AC474" i="2"/>
  <c r="AA474" i="2"/>
  <c r="T474" i="2"/>
  <c r="O474" i="2"/>
  <c r="I474" i="2"/>
  <c r="B474" i="2"/>
  <c r="AI473" i="2"/>
  <c r="AC473" i="2"/>
  <c r="AA473" i="2"/>
  <c r="T473" i="2"/>
  <c r="O473" i="2"/>
  <c r="I473" i="2"/>
  <c r="B473" i="2"/>
  <c r="AI472" i="2"/>
  <c r="AC472" i="2"/>
  <c r="AA472" i="2"/>
  <c r="T472" i="2"/>
  <c r="O472" i="2"/>
  <c r="I472" i="2"/>
  <c r="B472" i="2"/>
  <c r="AI471" i="2"/>
  <c r="AC471" i="2"/>
  <c r="AA471" i="2"/>
  <c r="T471" i="2"/>
  <c r="O471" i="2"/>
  <c r="I471" i="2"/>
  <c r="B471" i="2"/>
  <c r="AI470" i="2"/>
  <c r="AC470" i="2"/>
  <c r="AA470" i="2"/>
  <c r="T470" i="2"/>
  <c r="O470" i="2"/>
  <c r="I470" i="2"/>
  <c r="B470" i="2"/>
  <c r="AI469" i="2"/>
  <c r="AC469" i="2"/>
  <c r="AA469" i="2"/>
  <c r="T469" i="2"/>
  <c r="O469" i="2"/>
  <c r="I469" i="2"/>
  <c r="B469" i="2"/>
  <c r="AI468" i="2"/>
  <c r="AC468" i="2"/>
  <c r="AA468" i="2"/>
  <c r="T468" i="2"/>
  <c r="O468" i="2"/>
  <c r="I468" i="2"/>
  <c r="B468" i="2"/>
  <c r="AI467" i="2"/>
  <c r="AC467" i="2"/>
  <c r="AA467" i="2"/>
  <c r="T467" i="2"/>
  <c r="O467" i="2"/>
  <c r="I467" i="2"/>
  <c r="B467" i="2"/>
  <c r="AI466" i="2"/>
  <c r="AC466" i="2"/>
  <c r="AA466" i="2"/>
  <c r="T466" i="2"/>
  <c r="O466" i="2"/>
  <c r="I466" i="2"/>
  <c r="B466" i="2"/>
  <c r="AI465" i="2"/>
  <c r="AC465" i="2"/>
  <c r="AA465" i="2"/>
  <c r="T465" i="2"/>
  <c r="O465" i="2"/>
  <c r="I465" i="2"/>
  <c r="B465" i="2"/>
  <c r="AI464" i="2"/>
  <c r="AC464" i="2"/>
  <c r="AA464" i="2"/>
  <c r="T464" i="2"/>
  <c r="O464" i="2"/>
  <c r="I464" i="2"/>
  <c r="B464" i="2"/>
  <c r="AI463" i="2"/>
  <c r="AC463" i="2"/>
  <c r="AA463" i="2"/>
  <c r="T463" i="2"/>
  <c r="O463" i="2"/>
  <c r="I463" i="2"/>
  <c r="B463" i="2"/>
  <c r="AI462" i="2"/>
  <c r="AC462" i="2"/>
  <c r="AA462" i="2"/>
  <c r="T462" i="2"/>
  <c r="O462" i="2"/>
  <c r="I462" i="2"/>
  <c r="B462" i="2"/>
  <c r="AI461" i="2"/>
  <c r="AC461" i="2"/>
  <c r="AA461" i="2"/>
  <c r="T461" i="2"/>
  <c r="O461" i="2"/>
  <c r="I461" i="2"/>
  <c r="B461" i="2"/>
  <c r="AI460" i="2"/>
  <c r="AC460" i="2"/>
  <c r="AA460" i="2"/>
  <c r="T460" i="2"/>
  <c r="O460" i="2"/>
  <c r="I460" i="2"/>
  <c r="B460" i="2"/>
  <c r="AI459" i="2"/>
  <c r="AC459" i="2"/>
  <c r="AA459" i="2"/>
  <c r="T459" i="2"/>
  <c r="O459" i="2"/>
  <c r="I459" i="2"/>
  <c r="B459" i="2"/>
  <c r="AI458" i="2"/>
  <c r="AC458" i="2"/>
  <c r="AA458" i="2"/>
  <c r="T458" i="2"/>
  <c r="O458" i="2"/>
  <c r="I458" i="2"/>
  <c r="B458" i="2"/>
  <c r="AI457" i="2"/>
  <c r="AC457" i="2"/>
  <c r="AA457" i="2"/>
  <c r="T457" i="2"/>
  <c r="O457" i="2"/>
  <c r="I457" i="2"/>
  <c r="B457" i="2"/>
  <c r="AI456" i="2"/>
  <c r="AC456" i="2"/>
  <c r="AA456" i="2"/>
  <c r="T456" i="2"/>
  <c r="O456" i="2"/>
  <c r="I456" i="2"/>
  <c r="B456" i="2"/>
  <c r="AI455" i="2"/>
  <c r="AC455" i="2"/>
  <c r="AA455" i="2"/>
  <c r="T455" i="2"/>
  <c r="O455" i="2"/>
  <c r="I455" i="2"/>
  <c r="B455" i="2"/>
  <c r="AI454" i="2"/>
  <c r="AC454" i="2"/>
  <c r="AA454" i="2"/>
  <c r="T454" i="2"/>
  <c r="O454" i="2"/>
  <c r="I454" i="2"/>
  <c r="B454" i="2"/>
  <c r="AI453" i="2"/>
  <c r="AC453" i="2"/>
  <c r="AA453" i="2"/>
  <c r="T453" i="2"/>
  <c r="O453" i="2"/>
  <c r="I453" i="2"/>
  <c r="B453" i="2"/>
  <c r="AI452" i="2"/>
  <c r="AC452" i="2"/>
  <c r="AA452" i="2"/>
  <c r="T452" i="2"/>
  <c r="O452" i="2"/>
  <c r="I452" i="2"/>
  <c r="B452" i="2"/>
  <c r="AI451" i="2"/>
  <c r="AC451" i="2"/>
  <c r="AA451" i="2"/>
  <c r="T451" i="2"/>
  <c r="O451" i="2"/>
  <c r="I451" i="2"/>
  <c r="B451" i="2"/>
  <c r="AI450" i="2"/>
  <c r="AC450" i="2"/>
  <c r="AA450" i="2"/>
  <c r="T450" i="2"/>
  <c r="O450" i="2"/>
  <c r="I450" i="2"/>
  <c r="B450" i="2"/>
  <c r="AI449" i="2"/>
  <c r="AC449" i="2"/>
  <c r="AA449" i="2"/>
  <c r="T449" i="2"/>
  <c r="O449" i="2"/>
  <c r="I449" i="2"/>
  <c r="B449" i="2"/>
  <c r="AI448" i="2"/>
  <c r="AC448" i="2"/>
  <c r="AA448" i="2"/>
  <c r="T448" i="2"/>
  <c r="O448" i="2"/>
  <c r="I448" i="2"/>
  <c r="B448" i="2"/>
  <c r="AI447" i="2"/>
  <c r="AC447" i="2"/>
  <c r="AA447" i="2"/>
  <c r="T447" i="2"/>
  <c r="O447" i="2"/>
  <c r="I447" i="2"/>
  <c r="B447" i="2"/>
  <c r="AI446" i="2"/>
  <c r="AC446" i="2"/>
  <c r="AA446" i="2"/>
  <c r="T446" i="2"/>
  <c r="O446" i="2"/>
  <c r="I446" i="2"/>
  <c r="B446" i="2"/>
  <c r="AI445" i="2"/>
  <c r="AC445" i="2"/>
  <c r="AA445" i="2"/>
  <c r="T445" i="2"/>
  <c r="O445" i="2"/>
  <c r="I445" i="2"/>
  <c r="B445" i="2"/>
  <c r="AI444" i="2"/>
  <c r="AC444" i="2"/>
  <c r="AA444" i="2"/>
  <c r="T444" i="2"/>
  <c r="O444" i="2"/>
  <c r="I444" i="2"/>
  <c r="B444" i="2"/>
  <c r="AI443" i="2"/>
  <c r="AC443" i="2"/>
  <c r="AA443" i="2"/>
  <c r="T443" i="2"/>
  <c r="O443" i="2"/>
  <c r="I443" i="2"/>
  <c r="B443" i="2"/>
  <c r="AI442" i="2"/>
  <c r="AC442" i="2"/>
  <c r="AA442" i="2"/>
  <c r="T442" i="2"/>
  <c r="O442" i="2"/>
  <c r="I442" i="2"/>
  <c r="B442" i="2"/>
  <c r="AI441" i="2"/>
  <c r="AC441" i="2"/>
  <c r="AA441" i="2"/>
  <c r="T441" i="2"/>
  <c r="O441" i="2"/>
  <c r="I441" i="2"/>
  <c r="B441" i="2"/>
  <c r="AI440" i="2"/>
  <c r="AC440" i="2"/>
  <c r="AA440" i="2"/>
  <c r="T440" i="2"/>
  <c r="O440" i="2"/>
  <c r="I440" i="2"/>
  <c r="B440" i="2"/>
  <c r="AI439" i="2"/>
  <c r="AC439" i="2"/>
  <c r="AA439" i="2"/>
  <c r="T439" i="2"/>
  <c r="O439" i="2"/>
  <c r="I439" i="2"/>
  <c r="B439" i="2"/>
  <c r="AI438" i="2"/>
  <c r="AC438" i="2"/>
  <c r="AA438" i="2"/>
  <c r="T438" i="2"/>
  <c r="O438" i="2"/>
  <c r="I438" i="2"/>
  <c r="B438" i="2"/>
  <c r="AI437" i="2"/>
  <c r="AC437" i="2"/>
  <c r="AA437" i="2"/>
  <c r="T437" i="2"/>
  <c r="O437" i="2"/>
  <c r="I437" i="2"/>
  <c r="B437" i="2"/>
  <c r="AI436" i="2"/>
  <c r="AC436" i="2"/>
  <c r="AA436" i="2"/>
  <c r="T436" i="2"/>
  <c r="O436" i="2"/>
  <c r="I436" i="2"/>
  <c r="B436" i="2"/>
  <c r="AI435" i="2"/>
  <c r="AC435" i="2"/>
  <c r="AA435" i="2"/>
  <c r="T435" i="2"/>
  <c r="O435" i="2"/>
  <c r="I435" i="2"/>
  <c r="B435" i="2"/>
  <c r="AI434" i="2"/>
  <c r="AC434" i="2"/>
  <c r="AA434" i="2"/>
  <c r="T434" i="2"/>
  <c r="O434" i="2"/>
  <c r="I434" i="2"/>
  <c r="B434" i="2"/>
  <c r="AI433" i="2"/>
  <c r="AC433" i="2"/>
  <c r="AA433" i="2"/>
  <c r="T433" i="2"/>
  <c r="O433" i="2"/>
  <c r="I433" i="2"/>
  <c r="B433" i="2"/>
  <c r="AI432" i="2"/>
  <c r="AC432" i="2"/>
  <c r="AA432" i="2"/>
  <c r="T432" i="2"/>
  <c r="O432" i="2"/>
  <c r="I432" i="2"/>
  <c r="B432" i="2"/>
  <c r="AI431" i="2"/>
  <c r="AC431" i="2"/>
  <c r="AA431" i="2"/>
  <c r="T431" i="2"/>
  <c r="O431" i="2"/>
  <c r="I431" i="2"/>
  <c r="B431" i="2"/>
  <c r="AI430" i="2"/>
  <c r="AC430" i="2"/>
  <c r="AA430" i="2"/>
  <c r="T430" i="2"/>
  <c r="O430" i="2"/>
  <c r="I430" i="2"/>
  <c r="B430" i="2"/>
  <c r="AI429" i="2"/>
  <c r="AC429" i="2"/>
  <c r="AA429" i="2"/>
  <c r="T429" i="2"/>
  <c r="O429" i="2"/>
  <c r="I429" i="2"/>
  <c r="B429" i="2"/>
  <c r="AI428" i="2"/>
  <c r="AC428" i="2"/>
  <c r="AA428" i="2"/>
  <c r="T428" i="2"/>
  <c r="O428" i="2"/>
  <c r="I428" i="2"/>
  <c r="B428" i="2"/>
  <c r="AI427" i="2"/>
  <c r="AC427" i="2"/>
  <c r="AA427" i="2"/>
  <c r="T427" i="2"/>
  <c r="O427" i="2"/>
  <c r="I427" i="2"/>
  <c r="B427" i="2"/>
  <c r="AI426" i="2"/>
  <c r="AC426" i="2"/>
  <c r="AA426" i="2"/>
  <c r="T426" i="2"/>
  <c r="O426" i="2"/>
  <c r="I426" i="2"/>
  <c r="B426" i="2"/>
  <c r="AI425" i="2"/>
  <c r="AC425" i="2"/>
  <c r="AA425" i="2"/>
  <c r="T425" i="2"/>
  <c r="O425" i="2"/>
  <c r="I425" i="2"/>
  <c r="B425" i="2"/>
  <c r="AI424" i="2"/>
  <c r="AC424" i="2"/>
  <c r="AA424" i="2"/>
  <c r="T424" i="2"/>
  <c r="O424" i="2"/>
  <c r="I424" i="2"/>
  <c r="B424" i="2"/>
  <c r="AI423" i="2"/>
  <c r="AC423" i="2"/>
  <c r="AA423" i="2"/>
  <c r="T423" i="2"/>
  <c r="O423" i="2"/>
  <c r="I423" i="2"/>
  <c r="B423" i="2"/>
  <c r="AI422" i="2"/>
  <c r="AC422" i="2"/>
  <c r="AA422" i="2"/>
  <c r="T422" i="2"/>
  <c r="O422" i="2"/>
  <c r="I422" i="2"/>
  <c r="B422" i="2"/>
  <c r="AI421" i="2"/>
  <c r="AC421" i="2"/>
  <c r="AA421" i="2"/>
  <c r="T421" i="2"/>
  <c r="O421" i="2"/>
  <c r="I421" i="2"/>
  <c r="B421" i="2"/>
  <c r="AI420" i="2"/>
  <c r="AC420" i="2"/>
  <c r="AA420" i="2"/>
  <c r="T420" i="2"/>
  <c r="O420" i="2"/>
  <c r="I420" i="2"/>
  <c r="B420" i="2"/>
  <c r="AI419" i="2"/>
  <c r="AC419" i="2"/>
  <c r="AA419" i="2"/>
  <c r="T419" i="2"/>
  <c r="O419" i="2"/>
  <c r="I419" i="2"/>
  <c r="B419" i="2"/>
  <c r="AI418" i="2"/>
  <c r="AC418" i="2"/>
  <c r="AA418" i="2"/>
  <c r="T418" i="2"/>
  <c r="O418" i="2"/>
  <c r="I418" i="2"/>
  <c r="B418" i="2"/>
  <c r="AI417" i="2"/>
  <c r="AC417" i="2"/>
  <c r="AA417" i="2"/>
  <c r="T417" i="2"/>
  <c r="O417" i="2"/>
  <c r="I417" i="2"/>
  <c r="B417" i="2"/>
  <c r="AI416" i="2"/>
  <c r="AC416" i="2"/>
  <c r="AA416" i="2"/>
  <c r="T416" i="2"/>
  <c r="O416" i="2"/>
  <c r="I416" i="2"/>
  <c r="B416" i="2"/>
  <c r="AI415" i="2"/>
  <c r="AC415" i="2"/>
  <c r="AA415" i="2"/>
  <c r="T415" i="2"/>
  <c r="O415" i="2"/>
  <c r="I415" i="2"/>
  <c r="B415" i="2"/>
  <c r="AI414" i="2"/>
  <c r="AC414" i="2"/>
  <c r="AA414" i="2"/>
  <c r="T414" i="2"/>
  <c r="O414" i="2"/>
  <c r="I414" i="2"/>
  <c r="B414" i="2"/>
  <c r="AI413" i="2"/>
  <c r="AC413" i="2"/>
  <c r="AA413" i="2"/>
  <c r="T413" i="2"/>
  <c r="O413" i="2"/>
  <c r="I413" i="2"/>
  <c r="B413" i="2"/>
  <c r="AI412" i="2"/>
  <c r="AC412" i="2"/>
  <c r="AA412" i="2"/>
  <c r="T412" i="2"/>
  <c r="O412" i="2"/>
  <c r="I412" i="2"/>
  <c r="B412" i="2"/>
  <c r="AI411" i="2"/>
  <c r="AC411" i="2"/>
  <c r="AA411" i="2"/>
  <c r="T411" i="2"/>
  <c r="O411" i="2"/>
  <c r="I411" i="2"/>
  <c r="B411" i="2"/>
  <c r="AI410" i="2"/>
  <c r="AC410" i="2"/>
  <c r="AA410" i="2"/>
  <c r="T410" i="2"/>
  <c r="O410" i="2"/>
  <c r="I410" i="2"/>
  <c r="B410" i="2"/>
  <c r="AI409" i="2"/>
  <c r="AC409" i="2"/>
  <c r="AA409" i="2"/>
  <c r="T409" i="2"/>
  <c r="O409" i="2"/>
  <c r="I409" i="2"/>
  <c r="B409" i="2"/>
  <c r="AI408" i="2"/>
  <c r="AC408" i="2"/>
  <c r="AA408" i="2"/>
  <c r="T408" i="2"/>
  <c r="O408" i="2"/>
  <c r="I408" i="2"/>
  <c r="B408" i="2"/>
  <c r="AI407" i="2"/>
  <c r="AC407" i="2"/>
  <c r="AA407" i="2"/>
  <c r="T407" i="2"/>
  <c r="O407" i="2"/>
  <c r="I407" i="2"/>
  <c r="B407" i="2"/>
  <c r="AI406" i="2"/>
  <c r="AC406" i="2"/>
  <c r="AA406" i="2"/>
  <c r="T406" i="2"/>
  <c r="O406" i="2"/>
  <c r="I406" i="2"/>
  <c r="B406" i="2"/>
  <c r="AI405" i="2"/>
  <c r="AC405" i="2"/>
  <c r="AA405" i="2"/>
  <c r="T405" i="2"/>
  <c r="O405" i="2"/>
  <c r="I405" i="2"/>
  <c r="B405" i="2"/>
  <c r="AI404" i="2"/>
  <c r="AC404" i="2"/>
  <c r="AA404" i="2"/>
  <c r="T404" i="2"/>
  <c r="O404" i="2"/>
  <c r="I404" i="2"/>
  <c r="B404" i="2"/>
  <c r="AI403" i="2"/>
  <c r="AC403" i="2"/>
  <c r="AA403" i="2"/>
  <c r="T403" i="2"/>
  <c r="O403" i="2"/>
  <c r="I403" i="2"/>
  <c r="B403" i="2"/>
  <c r="AI402" i="2"/>
  <c r="AC402" i="2"/>
  <c r="AA402" i="2"/>
  <c r="T402" i="2"/>
  <c r="O402" i="2"/>
  <c r="I402" i="2"/>
  <c r="B402" i="2"/>
  <c r="AI401" i="2"/>
  <c r="AC401" i="2"/>
  <c r="AA401" i="2"/>
  <c r="T401" i="2"/>
  <c r="O401" i="2"/>
  <c r="I401" i="2"/>
  <c r="B401" i="2"/>
  <c r="AI400" i="2"/>
  <c r="AC400" i="2"/>
  <c r="AA400" i="2"/>
  <c r="T400" i="2"/>
  <c r="O400" i="2"/>
  <c r="I400" i="2"/>
  <c r="B400" i="2"/>
  <c r="AI399" i="2"/>
  <c r="AC399" i="2"/>
  <c r="AA399" i="2"/>
  <c r="T399" i="2"/>
  <c r="O399" i="2"/>
  <c r="I399" i="2"/>
  <c r="B399" i="2"/>
  <c r="AI398" i="2"/>
  <c r="AC398" i="2"/>
  <c r="AA398" i="2"/>
  <c r="T398" i="2"/>
  <c r="O398" i="2"/>
  <c r="I398" i="2"/>
  <c r="B398" i="2"/>
  <c r="AI397" i="2"/>
  <c r="AC397" i="2"/>
  <c r="AA397" i="2"/>
  <c r="T397" i="2"/>
  <c r="O397" i="2"/>
  <c r="I397" i="2"/>
  <c r="B397" i="2"/>
  <c r="AI396" i="2"/>
  <c r="AC396" i="2"/>
  <c r="AA396" i="2"/>
  <c r="T396" i="2"/>
  <c r="O396" i="2"/>
  <c r="I396" i="2"/>
  <c r="B396" i="2"/>
  <c r="AI395" i="2"/>
  <c r="AC395" i="2"/>
  <c r="AA395" i="2"/>
  <c r="T395" i="2"/>
  <c r="O395" i="2"/>
  <c r="I395" i="2"/>
  <c r="B395" i="2"/>
  <c r="AI394" i="2"/>
  <c r="AC394" i="2"/>
  <c r="AA394" i="2"/>
  <c r="T394" i="2"/>
  <c r="O394" i="2"/>
  <c r="I394" i="2"/>
  <c r="B394" i="2"/>
  <c r="AI393" i="2"/>
  <c r="AC393" i="2"/>
  <c r="AA393" i="2"/>
  <c r="T393" i="2"/>
  <c r="O393" i="2"/>
  <c r="I393" i="2"/>
  <c r="B393" i="2"/>
  <c r="AI392" i="2"/>
  <c r="AC392" i="2"/>
  <c r="AA392" i="2"/>
  <c r="T392" i="2"/>
  <c r="O392" i="2"/>
  <c r="I392" i="2"/>
  <c r="B392" i="2"/>
  <c r="AI391" i="2"/>
  <c r="AC391" i="2"/>
  <c r="AA391" i="2"/>
  <c r="T391" i="2"/>
  <c r="O391" i="2"/>
  <c r="I391" i="2"/>
  <c r="B391" i="2"/>
  <c r="AI390" i="2"/>
  <c r="AC390" i="2"/>
  <c r="AA390" i="2"/>
  <c r="T390" i="2"/>
  <c r="O390" i="2"/>
  <c r="I390" i="2"/>
  <c r="B390" i="2"/>
  <c r="AI389" i="2"/>
  <c r="AC389" i="2"/>
  <c r="AA389" i="2"/>
  <c r="T389" i="2"/>
  <c r="O389" i="2"/>
  <c r="I389" i="2"/>
  <c r="B389" i="2"/>
  <c r="AI388" i="2"/>
  <c r="AC388" i="2"/>
  <c r="AA388" i="2"/>
  <c r="T388" i="2"/>
  <c r="O388" i="2"/>
  <c r="I388" i="2"/>
  <c r="B388" i="2"/>
  <c r="AI387" i="2"/>
  <c r="AC387" i="2"/>
  <c r="AA387" i="2"/>
  <c r="T387" i="2"/>
  <c r="O387" i="2"/>
  <c r="I387" i="2"/>
  <c r="B387" i="2"/>
  <c r="AI386" i="2"/>
  <c r="AC386" i="2"/>
  <c r="AA386" i="2"/>
  <c r="T386" i="2"/>
  <c r="O386" i="2"/>
  <c r="I386" i="2"/>
  <c r="B386" i="2"/>
  <c r="AI385" i="2"/>
  <c r="AC385" i="2"/>
  <c r="AA385" i="2"/>
  <c r="T385" i="2"/>
  <c r="O385" i="2"/>
  <c r="I385" i="2"/>
  <c r="B385" i="2"/>
  <c r="AI384" i="2"/>
  <c r="AC384" i="2"/>
  <c r="AA384" i="2"/>
  <c r="T384" i="2"/>
  <c r="O384" i="2"/>
  <c r="I384" i="2"/>
  <c r="B384" i="2"/>
  <c r="AI383" i="2"/>
  <c r="AC383" i="2"/>
  <c r="AA383" i="2"/>
  <c r="T383" i="2"/>
  <c r="O383" i="2"/>
  <c r="I383" i="2"/>
  <c r="B383" i="2"/>
  <c r="AI382" i="2"/>
  <c r="AC382" i="2"/>
  <c r="AA382" i="2"/>
  <c r="T382" i="2"/>
  <c r="O382" i="2"/>
  <c r="I382" i="2"/>
  <c r="B382" i="2"/>
  <c r="AI381" i="2"/>
  <c r="AC381" i="2"/>
  <c r="AA381" i="2"/>
  <c r="T381" i="2"/>
  <c r="O381" i="2"/>
  <c r="I381" i="2"/>
  <c r="B381" i="2"/>
  <c r="AI380" i="2"/>
  <c r="AC380" i="2"/>
  <c r="AA380" i="2"/>
  <c r="T380" i="2"/>
  <c r="O380" i="2"/>
  <c r="I380" i="2"/>
  <c r="B380" i="2"/>
  <c r="AI379" i="2"/>
  <c r="AC379" i="2"/>
  <c r="AA379" i="2"/>
  <c r="T379" i="2"/>
  <c r="O379" i="2"/>
  <c r="I379" i="2"/>
  <c r="B379" i="2"/>
  <c r="AI378" i="2"/>
  <c r="AC378" i="2"/>
  <c r="AA378" i="2"/>
  <c r="T378" i="2"/>
  <c r="O378" i="2"/>
  <c r="I378" i="2"/>
  <c r="B378" i="2"/>
  <c r="AI377" i="2"/>
  <c r="AC377" i="2"/>
  <c r="AA377" i="2"/>
  <c r="T377" i="2"/>
  <c r="O377" i="2"/>
  <c r="I377" i="2"/>
  <c r="B377" i="2"/>
  <c r="AI376" i="2"/>
  <c r="AC376" i="2"/>
  <c r="AA376" i="2"/>
  <c r="T376" i="2"/>
  <c r="O376" i="2"/>
  <c r="I376" i="2"/>
  <c r="B376" i="2"/>
  <c r="AI375" i="2"/>
  <c r="AC375" i="2"/>
  <c r="AA375" i="2"/>
  <c r="T375" i="2"/>
  <c r="O375" i="2"/>
  <c r="I375" i="2"/>
  <c r="B375" i="2"/>
  <c r="AI374" i="2"/>
  <c r="AC374" i="2"/>
  <c r="AA374" i="2"/>
  <c r="T374" i="2"/>
  <c r="O374" i="2"/>
  <c r="I374" i="2"/>
  <c r="B374" i="2"/>
  <c r="AI373" i="2"/>
  <c r="AC373" i="2"/>
  <c r="AA373" i="2"/>
  <c r="T373" i="2"/>
  <c r="O373" i="2"/>
  <c r="I373" i="2"/>
  <c r="B373" i="2"/>
  <c r="AI372" i="2"/>
  <c r="AC372" i="2"/>
  <c r="AA372" i="2"/>
  <c r="T372" i="2"/>
  <c r="O372" i="2"/>
  <c r="I372" i="2"/>
  <c r="B372" i="2"/>
  <c r="AI371" i="2"/>
  <c r="AC371" i="2"/>
  <c r="AA371" i="2"/>
  <c r="T371" i="2"/>
  <c r="O371" i="2"/>
  <c r="I371" i="2"/>
  <c r="B371" i="2"/>
  <c r="AI370" i="2"/>
  <c r="AC370" i="2"/>
  <c r="AA370" i="2"/>
  <c r="T370" i="2"/>
  <c r="O370" i="2"/>
  <c r="I370" i="2"/>
  <c r="B370" i="2"/>
  <c r="AI369" i="2"/>
  <c r="AC369" i="2"/>
  <c r="AA369" i="2"/>
  <c r="T369" i="2"/>
  <c r="O369" i="2"/>
  <c r="I369" i="2"/>
  <c r="B369" i="2"/>
  <c r="AI368" i="2"/>
  <c r="AC368" i="2"/>
  <c r="AA368" i="2"/>
  <c r="T368" i="2"/>
  <c r="O368" i="2"/>
  <c r="I368" i="2"/>
  <c r="B368" i="2"/>
  <c r="AI367" i="2"/>
  <c r="AC367" i="2"/>
  <c r="AA367" i="2"/>
  <c r="T367" i="2"/>
  <c r="O367" i="2"/>
  <c r="I367" i="2"/>
  <c r="B367" i="2"/>
  <c r="AI366" i="2"/>
  <c r="AC366" i="2"/>
  <c r="AA366" i="2"/>
  <c r="T366" i="2"/>
  <c r="O366" i="2"/>
  <c r="I366" i="2"/>
  <c r="B366" i="2"/>
  <c r="AI365" i="2"/>
  <c r="AC365" i="2"/>
  <c r="AA365" i="2"/>
  <c r="T365" i="2"/>
  <c r="O365" i="2"/>
  <c r="I365" i="2"/>
  <c r="B365" i="2"/>
  <c r="AI364" i="2"/>
  <c r="AC364" i="2"/>
  <c r="AA364" i="2"/>
  <c r="T364" i="2"/>
  <c r="O364" i="2"/>
  <c r="I364" i="2"/>
  <c r="B364" i="2"/>
  <c r="AI363" i="2"/>
  <c r="AC363" i="2"/>
  <c r="AA363" i="2"/>
  <c r="T363" i="2"/>
  <c r="O363" i="2"/>
  <c r="I363" i="2"/>
  <c r="B363" i="2"/>
  <c r="AI362" i="2"/>
  <c r="AC362" i="2"/>
  <c r="AA362" i="2"/>
  <c r="T362" i="2"/>
  <c r="O362" i="2"/>
  <c r="I362" i="2"/>
  <c r="B362" i="2"/>
  <c r="AI361" i="2"/>
  <c r="AC361" i="2"/>
  <c r="AA361" i="2"/>
  <c r="T361" i="2"/>
  <c r="O361" i="2"/>
  <c r="I361" i="2"/>
  <c r="B361" i="2"/>
  <c r="AI360" i="2"/>
  <c r="AC360" i="2"/>
  <c r="AA360" i="2"/>
  <c r="T360" i="2"/>
  <c r="O360" i="2"/>
  <c r="I360" i="2"/>
  <c r="B360" i="2"/>
  <c r="AI359" i="2"/>
  <c r="AC359" i="2"/>
  <c r="AA359" i="2"/>
  <c r="T359" i="2"/>
  <c r="O359" i="2"/>
  <c r="I359" i="2"/>
  <c r="B359" i="2"/>
  <c r="AI358" i="2"/>
  <c r="AC358" i="2"/>
  <c r="AA358" i="2"/>
  <c r="T358" i="2"/>
  <c r="O358" i="2"/>
  <c r="I358" i="2"/>
  <c r="B358" i="2"/>
  <c r="AI357" i="2"/>
  <c r="AC357" i="2"/>
  <c r="AA357" i="2"/>
  <c r="T357" i="2"/>
  <c r="O357" i="2"/>
  <c r="I357" i="2"/>
  <c r="B357" i="2"/>
  <c r="AI356" i="2"/>
  <c r="AC356" i="2"/>
  <c r="AA356" i="2"/>
  <c r="T356" i="2"/>
  <c r="O356" i="2"/>
  <c r="I356" i="2"/>
  <c r="B356" i="2"/>
  <c r="AI355" i="2"/>
  <c r="AC355" i="2"/>
  <c r="AA355" i="2"/>
  <c r="T355" i="2"/>
  <c r="O355" i="2"/>
  <c r="I355" i="2"/>
  <c r="B355" i="2"/>
  <c r="AI354" i="2"/>
  <c r="AC354" i="2"/>
  <c r="AA354" i="2"/>
  <c r="T354" i="2"/>
  <c r="O354" i="2"/>
  <c r="I354" i="2"/>
  <c r="B354" i="2"/>
  <c r="AI353" i="2"/>
  <c r="AC353" i="2"/>
  <c r="AA353" i="2"/>
  <c r="T353" i="2"/>
  <c r="O353" i="2"/>
  <c r="I353" i="2"/>
  <c r="B353" i="2"/>
  <c r="AI352" i="2"/>
  <c r="AC352" i="2"/>
  <c r="AA352" i="2"/>
  <c r="T352" i="2"/>
  <c r="O352" i="2"/>
  <c r="I352" i="2"/>
  <c r="B352" i="2"/>
  <c r="AI351" i="2"/>
  <c r="AC351" i="2"/>
  <c r="AA351" i="2"/>
  <c r="T351" i="2"/>
  <c r="O351" i="2"/>
  <c r="I351" i="2"/>
  <c r="B351" i="2"/>
  <c r="AI350" i="2"/>
  <c r="AC350" i="2"/>
  <c r="AA350" i="2"/>
  <c r="T350" i="2"/>
  <c r="O350" i="2"/>
  <c r="I350" i="2"/>
  <c r="B350" i="2"/>
  <c r="AI349" i="2"/>
  <c r="AC349" i="2"/>
  <c r="AA349" i="2"/>
  <c r="T349" i="2"/>
  <c r="O349" i="2"/>
  <c r="I349" i="2"/>
  <c r="B349" i="2"/>
  <c r="AI348" i="2"/>
  <c r="AC348" i="2"/>
  <c r="AA348" i="2"/>
  <c r="T348" i="2"/>
  <c r="O348" i="2"/>
  <c r="I348" i="2"/>
  <c r="B348" i="2"/>
  <c r="AI347" i="2"/>
  <c r="AC347" i="2"/>
  <c r="AA347" i="2"/>
  <c r="T347" i="2"/>
  <c r="O347" i="2"/>
  <c r="I347" i="2"/>
  <c r="B347" i="2"/>
  <c r="AI346" i="2"/>
  <c r="AC346" i="2"/>
  <c r="AA346" i="2"/>
  <c r="T346" i="2"/>
  <c r="O346" i="2"/>
  <c r="I346" i="2"/>
  <c r="B346" i="2"/>
  <c r="AI345" i="2"/>
  <c r="AC345" i="2"/>
  <c r="AA345" i="2"/>
  <c r="T345" i="2"/>
  <c r="O345" i="2"/>
  <c r="I345" i="2"/>
  <c r="B345" i="2"/>
  <c r="AI344" i="2"/>
  <c r="AC344" i="2"/>
  <c r="AA344" i="2"/>
  <c r="T344" i="2"/>
  <c r="O344" i="2"/>
  <c r="I344" i="2"/>
  <c r="B344" i="2"/>
  <c r="AI343" i="2"/>
  <c r="AC343" i="2"/>
  <c r="AA343" i="2"/>
  <c r="T343" i="2"/>
  <c r="O343" i="2"/>
  <c r="I343" i="2"/>
  <c r="B343" i="2"/>
  <c r="AI342" i="2"/>
  <c r="AC342" i="2"/>
  <c r="AA342" i="2"/>
  <c r="T342" i="2"/>
  <c r="O342" i="2"/>
  <c r="I342" i="2"/>
  <c r="B342" i="2"/>
  <c r="AI341" i="2"/>
  <c r="AC341" i="2"/>
  <c r="AA341" i="2"/>
  <c r="T341" i="2"/>
  <c r="O341" i="2"/>
  <c r="I341" i="2"/>
  <c r="B341" i="2"/>
  <c r="AI340" i="2"/>
  <c r="AC340" i="2"/>
  <c r="AA340" i="2"/>
  <c r="T340" i="2"/>
  <c r="O340" i="2"/>
  <c r="I340" i="2"/>
  <c r="B340" i="2"/>
  <c r="AI339" i="2"/>
  <c r="AC339" i="2"/>
  <c r="AA339" i="2"/>
  <c r="T339" i="2"/>
  <c r="O339" i="2"/>
  <c r="I339" i="2"/>
  <c r="B339" i="2"/>
  <c r="AI338" i="2"/>
  <c r="AC338" i="2"/>
  <c r="AA338" i="2"/>
  <c r="T338" i="2"/>
  <c r="O338" i="2"/>
  <c r="I338" i="2"/>
  <c r="B338" i="2"/>
  <c r="AI337" i="2"/>
  <c r="AC337" i="2"/>
  <c r="AA337" i="2"/>
  <c r="T337" i="2"/>
  <c r="O337" i="2"/>
  <c r="I337" i="2"/>
  <c r="B337" i="2"/>
  <c r="AI336" i="2"/>
  <c r="AC336" i="2"/>
  <c r="AA336" i="2"/>
  <c r="T336" i="2"/>
  <c r="O336" i="2"/>
  <c r="I336" i="2"/>
  <c r="B336" i="2"/>
  <c r="AI335" i="2"/>
  <c r="AC335" i="2"/>
  <c r="AA335" i="2"/>
  <c r="T335" i="2"/>
  <c r="O335" i="2"/>
  <c r="I335" i="2"/>
  <c r="B335" i="2"/>
  <c r="AI334" i="2"/>
  <c r="AC334" i="2"/>
  <c r="AA334" i="2"/>
  <c r="T334" i="2"/>
  <c r="O334" i="2"/>
  <c r="I334" i="2"/>
  <c r="B334" i="2"/>
  <c r="AI333" i="2"/>
  <c r="AC333" i="2"/>
  <c r="AA333" i="2"/>
  <c r="T333" i="2"/>
  <c r="O333" i="2"/>
  <c r="I333" i="2"/>
  <c r="B333" i="2"/>
  <c r="AI332" i="2"/>
  <c r="AC332" i="2"/>
  <c r="AA332" i="2"/>
  <c r="T332" i="2"/>
  <c r="O332" i="2"/>
  <c r="I332" i="2"/>
  <c r="B332" i="2"/>
  <c r="AI331" i="2"/>
  <c r="AC331" i="2"/>
  <c r="AA331" i="2"/>
  <c r="T331" i="2"/>
  <c r="O331" i="2"/>
  <c r="I331" i="2"/>
  <c r="B331" i="2"/>
  <c r="AI330" i="2"/>
  <c r="AC330" i="2"/>
  <c r="AA330" i="2"/>
  <c r="T330" i="2"/>
  <c r="O330" i="2"/>
  <c r="I330" i="2"/>
  <c r="B330" i="2"/>
  <c r="AI329" i="2"/>
  <c r="AC329" i="2"/>
  <c r="AA329" i="2"/>
  <c r="T329" i="2"/>
  <c r="O329" i="2"/>
  <c r="I329" i="2"/>
  <c r="B329" i="2"/>
  <c r="AI328" i="2"/>
  <c r="AC328" i="2"/>
  <c r="AA328" i="2"/>
  <c r="T328" i="2"/>
  <c r="O328" i="2"/>
  <c r="I328" i="2"/>
  <c r="B328" i="2"/>
  <c r="AI327" i="2"/>
  <c r="AC327" i="2"/>
  <c r="AA327" i="2"/>
  <c r="T327" i="2"/>
  <c r="O327" i="2"/>
  <c r="I327" i="2"/>
  <c r="B327" i="2"/>
  <c r="AI326" i="2"/>
  <c r="AC326" i="2"/>
  <c r="AA326" i="2"/>
  <c r="T326" i="2"/>
  <c r="O326" i="2"/>
  <c r="I326" i="2"/>
  <c r="B326" i="2"/>
  <c r="AI325" i="2"/>
  <c r="AC325" i="2"/>
  <c r="AA325" i="2"/>
  <c r="T325" i="2"/>
  <c r="O325" i="2"/>
  <c r="I325" i="2"/>
  <c r="B325" i="2"/>
  <c r="AI324" i="2"/>
  <c r="AC324" i="2"/>
  <c r="AA324" i="2"/>
  <c r="T324" i="2"/>
  <c r="O324" i="2"/>
  <c r="I324" i="2"/>
  <c r="B324" i="2"/>
  <c r="AI323" i="2"/>
  <c r="AC323" i="2"/>
  <c r="AA323" i="2"/>
  <c r="T323" i="2"/>
  <c r="O323" i="2"/>
  <c r="I323" i="2"/>
  <c r="B323" i="2"/>
  <c r="AI322" i="2"/>
  <c r="AC322" i="2"/>
  <c r="AA322" i="2"/>
  <c r="T322" i="2"/>
  <c r="O322" i="2"/>
  <c r="I322" i="2"/>
  <c r="B322" i="2"/>
  <c r="AI321" i="2"/>
  <c r="AC321" i="2"/>
  <c r="AA321" i="2"/>
  <c r="T321" i="2"/>
  <c r="O321" i="2"/>
  <c r="I321" i="2"/>
  <c r="B321" i="2"/>
  <c r="AI320" i="2"/>
  <c r="AC320" i="2"/>
  <c r="AA320" i="2"/>
  <c r="T320" i="2"/>
  <c r="O320" i="2"/>
  <c r="I320" i="2"/>
  <c r="B320" i="2"/>
  <c r="AA319" i="2"/>
  <c r="B319" i="2"/>
  <c r="AA318" i="2"/>
  <c r="I318" i="2"/>
  <c r="B318" i="2"/>
  <c r="AA317" i="2"/>
  <c r="I317" i="2"/>
  <c r="B317" i="2"/>
  <c r="AA316" i="2"/>
  <c r="I316" i="2"/>
  <c r="B316" i="2"/>
  <c r="AA315" i="2"/>
  <c r="I315" i="2"/>
  <c r="B315" i="2"/>
  <c r="AA314" i="2"/>
  <c r="I314" i="2"/>
  <c r="B314" i="2"/>
  <c r="AA313" i="2"/>
  <c r="I313" i="2"/>
  <c r="B313" i="2"/>
  <c r="AA312" i="2"/>
  <c r="I312" i="2"/>
  <c r="B312" i="2"/>
  <c r="AA311" i="2"/>
  <c r="I311" i="2"/>
  <c r="B311" i="2"/>
  <c r="AA310" i="2"/>
  <c r="I310" i="2"/>
  <c r="B310" i="2"/>
  <c r="AA309" i="2"/>
  <c r="I309" i="2"/>
  <c r="B309" i="2"/>
  <c r="AA308" i="2"/>
  <c r="I308" i="2"/>
  <c r="B308" i="2"/>
  <c r="AA307" i="2"/>
  <c r="I307" i="2"/>
  <c r="B307" i="2"/>
  <c r="AA306" i="2"/>
  <c r="I306" i="2"/>
  <c r="B306" i="2"/>
  <c r="AA305" i="2"/>
  <c r="I305" i="2"/>
  <c r="B305" i="2"/>
  <c r="AA304" i="2"/>
  <c r="I304" i="2"/>
  <c r="B304" i="2"/>
  <c r="AA303" i="2"/>
  <c r="I303" i="2"/>
  <c r="B303" i="2"/>
  <c r="AA302" i="2"/>
  <c r="I302" i="2"/>
  <c r="B302" i="2"/>
  <c r="AA301" i="2"/>
  <c r="I301" i="2"/>
  <c r="B301" i="2"/>
  <c r="AA300" i="2"/>
  <c r="I300" i="2"/>
  <c r="B300" i="2"/>
  <c r="AA299" i="2"/>
  <c r="I299" i="2"/>
  <c r="B299" i="2"/>
  <c r="AA298" i="2"/>
  <c r="I298" i="2"/>
  <c r="B298" i="2"/>
  <c r="AA297" i="2"/>
  <c r="I297" i="2"/>
  <c r="B297" i="2"/>
  <c r="AA296" i="2"/>
  <c r="I296" i="2"/>
  <c r="B296" i="2"/>
  <c r="AA295" i="2"/>
  <c r="I295" i="2"/>
  <c r="B295" i="2"/>
  <c r="AA294" i="2"/>
  <c r="I294" i="2"/>
  <c r="B294" i="2"/>
  <c r="AA293" i="2"/>
  <c r="I293" i="2"/>
  <c r="B293" i="2"/>
  <c r="AA292" i="2"/>
  <c r="I292" i="2"/>
  <c r="B292" i="2"/>
  <c r="AA291" i="2"/>
  <c r="I291" i="2"/>
  <c r="B291" i="2"/>
  <c r="AA290" i="2"/>
  <c r="I290" i="2"/>
  <c r="B290" i="2"/>
  <c r="AA289" i="2"/>
  <c r="I289" i="2"/>
  <c r="B289" i="2"/>
  <c r="AA288" i="2"/>
  <c r="I288" i="2"/>
  <c r="B288" i="2"/>
  <c r="AA287" i="2"/>
  <c r="I287" i="2"/>
  <c r="B287" i="2"/>
  <c r="AA286" i="2"/>
  <c r="I286" i="2"/>
  <c r="B286" i="2"/>
  <c r="AA285" i="2"/>
  <c r="I285" i="2"/>
  <c r="B285" i="2"/>
  <c r="AA284" i="2"/>
  <c r="I284" i="2"/>
  <c r="B284" i="2"/>
  <c r="AA283" i="2"/>
  <c r="I283" i="2"/>
  <c r="B283" i="2"/>
  <c r="AA282" i="2"/>
  <c r="I282" i="2"/>
  <c r="B282" i="2"/>
  <c r="AA281" i="2"/>
  <c r="I281" i="2"/>
  <c r="B281" i="2"/>
  <c r="AA280" i="2"/>
  <c r="I280" i="2"/>
  <c r="B280" i="2"/>
  <c r="AA279" i="2"/>
  <c r="I279" i="2"/>
  <c r="B279" i="2"/>
  <c r="AA278" i="2"/>
  <c r="I278" i="2"/>
  <c r="B278" i="2"/>
  <c r="AA277" i="2"/>
  <c r="I277" i="2"/>
  <c r="B277" i="2"/>
  <c r="AA276" i="2"/>
  <c r="I276" i="2"/>
  <c r="B276" i="2"/>
  <c r="AA275" i="2"/>
  <c r="I275" i="2"/>
  <c r="B275" i="2"/>
  <c r="AA274" i="2"/>
  <c r="I274" i="2"/>
  <c r="B274" i="2"/>
  <c r="AA273" i="2"/>
  <c r="I273" i="2"/>
  <c r="B273" i="2"/>
  <c r="AA272" i="2"/>
  <c r="I272" i="2"/>
  <c r="B272" i="2"/>
  <c r="AA271" i="2"/>
  <c r="I271" i="2"/>
  <c r="B271" i="2"/>
  <c r="AA270" i="2"/>
  <c r="I270" i="2"/>
  <c r="B270" i="2"/>
  <c r="AA269" i="2"/>
  <c r="I269" i="2"/>
  <c r="B269" i="2"/>
  <c r="AA268" i="2"/>
  <c r="I268" i="2"/>
  <c r="B268" i="2"/>
  <c r="AA267" i="2"/>
  <c r="I267" i="2"/>
  <c r="B267" i="2"/>
  <c r="AA266" i="2"/>
  <c r="I266" i="2"/>
  <c r="B266" i="2"/>
  <c r="AA265" i="2"/>
  <c r="I265" i="2"/>
  <c r="B265" i="2"/>
  <c r="AA264" i="2"/>
  <c r="I264" i="2"/>
  <c r="B264" i="2"/>
  <c r="AA263" i="2"/>
  <c r="I263" i="2"/>
  <c r="B263" i="2"/>
  <c r="AA262" i="2"/>
  <c r="I262" i="2"/>
  <c r="B262" i="2"/>
  <c r="AA261" i="2"/>
  <c r="I261" i="2"/>
  <c r="B261" i="2"/>
  <c r="AA260" i="2"/>
  <c r="I260" i="2"/>
  <c r="B260" i="2"/>
  <c r="AA259" i="2"/>
  <c r="I259" i="2"/>
  <c r="B259" i="2"/>
  <c r="AA258" i="2"/>
  <c r="I258" i="2"/>
  <c r="B258" i="2"/>
  <c r="AA257" i="2"/>
  <c r="I257" i="2"/>
  <c r="B257" i="2"/>
  <c r="AA256" i="2"/>
  <c r="I256" i="2"/>
  <c r="B256" i="2"/>
  <c r="AA255" i="2"/>
  <c r="I255" i="2"/>
  <c r="B255" i="2"/>
  <c r="AA254" i="2"/>
  <c r="I254" i="2"/>
  <c r="B254" i="2"/>
  <c r="AA253" i="2"/>
  <c r="I253" i="2"/>
  <c r="B253" i="2"/>
  <c r="AA252" i="2"/>
  <c r="I252" i="2"/>
  <c r="B252" i="2"/>
  <c r="AA251" i="2"/>
  <c r="I251" i="2"/>
  <c r="B251" i="2"/>
  <c r="AA250" i="2"/>
  <c r="I250" i="2"/>
  <c r="B250" i="2"/>
  <c r="AA249" i="2"/>
  <c r="I249" i="2"/>
  <c r="B249" i="2"/>
  <c r="AA248" i="2"/>
  <c r="I248" i="2"/>
  <c r="B248" i="2"/>
  <c r="AA247" i="2"/>
  <c r="I247" i="2"/>
  <c r="B247" i="2"/>
  <c r="AA246" i="2"/>
  <c r="I246" i="2"/>
  <c r="B246" i="2"/>
  <c r="AA245" i="2"/>
  <c r="I245" i="2"/>
  <c r="B245" i="2"/>
  <c r="AA244" i="2"/>
  <c r="I244" i="2"/>
  <c r="B244" i="2"/>
  <c r="AA243" i="2"/>
  <c r="I243" i="2"/>
  <c r="B243" i="2"/>
  <c r="AA242" i="2"/>
  <c r="I242" i="2"/>
  <c r="B242" i="2"/>
  <c r="AA241" i="2"/>
  <c r="I241" i="2"/>
  <c r="B241" i="2"/>
  <c r="AA240" i="2"/>
  <c r="I240" i="2"/>
  <c r="B240" i="2"/>
  <c r="AA239" i="2"/>
  <c r="I239" i="2"/>
  <c r="B239" i="2"/>
  <c r="AA238" i="2"/>
  <c r="I238" i="2"/>
  <c r="B238" i="2"/>
  <c r="AA237" i="2"/>
  <c r="I237" i="2"/>
  <c r="B237" i="2"/>
  <c r="AA236" i="2"/>
  <c r="I236" i="2"/>
  <c r="B236" i="2"/>
  <c r="AA235" i="2"/>
  <c r="I235" i="2"/>
  <c r="B235" i="2"/>
  <c r="AA234" i="2"/>
  <c r="I234" i="2"/>
  <c r="B234" i="2"/>
  <c r="AA233" i="2"/>
  <c r="I233" i="2"/>
  <c r="B233" i="2"/>
  <c r="AA232" i="2"/>
  <c r="I232" i="2"/>
  <c r="B232" i="2"/>
  <c r="AA231" i="2"/>
  <c r="I231" i="2"/>
  <c r="B231" i="2"/>
  <c r="AA230" i="2"/>
  <c r="I230" i="2"/>
  <c r="B230" i="2"/>
  <c r="AA229" i="2"/>
  <c r="I229" i="2"/>
  <c r="B229" i="2"/>
  <c r="AA228" i="2"/>
  <c r="I228" i="2"/>
  <c r="B228" i="2"/>
  <c r="AA227" i="2"/>
  <c r="I227" i="2"/>
  <c r="B227" i="2"/>
  <c r="AA226" i="2"/>
  <c r="I226" i="2"/>
  <c r="B226" i="2"/>
  <c r="AA225" i="2"/>
  <c r="I225" i="2"/>
  <c r="B225" i="2"/>
  <c r="AA224" i="2"/>
  <c r="I224" i="2"/>
  <c r="B224" i="2"/>
  <c r="AA223" i="2"/>
  <c r="I223" i="2"/>
  <c r="B223" i="2"/>
  <c r="AA222" i="2"/>
  <c r="I222" i="2"/>
  <c r="B222" i="2"/>
  <c r="AA221" i="2"/>
  <c r="I221" i="2"/>
  <c r="B221" i="2"/>
  <c r="AA220" i="2"/>
  <c r="I220" i="2"/>
  <c r="B220" i="2"/>
  <c r="AA219" i="2"/>
  <c r="I219" i="2"/>
  <c r="B219" i="2"/>
  <c r="AA218" i="2"/>
  <c r="I218" i="2"/>
  <c r="B218" i="2"/>
  <c r="AA217" i="2"/>
  <c r="I217" i="2"/>
  <c r="B217" i="2"/>
  <c r="AA216" i="2"/>
  <c r="I216" i="2"/>
  <c r="B216" i="2"/>
  <c r="AA215" i="2"/>
  <c r="I215" i="2"/>
  <c r="B215" i="2"/>
  <c r="AA214" i="2"/>
  <c r="I214" i="2"/>
  <c r="B214" i="2"/>
  <c r="AA213" i="2"/>
  <c r="I213" i="2"/>
  <c r="B213" i="2"/>
  <c r="AA212" i="2"/>
  <c r="I212" i="2"/>
  <c r="B212" i="2"/>
  <c r="AA211" i="2"/>
  <c r="I211" i="2"/>
  <c r="B211" i="2"/>
  <c r="AA210" i="2"/>
  <c r="I210" i="2"/>
  <c r="B210" i="2"/>
  <c r="AA209" i="2"/>
  <c r="I209" i="2"/>
  <c r="B209" i="2"/>
  <c r="AA208" i="2"/>
  <c r="I208" i="2"/>
  <c r="B208" i="2"/>
  <c r="AA207" i="2"/>
  <c r="I207" i="2"/>
  <c r="B207" i="2"/>
  <c r="AA206" i="2"/>
  <c r="I206" i="2"/>
  <c r="B206" i="2"/>
  <c r="AA205" i="2"/>
  <c r="I205" i="2"/>
  <c r="B205" i="2"/>
  <c r="AA204" i="2"/>
  <c r="I204" i="2"/>
  <c r="B204" i="2"/>
  <c r="AA203" i="2"/>
  <c r="I203" i="2"/>
  <c r="B203" i="2"/>
  <c r="AA202" i="2"/>
  <c r="I202" i="2"/>
  <c r="B202" i="2"/>
  <c r="AA201" i="2"/>
  <c r="I201" i="2"/>
  <c r="B201" i="2"/>
  <c r="AA200" i="2"/>
  <c r="I200" i="2"/>
  <c r="B200" i="2"/>
  <c r="AA199" i="2"/>
  <c r="I199" i="2"/>
  <c r="B199" i="2"/>
  <c r="AA198" i="2"/>
  <c r="I198" i="2"/>
  <c r="B198" i="2"/>
  <c r="AA197" i="2"/>
  <c r="I197" i="2"/>
  <c r="B197" i="2"/>
  <c r="AA196" i="2"/>
  <c r="I196" i="2"/>
  <c r="B196" i="2"/>
  <c r="AA195" i="2"/>
  <c r="I195" i="2"/>
  <c r="B195" i="2"/>
  <c r="AA194" i="2"/>
  <c r="I194" i="2"/>
  <c r="B194" i="2"/>
  <c r="AA193" i="2"/>
  <c r="I193" i="2"/>
  <c r="B193" i="2"/>
  <c r="AA192" i="2"/>
  <c r="I192" i="2"/>
  <c r="B192" i="2"/>
  <c r="AA191" i="2"/>
  <c r="I191" i="2"/>
  <c r="B191" i="2"/>
  <c r="AA190" i="2"/>
  <c r="I190" i="2"/>
  <c r="B190" i="2"/>
  <c r="AA189" i="2"/>
  <c r="I189" i="2"/>
  <c r="B189" i="2"/>
  <c r="AA188" i="2"/>
  <c r="I188" i="2"/>
  <c r="B188" i="2"/>
  <c r="AA187" i="2"/>
  <c r="I187" i="2"/>
  <c r="B187" i="2"/>
  <c r="AA186" i="2"/>
  <c r="I186" i="2"/>
  <c r="B186" i="2"/>
  <c r="AA185" i="2"/>
  <c r="I185" i="2"/>
  <c r="B185" i="2"/>
  <c r="AA184" i="2"/>
  <c r="I184" i="2"/>
  <c r="B184" i="2"/>
  <c r="AA183" i="2"/>
  <c r="I183" i="2"/>
  <c r="B183" i="2"/>
  <c r="AA182" i="2"/>
  <c r="I182" i="2"/>
  <c r="B182" i="2"/>
  <c r="AA181" i="2"/>
  <c r="I181" i="2"/>
  <c r="B181" i="2"/>
  <c r="AA180" i="2"/>
  <c r="I180" i="2"/>
  <c r="B180" i="2"/>
  <c r="AA179" i="2"/>
  <c r="I179" i="2"/>
  <c r="B179" i="2"/>
  <c r="AA178" i="2"/>
  <c r="I178" i="2"/>
  <c r="B178" i="2"/>
  <c r="AA177" i="2"/>
  <c r="I177" i="2"/>
  <c r="B177" i="2"/>
  <c r="AA176" i="2"/>
  <c r="I176" i="2"/>
  <c r="B176" i="2"/>
  <c r="AA175" i="2"/>
  <c r="I175" i="2"/>
  <c r="B175" i="2"/>
  <c r="AA174" i="2"/>
  <c r="I174" i="2"/>
  <c r="B174" i="2"/>
  <c r="AA173" i="2"/>
  <c r="I173" i="2"/>
  <c r="B173" i="2"/>
  <c r="AA172" i="2"/>
  <c r="I172" i="2"/>
  <c r="B172" i="2"/>
  <c r="AA171" i="2"/>
  <c r="I171" i="2"/>
  <c r="B171" i="2"/>
  <c r="AA170" i="2"/>
  <c r="I170" i="2"/>
  <c r="B170" i="2"/>
  <c r="AA169" i="2"/>
  <c r="I169" i="2"/>
  <c r="B169" i="2"/>
  <c r="AA168" i="2"/>
  <c r="I168" i="2"/>
  <c r="B168" i="2"/>
  <c r="AA167" i="2"/>
  <c r="I167" i="2"/>
  <c r="B167" i="2"/>
  <c r="AA166" i="2"/>
  <c r="I166" i="2"/>
  <c r="B166" i="2"/>
  <c r="AA165" i="2"/>
  <c r="I165" i="2"/>
  <c r="B165" i="2"/>
  <c r="AA164" i="2"/>
  <c r="I164" i="2"/>
  <c r="B164" i="2"/>
  <c r="AA163" i="2"/>
  <c r="I163" i="2"/>
  <c r="B163" i="2"/>
  <c r="AA162" i="2"/>
  <c r="I162" i="2"/>
  <c r="B162" i="2"/>
  <c r="AA161" i="2"/>
  <c r="I161" i="2"/>
  <c r="B161" i="2"/>
  <c r="AA160" i="2"/>
  <c r="I160" i="2"/>
  <c r="B160" i="2"/>
  <c r="AA159" i="2"/>
  <c r="I159" i="2"/>
  <c r="B159" i="2"/>
  <c r="AA158" i="2"/>
  <c r="I158" i="2"/>
  <c r="B158" i="2"/>
  <c r="AA157" i="2"/>
  <c r="I157" i="2"/>
  <c r="B157" i="2"/>
  <c r="AA156" i="2"/>
  <c r="I156" i="2"/>
  <c r="B156" i="2"/>
  <c r="AA155" i="2"/>
  <c r="I155" i="2"/>
  <c r="B155" i="2"/>
  <c r="AA154" i="2"/>
  <c r="I154" i="2"/>
  <c r="B154" i="2"/>
  <c r="AA153" i="2"/>
  <c r="I153" i="2"/>
  <c r="B153" i="2"/>
  <c r="AA152" i="2"/>
  <c r="I152" i="2"/>
  <c r="B152" i="2"/>
  <c r="AA151" i="2"/>
  <c r="I151" i="2"/>
  <c r="B151" i="2"/>
  <c r="AA150" i="2"/>
  <c r="I150" i="2"/>
  <c r="B150" i="2"/>
  <c r="AA149" i="2"/>
  <c r="I149" i="2"/>
  <c r="B149" i="2"/>
  <c r="AA148" i="2"/>
  <c r="I148" i="2"/>
  <c r="B148" i="2"/>
  <c r="AA147" i="2"/>
  <c r="I147" i="2"/>
  <c r="B147" i="2"/>
  <c r="AA146" i="2"/>
  <c r="I146" i="2"/>
  <c r="B146" i="2"/>
  <c r="AA145" i="2"/>
  <c r="I145" i="2"/>
  <c r="B145" i="2"/>
  <c r="AA144" i="2"/>
  <c r="I144" i="2"/>
  <c r="B144" i="2"/>
  <c r="AA143" i="2"/>
  <c r="I143" i="2"/>
  <c r="B143" i="2"/>
  <c r="AA142" i="2"/>
  <c r="I142" i="2"/>
  <c r="B142" i="2"/>
  <c r="AA141" i="2"/>
  <c r="I141" i="2"/>
  <c r="B141" i="2"/>
  <c r="AA140" i="2"/>
  <c r="I140" i="2"/>
  <c r="B140" i="2"/>
  <c r="AA139" i="2"/>
  <c r="I139" i="2"/>
  <c r="B139" i="2"/>
  <c r="AA138" i="2"/>
  <c r="I138" i="2"/>
  <c r="B138" i="2"/>
  <c r="AA137" i="2"/>
  <c r="I137" i="2"/>
  <c r="B137" i="2"/>
  <c r="AA136" i="2"/>
  <c r="I136" i="2"/>
  <c r="B136" i="2"/>
  <c r="AA135" i="2"/>
  <c r="I135" i="2"/>
  <c r="B135" i="2"/>
  <c r="AA134" i="2"/>
  <c r="I134" i="2"/>
  <c r="B134" i="2"/>
  <c r="AA133" i="2"/>
  <c r="I133" i="2"/>
  <c r="B133" i="2"/>
  <c r="AA132" i="2"/>
  <c r="I132" i="2"/>
  <c r="B132" i="2"/>
  <c r="AA131" i="2"/>
  <c r="I131" i="2"/>
  <c r="B131" i="2"/>
  <c r="AA130" i="2"/>
  <c r="I130" i="2"/>
  <c r="B130" i="2"/>
  <c r="AA129" i="2"/>
  <c r="I129" i="2"/>
  <c r="B129" i="2"/>
  <c r="AA128" i="2"/>
  <c r="I128" i="2"/>
  <c r="B128" i="2"/>
  <c r="AA127" i="2"/>
  <c r="I127" i="2"/>
  <c r="B127" i="2"/>
  <c r="AA126" i="2"/>
  <c r="I126" i="2"/>
  <c r="B126" i="2"/>
  <c r="AA125" i="2"/>
  <c r="I125" i="2"/>
  <c r="B125" i="2"/>
  <c r="AA124" i="2"/>
  <c r="I124" i="2"/>
  <c r="B124" i="2"/>
  <c r="AA123" i="2"/>
  <c r="I123" i="2"/>
  <c r="B123" i="2"/>
  <c r="AA122" i="2"/>
  <c r="I122" i="2"/>
  <c r="B122" i="2"/>
  <c r="AA121" i="2"/>
  <c r="I121" i="2"/>
  <c r="B121" i="2"/>
  <c r="AA120" i="2"/>
  <c r="I120" i="2"/>
  <c r="B120" i="2"/>
  <c r="AA119" i="2"/>
  <c r="I119" i="2"/>
  <c r="B119" i="2"/>
  <c r="AA118" i="2"/>
  <c r="I118" i="2"/>
  <c r="B118" i="2"/>
  <c r="AA117" i="2"/>
  <c r="I117" i="2"/>
  <c r="B117" i="2"/>
  <c r="AA116" i="2"/>
  <c r="I116" i="2"/>
  <c r="B116" i="2"/>
  <c r="AA115" i="2"/>
  <c r="I115" i="2"/>
  <c r="B115" i="2"/>
  <c r="AA114" i="2"/>
  <c r="I114" i="2"/>
  <c r="B114" i="2"/>
  <c r="AA113" i="2"/>
  <c r="I113" i="2"/>
  <c r="B113" i="2"/>
  <c r="AA112" i="2"/>
  <c r="I112" i="2"/>
  <c r="B112" i="2"/>
  <c r="AA111" i="2"/>
  <c r="I111" i="2"/>
  <c r="B111" i="2"/>
  <c r="AA110" i="2"/>
  <c r="I110" i="2"/>
  <c r="B110" i="2"/>
  <c r="AA109" i="2"/>
  <c r="I109" i="2"/>
  <c r="B109" i="2"/>
  <c r="AA108" i="2"/>
  <c r="I108" i="2"/>
  <c r="B108" i="2"/>
  <c r="AA107" i="2"/>
  <c r="I107" i="2"/>
  <c r="B107" i="2"/>
  <c r="AA106" i="2"/>
  <c r="I106" i="2"/>
  <c r="B106" i="2"/>
  <c r="AA105" i="2"/>
  <c r="I105" i="2"/>
  <c r="B105" i="2"/>
  <c r="AA104" i="2"/>
  <c r="I104" i="2"/>
  <c r="B104" i="2"/>
  <c r="AI103" i="2"/>
  <c r="AA103" i="2"/>
  <c r="I103" i="2"/>
  <c r="B103" i="2"/>
  <c r="AI102" i="2"/>
  <c r="AA102" i="2"/>
  <c r="I102" i="2"/>
  <c r="B102" i="2"/>
  <c r="AI101" i="2"/>
  <c r="AA101" i="2"/>
  <c r="I101" i="2"/>
  <c r="B101" i="2"/>
  <c r="AI100" i="2"/>
  <c r="AA100" i="2"/>
  <c r="I100" i="2"/>
  <c r="B100" i="2"/>
  <c r="AI99" i="2"/>
  <c r="AA99" i="2"/>
  <c r="I99" i="2"/>
  <c r="B99" i="2"/>
  <c r="AI98" i="2"/>
  <c r="AA98" i="2"/>
  <c r="I98" i="2"/>
  <c r="B98" i="2"/>
  <c r="AI97" i="2"/>
  <c r="AA97" i="2"/>
  <c r="I97" i="2"/>
  <c r="B97" i="2"/>
  <c r="AI96" i="2"/>
  <c r="AA96" i="2"/>
  <c r="I96" i="2"/>
  <c r="B96" i="2"/>
  <c r="AI95" i="2"/>
  <c r="AA95" i="2"/>
  <c r="I95" i="2"/>
  <c r="B95" i="2"/>
  <c r="AI94" i="2"/>
  <c r="AA94" i="2"/>
  <c r="I94" i="2"/>
  <c r="B94" i="2"/>
  <c r="AI93" i="2"/>
  <c r="AA93" i="2"/>
  <c r="I93" i="2"/>
  <c r="B93" i="2"/>
  <c r="AI92" i="2"/>
  <c r="AA92" i="2"/>
  <c r="I92" i="2"/>
  <c r="B92" i="2"/>
  <c r="AI91" i="2"/>
  <c r="AA91" i="2"/>
  <c r="I91" i="2"/>
  <c r="B91" i="2"/>
  <c r="AI90" i="2"/>
  <c r="AA90" i="2"/>
  <c r="I90" i="2"/>
  <c r="B90" i="2"/>
  <c r="AI89" i="2"/>
  <c r="AA89" i="2"/>
  <c r="I89" i="2"/>
  <c r="B89" i="2"/>
  <c r="AI88" i="2"/>
  <c r="AA88" i="2"/>
  <c r="I88" i="2"/>
  <c r="B88" i="2"/>
  <c r="AI87" i="2"/>
  <c r="AA87" i="2"/>
  <c r="I87" i="2"/>
  <c r="B87" i="2"/>
  <c r="AI86" i="2"/>
  <c r="AA86" i="2"/>
  <c r="I86" i="2"/>
  <c r="B86" i="2"/>
  <c r="AI85" i="2"/>
  <c r="AA85" i="2"/>
  <c r="I85" i="2"/>
  <c r="B85" i="2"/>
  <c r="AI84" i="2"/>
  <c r="AA84" i="2"/>
  <c r="I84" i="2"/>
  <c r="B84" i="2"/>
  <c r="AI83" i="2"/>
  <c r="AA83" i="2"/>
  <c r="I83" i="2"/>
  <c r="B83" i="2"/>
  <c r="AI82" i="2"/>
  <c r="AA82" i="2"/>
  <c r="I82" i="2"/>
  <c r="B82" i="2"/>
  <c r="AI81" i="2"/>
  <c r="AA81" i="2"/>
  <c r="I81" i="2"/>
  <c r="B81" i="2"/>
  <c r="AI80" i="2"/>
  <c r="AA80" i="2"/>
  <c r="I80" i="2"/>
  <c r="B80" i="2"/>
  <c r="AA79" i="2"/>
  <c r="E79" i="2"/>
  <c r="E80" i="2" s="1"/>
  <c r="E81" i="2" s="1"/>
  <c r="E82" i="2" s="1"/>
  <c r="E83" i="2" s="1"/>
  <c r="E84" i="2" s="1"/>
  <c r="E85" i="2" s="1"/>
  <c r="E86" i="2" s="1"/>
  <c r="E87" i="2" s="1"/>
  <c r="E88" i="2" s="1"/>
  <c r="E89" i="2" s="1"/>
  <c r="E90" i="2" s="1"/>
  <c r="E91" i="2" s="1"/>
  <c r="E92" i="2" s="1"/>
  <c r="E93" i="2" s="1"/>
  <c r="E94" i="2" s="1"/>
  <c r="E95" i="2" s="1"/>
  <c r="E96" i="2" s="1"/>
  <c r="E97" i="2" s="1"/>
  <c r="E98" i="2" s="1"/>
  <c r="E99" i="2" s="1"/>
  <c r="E100" i="2" s="1"/>
  <c r="E101" i="2" s="1"/>
  <c r="E102" i="2" s="1"/>
  <c r="E103" i="2" s="1"/>
  <c r="E104" i="2" s="1"/>
  <c r="H7" i="2"/>
  <c r="H39" i="5" s="1"/>
  <c r="E60" i="2"/>
  <c r="F56" i="2"/>
  <c r="F54" i="2"/>
  <c r="O231" i="2"/>
  <c r="F52" i="2"/>
  <c r="C47" i="2"/>
  <c r="I319" i="2" s="1"/>
  <c r="F46" i="2"/>
  <c r="E45" i="2"/>
  <c r="F44" i="2"/>
  <c r="H41" i="2"/>
  <c r="I41" i="2" s="1"/>
  <c r="F41" i="2"/>
  <c r="F39" i="2"/>
  <c r="E37" i="2"/>
  <c r="E28" i="2"/>
  <c r="B16" i="2"/>
  <c r="B14" i="2"/>
  <c r="F32" i="5" s="1"/>
  <c r="H10" i="2"/>
  <c r="B9" i="2"/>
  <c r="F7" i="2"/>
  <c r="AC122" i="1"/>
  <c r="AC116"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C47" i="1"/>
  <c r="Y47" i="1"/>
  <c r="AC46" i="1"/>
  <c r="Z46" i="1"/>
  <c r="E46" i="1"/>
  <c r="AD45" i="1"/>
  <c r="AC45" i="1"/>
  <c r="AB45" i="1"/>
  <c r="AA45" i="1"/>
  <c r="AH45" i="1" s="1"/>
  <c r="T45" i="1"/>
  <c r="E45" i="1"/>
  <c r="D45" i="1"/>
  <c r="D46" i="1" s="1"/>
  <c r="Y46" i="1" s="1"/>
  <c r="AD44" i="1"/>
  <c r="AC44" i="1"/>
  <c r="Z44" i="1"/>
  <c r="Y44" i="1"/>
  <c r="E44" i="1"/>
  <c r="AA44" i="1" s="1"/>
  <c r="F8" i="2"/>
  <c r="AR38" i="1"/>
  <c r="AR33" i="1"/>
  <c r="AR32" i="1"/>
  <c r="AR24" i="1"/>
  <c r="E76" i="2"/>
  <c r="AI355" i="3" l="1"/>
  <c r="W355" i="3"/>
  <c r="AP79" i="2"/>
  <c r="N79" i="2"/>
  <c r="B76" i="2"/>
  <c r="H38" i="5" s="1"/>
  <c r="AX249" i="1"/>
  <c r="AX253" i="1"/>
  <c r="AX257" i="1"/>
  <c r="AX261" i="1"/>
  <c r="AX265" i="1"/>
  <c r="AX269" i="1"/>
  <c r="AX273" i="1"/>
  <c r="AX277" i="1"/>
  <c r="AX281" i="1"/>
  <c r="AX285" i="1"/>
  <c r="AX289" i="1"/>
  <c r="AX293" i="1"/>
  <c r="AX297" i="1"/>
  <c r="AX301" i="1"/>
  <c r="AX305" i="1"/>
  <c r="AX309" i="1"/>
  <c r="AX313" i="1"/>
  <c r="AX317" i="1"/>
  <c r="AX321" i="1"/>
  <c r="AX325" i="1"/>
  <c r="AX329" i="1"/>
  <c r="AX333" i="1"/>
  <c r="AX337" i="1"/>
  <c r="AX341" i="1"/>
  <c r="AX345" i="1"/>
  <c r="AX349" i="1"/>
  <c r="AX353" i="1"/>
  <c r="AX357" i="1"/>
  <c r="AX361" i="1"/>
  <c r="AX365" i="1"/>
  <c r="AX369" i="1"/>
  <c r="AX373" i="1"/>
  <c r="AX377" i="1"/>
  <c r="AX381" i="1"/>
  <c r="AX385" i="1"/>
  <c r="AX389" i="1"/>
  <c r="AX393" i="1"/>
  <c r="AX397" i="1"/>
  <c r="AX401" i="1"/>
  <c r="AX405" i="1"/>
  <c r="AX409" i="1"/>
  <c r="AX413" i="1"/>
  <c r="AX417" i="1"/>
  <c r="AX421" i="1"/>
  <c r="AX425" i="1"/>
  <c r="AX429" i="1"/>
  <c r="AX433" i="1"/>
  <c r="AX437" i="1"/>
  <c r="AX441" i="1"/>
  <c r="AX445" i="1"/>
  <c r="AX449" i="1"/>
  <c r="AX453" i="1"/>
  <c r="AX457" i="1"/>
  <c r="AX461" i="1"/>
  <c r="AX254" i="1"/>
  <c r="AX278" i="1"/>
  <c r="AX286" i="1"/>
  <c r="AX290" i="1"/>
  <c r="AX302" i="1"/>
  <c r="AX310" i="1"/>
  <c r="AX318" i="1"/>
  <c r="AX326" i="1"/>
  <c r="AX334" i="1"/>
  <c r="AX342" i="1"/>
  <c r="AX350" i="1"/>
  <c r="AX358" i="1"/>
  <c r="AX366" i="1"/>
  <c r="AX374" i="1"/>
  <c r="AX382" i="1"/>
  <c r="AX390" i="1"/>
  <c r="AX398" i="1"/>
  <c r="AX406" i="1"/>
  <c r="AX414" i="1"/>
  <c r="AX418" i="1"/>
  <c r="AX426" i="1"/>
  <c r="AX434" i="1"/>
  <c r="AX442" i="1"/>
  <c r="AX450" i="1"/>
  <c r="AX458" i="1"/>
  <c r="AO223" i="1"/>
  <c r="AX247" i="1"/>
  <c r="AX255" i="1"/>
  <c r="AX263" i="1"/>
  <c r="AX271" i="1"/>
  <c r="AX279" i="1"/>
  <c r="AX250" i="1"/>
  <c r="AX258" i="1"/>
  <c r="AX262" i="1"/>
  <c r="AX266" i="1"/>
  <c r="AX270" i="1"/>
  <c r="AX274" i="1"/>
  <c r="AX282" i="1"/>
  <c r="AX294" i="1"/>
  <c r="AX298" i="1"/>
  <c r="AX306" i="1"/>
  <c r="AX314" i="1"/>
  <c r="AX322" i="1"/>
  <c r="AX330" i="1"/>
  <c r="AX338" i="1"/>
  <c r="AX346" i="1"/>
  <c r="AX354" i="1"/>
  <c r="AX362" i="1"/>
  <c r="AX370" i="1"/>
  <c r="AX378" i="1"/>
  <c r="AX386" i="1"/>
  <c r="AX394" i="1"/>
  <c r="AX402" i="1"/>
  <c r="AX410" i="1"/>
  <c r="AX422" i="1"/>
  <c r="AX430" i="1"/>
  <c r="AX438" i="1"/>
  <c r="AX446" i="1"/>
  <c r="AX454" i="1"/>
  <c r="AX462" i="1"/>
  <c r="AX251" i="1"/>
  <c r="AX259" i="1"/>
  <c r="AX267" i="1"/>
  <c r="AX275" i="1"/>
  <c r="AX283" i="1"/>
  <c r="AX256" i="1"/>
  <c r="AX272" i="1"/>
  <c r="AX287" i="1"/>
  <c r="AX295" i="1"/>
  <c r="AX303" i="1"/>
  <c r="AX311" i="1"/>
  <c r="AX319" i="1"/>
  <c r="AX327" i="1"/>
  <c r="AX335" i="1"/>
  <c r="AX343" i="1"/>
  <c r="AX351" i="1"/>
  <c r="AX359" i="1"/>
  <c r="AX367" i="1"/>
  <c r="AX375" i="1"/>
  <c r="AX383" i="1"/>
  <c r="AX391" i="1"/>
  <c r="AX399" i="1"/>
  <c r="AX407" i="1"/>
  <c r="AX415" i="1"/>
  <c r="AX423" i="1"/>
  <c r="AX431" i="1"/>
  <c r="AX439" i="1"/>
  <c r="AX447" i="1"/>
  <c r="AX455" i="1"/>
  <c r="AN223" i="1"/>
  <c r="AX424" i="1"/>
  <c r="AX440" i="1"/>
  <c r="AX456" i="1"/>
  <c r="AX264" i="1"/>
  <c r="AX291" i="1"/>
  <c r="AX307" i="1"/>
  <c r="AX323" i="1"/>
  <c r="AX339" i="1"/>
  <c r="AX355" i="1"/>
  <c r="AX371" i="1"/>
  <c r="AX387" i="1"/>
  <c r="AX403" i="1"/>
  <c r="AX419" i="1"/>
  <c r="AX435" i="1"/>
  <c r="AX451" i="1"/>
  <c r="AX252" i="1"/>
  <c r="AX284" i="1"/>
  <c r="AX300" i="1"/>
  <c r="AX316" i="1"/>
  <c r="AX332" i="1"/>
  <c r="AX348" i="1"/>
  <c r="AX364" i="1"/>
  <c r="AX380" i="1"/>
  <c r="AX396" i="1"/>
  <c r="AX412" i="1"/>
  <c r="AX428" i="1"/>
  <c r="AX444" i="1"/>
  <c r="AX460" i="1"/>
  <c r="AX260" i="1"/>
  <c r="AX276" i="1"/>
  <c r="AX288" i="1"/>
  <c r="AX296" i="1"/>
  <c r="AX304" i="1"/>
  <c r="AX312" i="1"/>
  <c r="AX320" i="1"/>
  <c r="AX328" i="1"/>
  <c r="AX336" i="1"/>
  <c r="AX344" i="1"/>
  <c r="AX352" i="1"/>
  <c r="AX360" i="1"/>
  <c r="AX368" i="1"/>
  <c r="AX376" i="1"/>
  <c r="AX384" i="1"/>
  <c r="AX392" i="1"/>
  <c r="AX400" i="1"/>
  <c r="AX408" i="1"/>
  <c r="AX416" i="1"/>
  <c r="AX432" i="1"/>
  <c r="AX448" i="1"/>
  <c r="AY223" i="1"/>
  <c r="AZ223" i="1" s="1"/>
  <c r="BB223" i="1" s="1"/>
  <c r="AX248" i="1"/>
  <c r="AX280" i="1"/>
  <c r="AX299" i="1"/>
  <c r="AX315" i="1"/>
  <c r="AX331" i="1"/>
  <c r="AX347" i="1"/>
  <c r="AX363" i="1"/>
  <c r="AX379" i="1"/>
  <c r="AX395" i="1"/>
  <c r="AX411" i="1"/>
  <c r="AX427" i="1"/>
  <c r="AX443" i="1"/>
  <c r="AX459" i="1"/>
  <c r="AX268" i="1"/>
  <c r="AX292" i="1"/>
  <c r="AX308" i="1"/>
  <c r="AX324" i="1"/>
  <c r="AX340" i="1"/>
  <c r="AX356" i="1"/>
  <c r="AX372" i="1"/>
  <c r="AX388" i="1"/>
  <c r="AX404" i="1"/>
  <c r="AX420" i="1"/>
  <c r="AX436" i="1"/>
  <c r="AX452" i="1"/>
  <c r="AY224" i="1"/>
  <c r="AZ224" i="1" s="1"/>
  <c r="BB224" i="1" s="1"/>
  <c r="AY225" i="1"/>
  <c r="AZ225" i="1" s="1"/>
  <c r="BB225" i="1" s="1"/>
  <c r="AY226" i="1"/>
  <c r="AZ226" i="1" s="1"/>
  <c r="BB226" i="1" s="1"/>
  <c r="AY227" i="1"/>
  <c r="AZ227" i="1" s="1"/>
  <c r="BB227" i="1" s="1"/>
  <c r="AR222" i="1"/>
  <c r="BB222" i="1"/>
  <c r="AW228" i="1"/>
  <c r="AY228" i="1"/>
  <c r="AZ228" i="1" s="1"/>
  <c r="BB228" i="1" s="1"/>
  <c r="O355" i="3"/>
  <c r="L355" i="3" s="1"/>
  <c r="F37" i="3"/>
  <c r="F45" i="3" s="1"/>
  <c r="N126" i="3"/>
  <c r="N174" i="3" s="1"/>
  <c r="N175" i="3" s="1"/>
  <c r="F62" i="2"/>
  <c r="F475" i="3"/>
  <c r="F396" i="3"/>
  <c r="F399" i="3"/>
  <c r="H109" i="3"/>
  <c r="H188" i="3"/>
  <c r="F102" i="3"/>
  <c r="H107" i="3" s="1"/>
  <c r="F411" i="3"/>
  <c r="L126" i="3"/>
  <c r="F367" i="3"/>
  <c r="F459" i="3"/>
  <c r="F481" i="3"/>
  <c r="H126" i="3"/>
  <c r="H174" i="3" s="1"/>
  <c r="H175" i="3" s="1"/>
  <c r="C338" i="6"/>
  <c r="Y45" i="1"/>
  <c r="H186" i="3"/>
  <c r="F388" i="3"/>
  <c r="F391" i="3"/>
  <c r="F427" i="3"/>
  <c r="F488" i="3"/>
  <c r="AS222" i="1"/>
  <c r="F443" i="3"/>
  <c r="O126" i="3"/>
  <c r="F372" i="3"/>
  <c r="F375" i="3"/>
  <c r="N279" i="3"/>
  <c r="C20" i="4" s="1"/>
  <c r="F483" i="3"/>
  <c r="F486" i="3"/>
  <c r="E110" i="19"/>
  <c r="AH44" i="1"/>
  <c r="O45" i="3"/>
  <c r="I126" i="3"/>
  <c r="F360" i="3"/>
  <c r="F380" i="3"/>
  <c r="F383" i="3"/>
  <c r="C337" i="6"/>
  <c r="B44" i="5"/>
  <c r="F628" i="3"/>
  <c r="F355" i="3"/>
  <c r="F356" i="3"/>
  <c r="F363" i="3"/>
  <c r="F415" i="3"/>
  <c r="F431" i="3"/>
  <c r="F447" i="3"/>
  <c r="F463" i="3"/>
  <c r="F510" i="3"/>
  <c r="F648" i="3"/>
  <c r="F359" i="3"/>
  <c r="F366" i="3"/>
  <c r="F368" i="3"/>
  <c r="F371" i="3"/>
  <c r="F376" i="3"/>
  <c r="F379" i="3"/>
  <c r="F384" i="3"/>
  <c r="F387" i="3"/>
  <c r="F392" i="3"/>
  <c r="F395" i="3"/>
  <c r="F400" i="3"/>
  <c r="F403" i="3"/>
  <c r="F419" i="3"/>
  <c r="F435" i="3"/>
  <c r="F451" i="3"/>
  <c r="F467" i="3"/>
  <c r="F480" i="3"/>
  <c r="F482" i="3"/>
  <c r="F487" i="3"/>
  <c r="F504" i="3"/>
  <c r="F660" i="3"/>
  <c r="F357" i="3"/>
  <c r="F362" i="3"/>
  <c r="F364" i="3"/>
  <c r="F407" i="3"/>
  <c r="F423" i="3"/>
  <c r="F439" i="3"/>
  <c r="F455" i="3"/>
  <c r="F471" i="3"/>
  <c r="F498" i="3"/>
  <c r="F616" i="3"/>
  <c r="N15" i="3"/>
  <c r="E263" i="6"/>
  <c r="E264" i="6" s="1"/>
  <c r="E265" i="6" s="1"/>
  <c r="AB79" i="2"/>
  <c r="AD80" i="2" s="1"/>
  <c r="B263" i="6"/>
  <c r="B264" i="6" s="1"/>
  <c r="B265" i="6" s="1"/>
  <c r="AT222" i="1"/>
  <c r="B7" i="29"/>
  <c r="E38" i="35"/>
  <c r="AA46" i="1"/>
  <c r="F83" i="2"/>
  <c r="F91" i="2"/>
  <c r="H37" i="5"/>
  <c r="AF79" i="2"/>
  <c r="G79" i="2"/>
  <c r="W79" i="2"/>
  <c r="S79" i="2"/>
  <c r="E105" i="2"/>
  <c r="F81" i="2"/>
  <c r="F89" i="2"/>
  <c r="F97" i="2"/>
  <c r="F45" i="5"/>
  <c r="F46" i="5"/>
  <c r="G44" i="5"/>
  <c r="G47" i="5"/>
  <c r="F44" i="5"/>
  <c r="G43" i="5"/>
  <c r="G45" i="5"/>
  <c r="F43" i="5"/>
  <c r="G46" i="5"/>
  <c r="F47" i="5"/>
  <c r="F710" i="2"/>
  <c r="F702" i="2"/>
  <c r="F694" i="2"/>
  <c r="F686" i="2"/>
  <c r="F678" i="2"/>
  <c r="F670" i="2"/>
  <c r="F662" i="2"/>
  <c r="F654" i="2"/>
  <c r="F646" i="2"/>
  <c r="F638" i="2"/>
  <c r="F630" i="2"/>
  <c r="F622" i="2"/>
  <c r="F614" i="2"/>
  <c r="F606" i="2"/>
  <c r="F598" i="2"/>
  <c r="F590" i="2"/>
  <c r="F582" i="2"/>
  <c r="F574" i="2"/>
  <c r="F566" i="2"/>
  <c r="F558" i="2"/>
  <c r="F550" i="2"/>
  <c r="F711" i="2"/>
  <c r="F708" i="2"/>
  <c r="F699" i="2"/>
  <c r="F691" i="2"/>
  <c r="F683" i="2"/>
  <c r="F675" i="2"/>
  <c r="F667" i="2"/>
  <c r="F659" i="2"/>
  <c r="F651" i="2"/>
  <c r="F643" i="2"/>
  <c r="F635" i="2"/>
  <c r="F627" i="2"/>
  <c r="F619" i="2"/>
  <c r="F611" i="2"/>
  <c r="F603" i="2"/>
  <c r="F595" i="2"/>
  <c r="F587" i="2"/>
  <c r="F579" i="2"/>
  <c r="F571" i="2"/>
  <c r="F563" i="2"/>
  <c r="F555" i="2"/>
  <c r="F714" i="2"/>
  <c r="F705" i="2"/>
  <c r="F696" i="2"/>
  <c r="F688" i="2"/>
  <c r="F680" i="2"/>
  <c r="F672" i="2"/>
  <c r="F664" i="2"/>
  <c r="F656" i="2"/>
  <c r="F648" i="2"/>
  <c r="F640" i="2"/>
  <c r="F632" i="2"/>
  <c r="F701" i="2"/>
  <c r="F693" i="2"/>
  <c r="F685" i="2"/>
  <c r="F677" i="2"/>
  <c r="F669" i="2"/>
  <c r="F661" i="2"/>
  <c r="F653" i="2"/>
  <c r="F645" i="2"/>
  <c r="F637" i="2"/>
  <c r="F629" i="2"/>
  <c r="F621" i="2"/>
  <c r="F613" i="2"/>
  <c r="F605" i="2"/>
  <c r="F597" i="2"/>
  <c r="F589" i="2"/>
  <c r="F581" i="2"/>
  <c r="F573" i="2"/>
  <c r="F565" i="2"/>
  <c r="F557" i="2"/>
  <c r="F549" i="2"/>
  <c r="F707" i="2"/>
  <c r="F704" i="2"/>
  <c r="F698" i="2"/>
  <c r="F690" i="2"/>
  <c r="F682" i="2"/>
  <c r="F674" i="2"/>
  <c r="F666" i="2"/>
  <c r="F658" i="2"/>
  <c r="F650" i="2"/>
  <c r="F642" i="2"/>
  <c r="F634" i="2"/>
  <c r="F626" i="2"/>
  <c r="F618" i="2"/>
  <c r="F610" i="2"/>
  <c r="F602" i="2"/>
  <c r="F594" i="2"/>
  <c r="F586" i="2"/>
  <c r="F578" i="2"/>
  <c r="F570" i="2"/>
  <c r="F562" i="2"/>
  <c r="F554" i="2"/>
  <c r="F716" i="2"/>
  <c r="F713" i="2"/>
  <c r="F695" i="2"/>
  <c r="F687" i="2"/>
  <c r="F679" i="2"/>
  <c r="F671" i="2"/>
  <c r="F663" i="2"/>
  <c r="F655" i="2"/>
  <c r="F647" i="2"/>
  <c r="F639" i="2"/>
  <c r="F631" i="2"/>
  <c r="F623" i="2"/>
  <c r="F615" i="2"/>
  <c r="F607" i="2"/>
  <c r="F599" i="2"/>
  <c r="F591" i="2"/>
  <c r="F583" i="2"/>
  <c r="F575" i="2"/>
  <c r="F567" i="2"/>
  <c r="F559" i="2"/>
  <c r="F551" i="2"/>
  <c r="F709" i="2"/>
  <c r="F703" i="2"/>
  <c r="F700" i="2"/>
  <c r="F692" i="2"/>
  <c r="F684" i="2"/>
  <c r="F676" i="2"/>
  <c r="F668" i="2"/>
  <c r="F660" i="2"/>
  <c r="F652" i="2"/>
  <c r="F644" i="2"/>
  <c r="F636" i="2"/>
  <c r="F628" i="2"/>
  <c r="F620" i="2"/>
  <c r="F612" i="2"/>
  <c r="F604" i="2"/>
  <c r="F596" i="2"/>
  <c r="F588" i="2"/>
  <c r="F580" i="2"/>
  <c r="F572" i="2"/>
  <c r="F564" i="2"/>
  <c r="F556" i="2"/>
  <c r="F665" i="2"/>
  <c r="F616" i="2"/>
  <c r="F584" i="2"/>
  <c r="F552" i="2"/>
  <c r="F541" i="2"/>
  <c r="F533" i="2"/>
  <c r="F525" i="2"/>
  <c r="F517" i="2"/>
  <c r="F509" i="2"/>
  <c r="F501" i="2"/>
  <c r="F641" i="2"/>
  <c r="F625" i="2"/>
  <c r="F593" i="2"/>
  <c r="F561" i="2"/>
  <c r="F546" i="2"/>
  <c r="F538" i="2"/>
  <c r="F530" i="2"/>
  <c r="F522" i="2"/>
  <c r="F514" i="2"/>
  <c r="F506" i="2"/>
  <c r="F715" i="2"/>
  <c r="F681" i="2"/>
  <c r="F624" i="2"/>
  <c r="F592" i="2"/>
  <c r="F560" i="2"/>
  <c r="F543" i="2"/>
  <c r="F535" i="2"/>
  <c r="F527" i="2"/>
  <c r="F519" i="2"/>
  <c r="F511" i="2"/>
  <c r="F503" i="2"/>
  <c r="F712" i="2"/>
  <c r="F657" i="2"/>
  <c r="F601" i="2"/>
  <c r="F569" i="2"/>
  <c r="F548" i="2"/>
  <c r="F540" i="2"/>
  <c r="F532" i="2"/>
  <c r="F524" i="2"/>
  <c r="F516" i="2"/>
  <c r="F508"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697" i="2"/>
  <c r="F633" i="2"/>
  <c r="F600" i="2"/>
  <c r="F568" i="2"/>
  <c r="F545" i="2"/>
  <c r="F537" i="2"/>
  <c r="F529" i="2"/>
  <c r="F521" i="2"/>
  <c r="F513" i="2"/>
  <c r="F505" i="2"/>
  <c r="F673" i="2"/>
  <c r="F609" i="2"/>
  <c r="F577" i="2"/>
  <c r="F542" i="2"/>
  <c r="F534" i="2"/>
  <c r="F526" i="2"/>
  <c r="F518" i="2"/>
  <c r="F510" i="2"/>
  <c r="F502" i="2"/>
  <c r="F649" i="2"/>
  <c r="F608" i="2"/>
  <c r="F576" i="2"/>
  <c r="F547" i="2"/>
  <c r="F539" i="2"/>
  <c r="F531" i="2"/>
  <c r="F523" i="2"/>
  <c r="F515" i="2"/>
  <c r="F507" i="2"/>
  <c r="F689" i="2"/>
  <c r="F512" i="2"/>
  <c r="F553"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528" i="2"/>
  <c r="F617" i="2"/>
  <c r="F504" i="2"/>
  <c r="F544" i="2"/>
  <c r="F520" i="2"/>
  <c r="F706" i="2"/>
  <c r="F585" i="2"/>
  <c r="F360" i="2"/>
  <c r="F359" i="2"/>
  <c r="F358"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8" i="2"/>
  <c r="F327" i="2"/>
  <c r="F326" i="2"/>
  <c r="F325" i="2"/>
  <c r="F324" i="2"/>
  <c r="F323" i="2"/>
  <c r="F322" i="2"/>
  <c r="F321" i="2"/>
  <c r="F320" i="2"/>
  <c r="F316" i="2"/>
  <c r="F312" i="2"/>
  <c r="F308" i="2"/>
  <c r="F304" i="2"/>
  <c r="F300" i="2"/>
  <c r="F296" i="2"/>
  <c r="F292" i="2"/>
  <c r="F288" i="2"/>
  <c r="F536" i="2"/>
  <c r="F318" i="2"/>
  <c r="F314" i="2"/>
  <c r="F310" i="2"/>
  <c r="F306" i="2"/>
  <c r="F299" i="2"/>
  <c r="F298" i="2"/>
  <c r="F291" i="2"/>
  <c r="F290" i="2"/>
  <c r="F275" i="2"/>
  <c r="F271" i="2"/>
  <c r="F267" i="2"/>
  <c r="F263" i="2"/>
  <c r="F259" i="2"/>
  <c r="F255" i="2"/>
  <c r="F251" i="2"/>
  <c r="F247" i="2"/>
  <c r="F243" i="2"/>
  <c r="F239" i="2"/>
  <c r="F235" i="2"/>
  <c r="F231" i="2"/>
  <c r="F227" i="2"/>
  <c r="F223" i="2"/>
  <c r="F219" i="2"/>
  <c r="F215" i="2"/>
  <c r="F211" i="2"/>
  <c r="F207" i="2"/>
  <c r="F203" i="2"/>
  <c r="F199" i="2"/>
  <c r="F195" i="2"/>
  <c r="F191" i="2"/>
  <c r="F187" i="2"/>
  <c r="F285" i="2"/>
  <c r="F284" i="2"/>
  <c r="F283" i="2"/>
  <c r="F282" i="2"/>
  <c r="F281" i="2"/>
  <c r="F280" i="2"/>
  <c r="F279" i="2"/>
  <c r="F278" i="2"/>
  <c r="F277" i="2"/>
  <c r="F276" i="2"/>
  <c r="F303" i="2"/>
  <c r="F302" i="2"/>
  <c r="F295" i="2"/>
  <c r="F294" i="2"/>
  <c r="F287" i="2"/>
  <c r="F286" i="2"/>
  <c r="F273" i="2"/>
  <c r="F269" i="2"/>
  <c r="F265" i="2"/>
  <c r="F261" i="2"/>
  <c r="F257" i="2"/>
  <c r="F253" i="2"/>
  <c r="F249" i="2"/>
  <c r="F245" i="2"/>
  <c r="F241" i="2"/>
  <c r="F237" i="2"/>
  <c r="F233" i="2"/>
  <c r="F229" i="2"/>
  <c r="F225" i="2"/>
  <c r="F221" i="2"/>
  <c r="F217" i="2"/>
  <c r="F213" i="2"/>
  <c r="F209" i="2"/>
  <c r="F205" i="2"/>
  <c r="F201" i="2"/>
  <c r="F197" i="2"/>
  <c r="F193" i="2"/>
  <c r="F189" i="2"/>
  <c r="F185" i="2"/>
  <c r="F262" i="2"/>
  <c r="F246" i="2"/>
  <c r="F230" i="2"/>
  <c r="F214" i="2"/>
  <c r="F198" i="2"/>
  <c r="F317" i="2"/>
  <c r="F309" i="2"/>
  <c r="F297" i="2"/>
  <c r="F264" i="2"/>
  <c r="F248" i="2"/>
  <c r="F232" i="2"/>
  <c r="F216" i="2"/>
  <c r="F200" i="2"/>
  <c r="F183" i="2"/>
  <c r="F179" i="2"/>
  <c r="F175" i="2"/>
  <c r="F171" i="2"/>
  <c r="F167" i="2"/>
  <c r="F163" i="2"/>
  <c r="F159" i="2"/>
  <c r="F155" i="2"/>
  <c r="F151" i="2"/>
  <c r="F147" i="2"/>
  <c r="F143" i="2"/>
  <c r="F139" i="2"/>
  <c r="F135" i="2"/>
  <c r="F131" i="2"/>
  <c r="F127" i="2"/>
  <c r="F123" i="2"/>
  <c r="F119" i="2"/>
  <c r="F115" i="2"/>
  <c r="F111" i="2"/>
  <c r="F266" i="2"/>
  <c r="F250" i="2"/>
  <c r="F234" i="2"/>
  <c r="F218" i="2"/>
  <c r="F202" i="2"/>
  <c r="F186" i="2"/>
  <c r="F315" i="2"/>
  <c r="F307" i="2"/>
  <c r="F301" i="2"/>
  <c r="F268" i="2"/>
  <c r="F252" i="2"/>
  <c r="F236" i="2"/>
  <c r="F220" i="2"/>
  <c r="F204" i="2"/>
  <c r="F188" i="2"/>
  <c r="F184" i="2"/>
  <c r="F180" i="2"/>
  <c r="F176" i="2"/>
  <c r="F172" i="2"/>
  <c r="F168" i="2"/>
  <c r="F164" i="2"/>
  <c r="F160" i="2"/>
  <c r="F156" i="2"/>
  <c r="F152" i="2"/>
  <c r="F148" i="2"/>
  <c r="F270" i="2"/>
  <c r="F254" i="2"/>
  <c r="F238" i="2"/>
  <c r="F222" i="2"/>
  <c r="F206" i="2"/>
  <c r="F190" i="2"/>
  <c r="F313" i="2"/>
  <c r="F305" i="2"/>
  <c r="F289" i="2"/>
  <c r="F272" i="2"/>
  <c r="F256" i="2"/>
  <c r="F240" i="2"/>
  <c r="F224" i="2"/>
  <c r="F208" i="2"/>
  <c r="F192" i="2"/>
  <c r="F181" i="2"/>
  <c r="F177" i="2"/>
  <c r="F319" i="2"/>
  <c r="F293" i="2"/>
  <c r="F173" i="2"/>
  <c r="F157" i="2"/>
  <c r="F137" i="2"/>
  <c r="F136" i="2"/>
  <c r="F121" i="2"/>
  <c r="F120" i="2"/>
  <c r="F260" i="2"/>
  <c r="F242" i="2"/>
  <c r="F196" i="2"/>
  <c r="F174" i="2"/>
  <c r="F158" i="2"/>
  <c r="F134" i="2"/>
  <c r="F118" i="2"/>
  <c r="F109" i="2"/>
  <c r="F105" i="2"/>
  <c r="F101" i="2"/>
  <c r="F311" i="2"/>
  <c r="F161" i="2"/>
  <c r="F133" i="2"/>
  <c r="F132" i="2"/>
  <c r="F117" i="2"/>
  <c r="F116" i="2"/>
  <c r="F80" i="2"/>
  <c r="F258" i="2"/>
  <c r="F212" i="2"/>
  <c r="F194" i="2"/>
  <c r="F182" i="2"/>
  <c r="F162" i="2"/>
  <c r="F146" i="2"/>
  <c r="F130" i="2"/>
  <c r="F114" i="2"/>
  <c r="F106" i="2"/>
  <c r="F102" i="2"/>
  <c r="F98" i="2"/>
  <c r="F94" i="2"/>
  <c r="F90" i="2"/>
  <c r="F86" i="2"/>
  <c r="F82" i="2"/>
  <c r="F165" i="2"/>
  <c r="F149" i="2"/>
  <c r="F145" i="2"/>
  <c r="F144" i="2"/>
  <c r="F129" i="2"/>
  <c r="F128" i="2"/>
  <c r="F113" i="2"/>
  <c r="F112" i="2"/>
  <c r="F274" i="2"/>
  <c r="F228" i="2"/>
  <c r="F210" i="2"/>
  <c r="F178" i="2"/>
  <c r="F166" i="2"/>
  <c r="F150" i="2"/>
  <c r="F142" i="2"/>
  <c r="F126" i="2"/>
  <c r="F110" i="2"/>
  <c r="F107" i="2"/>
  <c r="F103" i="2"/>
  <c r="F99" i="2"/>
  <c r="F169" i="2"/>
  <c r="F153" i="2"/>
  <c r="F141" i="2"/>
  <c r="F140" i="2"/>
  <c r="F125" i="2"/>
  <c r="F124" i="2"/>
  <c r="F244" i="2"/>
  <c r="F226" i="2"/>
  <c r="F170" i="2"/>
  <c r="F154" i="2"/>
  <c r="F138" i="2"/>
  <c r="F122" i="2"/>
  <c r="F108" i="2"/>
  <c r="F104" i="2"/>
  <c r="F100" i="2"/>
  <c r="F96" i="2"/>
  <c r="F92" i="2"/>
  <c r="F88" i="2"/>
  <c r="F84" i="2"/>
  <c r="F79" i="2"/>
  <c r="F87" i="2"/>
  <c r="F95" i="2"/>
  <c r="AC58" i="5"/>
  <c r="AC48" i="5"/>
  <c r="F85" i="2"/>
  <c r="F93" i="2"/>
  <c r="F49" i="2"/>
  <c r="O80" i="2"/>
  <c r="O81" i="2"/>
  <c r="O85" i="2"/>
  <c r="O89" i="2"/>
  <c r="O93" i="2"/>
  <c r="O97" i="2"/>
  <c r="O101" i="2"/>
  <c r="O105" i="2"/>
  <c r="O109" i="2"/>
  <c r="O119" i="2"/>
  <c r="O135" i="2"/>
  <c r="O159" i="2"/>
  <c r="O175" i="2"/>
  <c r="O317" i="2"/>
  <c r="O313" i="2"/>
  <c r="O309" i="2"/>
  <c r="O305" i="2"/>
  <c r="O301" i="2"/>
  <c r="O297" i="2"/>
  <c r="O293" i="2"/>
  <c r="O289" i="2"/>
  <c r="O285" i="2"/>
  <c r="O281" i="2"/>
  <c r="O277" i="2"/>
  <c r="O318" i="2"/>
  <c r="O314" i="2"/>
  <c r="O310" i="2"/>
  <c r="O306" i="2"/>
  <c r="O302" i="2"/>
  <c r="O298" i="2"/>
  <c r="O294" i="2"/>
  <c r="O290" i="2"/>
  <c r="O286" i="2"/>
  <c r="O282" i="2"/>
  <c r="O278" i="2"/>
  <c r="O319" i="2"/>
  <c r="O315" i="2"/>
  <c r="O311" i="2"/>
  <c r="O307" i="2"/>
  <c r="O303" i="2"/>
  <c r="O299" i="2"/>
  <c r="O295" i="2"/>
  <c r="O291" i="2"/>
  <c r="O287" i="2"/>
  <c r="O283" i="2"/>
  <c r="O279" i="2"/>
  <c r="O316" i="2"/>
  <c r="O312" i="2"/>
  <c r="O308" i="2"/>
  <c r="O304" i="2"/>
  <c r="O300" i="2"/>
  <c r="O296" i="2"/>
  <c r="O292" i="2"/>
  <c r="O288" i="2"/>
  <c r="O284" i="2"/>
  <c r="O280" i="2"/>
  <c r="O276" i="2"/>
  <c r="O272" i="2"/>
  <c r="O268" i="2"/>
  <c r="O264" i="2"/>
  <c r="O260" i="2"/>
  <c r="O256" i="2"/>
  <c r="O252" i="2"/>
  <c r="O248" i="2"/>
  <c r="O244" i="2"/>
  <c r="O240" i="2"/>
  <c r="O236" i="2"/>
  <c r="O232" i="2"/>
  <c r="O228" i="2"/>
  <c r="O224" i="2"/>
  <c r="O220" i="2"/>
  <c r="O216" i="2"/>
  <c r="O212" i="2"/>
  <c r="O208" i="2"/>
  <c r="O204" i="2"/>
  <c r="O200" i="2"/>
  <c r="O196" i="2"/>
  <c r="O192" i="2"/>
  <c r="O188" i="2"/>
  <c r="O184" i="2"/>
  <c r="O273" i="2"/>
  <c r="O269" i="2"/>
  <c r="O265" i="2"/>
  <c r="O261" i="2"/>
  <c r="O257" i="2"/>
  <c r="O253" i="2"/>
  <c r="O249" i="2"/>
  <c r="O245" i="2"/>
  <c r="O241" i="2"/>
  <c r="O237" i="2"/>
  <c r="O233" i="2"/>
  <c r="O229" i="2"/>
  <c r="O225" i="2"/>
  <c r="O221" i="2"/>
  <c r="O217" i="2"/>
  <c r="O213" i="2"/>
  <c r="O209" i="2"/>
  <c r="O205" i="2"/>
  <c r="O201" i="2"/>
  <c r="O197" i="2"/>
  <c r="O193" i="2"/>
  <c r="O189" i="2"/>
  <c r="O185" i="2"/>
  <c r="O274" i="2"/>
  <c r="O270" i="2"/>
  <c r="O266" i="2"/>
  <c r="O262" i="2"/>
  <c r="O258" i="2"/>
  <c r="O254" i="2"/>
  <c r="O250" i="2"/>
  <c r="O246" i="2"/>
  <c r="O242" i="2"/>
  <c r="O238" i="2"/>
  <c r="O234" i="2"/>
  <c r="O230" i="2"/>
  <c r="O226" i="2"/>
  <c r="O222" i="2"/>
  <c r="O218" i="2"/>
  <c r="O214" i="2"/>
  <c r="O210" i="2"/>
  <c r="O206" i="2"/>
  <c r="O202" i="2"/>
  <c r="O198" i="2"/>
  <c r="O194" i="2"/>
  <c r="O190" i="2"/>
  <c r="O186" i="2"/>
  <c r="O180" i="2"/>
  <c r="O176" i="2"/>
  <c r="O172" i="2"/>
  <c r="O168" i="2"/>
  <c r="O164" i="2"/>
  <c r="O160" i="2"/>
  <c r="O156" i="2"/>
  <c r="O152" i="2"/>
  <c r="O148" i="2"/>
  <c r="O144" i="2"/>
  <c r="O140" i="2"/>
  <c r="O136" i="2"/>
  <c r="O132" i="2"/>
  <c r="O128" i="2"/>
  <c r="O124" i="2"/>
  <c r="O120" i="2"/>
  <c r="O116" i="2"/>
  <c r="O112" i="2"/>
  <c r="O267" i="2"/>
  <c r="O251" i="2"/>
  <c r="O235" i="2"/>
  <c r="O219" i="2"/>
  <c r="O203" i="2"/>
  <c r="O187" i="2"/>
  <c r="O181" i="2"/>
  <c r="O177" i="2"/>
  <c r="O173" i="2"/>
  <c r="O169" i="2"/>
  <c r="O165" i="2"/>
  <c r="O161" i="2"/>
  <c r="O157" i="2"/>
  <c r="O153" i="2"/>
  <c r="O149" i="2"/>
  <c r="O145" i="2"/>
  <c r="O141" i="2"/>
  <c r="O137" i="2"/>
  <c r="O133" i="2"/>
  <c r="O129" i="2"/>
  <c r="O125" i="2"/>
  <c r="O121" i="2"/>
  <c r="O117" i="2"/>
  <c r="O113" i="2"/>
  <c r="O271" i="2"/>
  <c r="O255" i="2"/>
  <c r="O239" i="2"/>
  <c r="O223" i="2"/>
  <c r="O207" i="2"/>
  <c r="O191" i="2"/>
  <c r="O182" i="2"/>
  <c r="O178" i="2"/>
  <c r="O174" i="2"/>
  <c r="O170" i="2"/>
  <c r="O166" i="2"/>
  <c r="O162" i="2"/>
  <c r="O158" i="2"/>
  <c r="O154" i="2"/>
  <c r="O150" i="2"/>
  <c r="O146" i="2"/>
  <c r="O142" i="2"/>
  <c r="O138" i="2"/>
  <c r="O134" i="2"/>
  <c r="O130" i="2"/>
  <c r="O126" i="2"/>
  <c r="O122" i="2"/>
  <c r="O118" i="2"/>
  <c r="O114" i="2"/>
  <c r="O110" i="2"/>
  <c r="O275" i="2"/>
  <c r="O259" i="2"/>
  <c r="O243" i="2"/>
  <c r="O227" i="2"/>
  <c r="O211" i="2"/>
  <c r="O195" i="2"/>
  <c r="O84" i="2"/>
  <c r="O88" i="2"/>
  <c r="O92" i="2"/>
  <c r="O96" i="2"/>
  <c r="O100" i="2"/>
  <c r="O104" i="2"/>
  <c r="O108" i="2"/>
  <c r="O123" i="2"/>
  <c r="O139" i="2"/>
  <c r="O155" i="2"/>
  <c r="O171" i="2"/>
  <c r="O179" i="2"/>
  <c r="O215" i="2"/>
  <c r="O83" i="2"/>
  <c r="O87" i="2"/>
  <c r="O91" i="2"/>
  <c r="O95" i="2"/>
  <c r="O99" i="2"/>
  <c r="O103" i="2"/>
  <c r="O107" i="2"/>
  <c r="O111" i="2"/>
  <c r="O127" i="2"/>
  <c r="O143" i="2"/>
  <c r="O151" i="2"/>
  <c r="O167" i="2"/>
  <c r="O183" i="2"/>
  <c r="O199" i="2"/>
  <c r="O263" i="2"/>
  <c r="O82" i="2"/>
  <c r="O86" i="2"/>
  <c r="O90" i="2"/>
  <c r="O94" i="2"/>
  <c r="O98" i="2"/>
  <c r="O102" i="2"/>
  <c r="O106" i="2"/>
  <c r="O115" i="2"/>
  <c r="O131" i="2"/>
  <c r="O147" i="2"/>
  <c r="O163" i="2"/>
  <c r="O247" i="2"/>
  <c r="P594" i="3"/>
  <c r="P590" i="3"/>
  <c r="P586" i="3"/>
  <c r="P582" i="3"/>
  <c r="P578" i="3"/>
  <c r="P574" i="3"/>
  <c r="P570" i="3"/>
  <c r="P566" i="3"/>
  <c r="P562" i="3"/>
  <c r="P558" i="3"/>
  <c r="P554" i="3"/>
  <c r="P550" i="3"/>
  <c r="P546" i="3"/>
  <c r="P542" i="3"/>
  <c r="P538" i="3"/>
  <c r="P534" i="3"/>
  <c r="P593" i="3"/>
  <c r="P589" i="3"/>
  <c r="P585" i="3"/>
  <c r="P581" i="3"/>
  <c r="P577" i="3"/>
  <c r="P573" i="3"/>
  <c r="P569" i="3"/>
  <c r="P565" i="3"/>
  <c r="P561" i="3"/>
  <c r="P557" i="3"/>
  <c r="P553" i="3"/>
  <c r="P592" i="3"/>
  <c r="P588" i="3"/>
  <c r="P584" i="3"/>
  <c r="P580" i="3"/>
  <c r="P576" i="3"/>
  <c r="P572" i="3"/>
  <c r="P568" i="3"/>
  <c r="P564" i="3"/>
  <c r="P560" i="3"/>
  <c r="P556" i="3"/>
  <c r="P552" i="3"/>
  <c r="P548" i="3"/>
  <c r="P544" i="3"/>
  <c r="P540" i="3"/>
  <c r="P536" i="3"/>
  <c r="P563" i="3"/>
  <c r="P535" i="3"/>
  <c r="P575" i="3"/>
  <c r="P533" i="3"/>
  <c r="P529" i="3"/>
  <c r="P525" i="3"/>
  <c r="P521" i="3"/>
  <c r="P517" i="3"/>
  <c r="P513" i="3"/>
  <c r="P509" i="3"/>
  <c r="P505" i="3"/>
  <c r="P501" i="3"/>
  <c r="P497" i="3"/>
  <c r="P493" i="3"/>
  <c r="P489" i="3"/>
  <c r="P485" i="3"/>
  <c r="P481" i="3"/>
  <c r="P587" i="3"/>
  <c r="P555" i="3"/>
  <c r="P567" i="3"/>
  <c r="P532" i="3"/>
  <c r="P528" i="3"/>
  <c r="P524" i="3"/>
  <c r="P520" i="3"/>
  <c r="P516" i="3"/>
  <c r="P512" i="3"/>
  <c r="P508" i="3"/>
  <c r="P504" i="3"/>
  <c r="P500" i="3"/>
  <c r="P496" i="3"/>
  <c r="P492" i="3"/>
  <c r="P488" i="3"/>
  <c r="P484" i="3"/>
  <c r="P480" i="3"/>
  <c r="P579" i="3"/>
  <c r="P595" i="3"/>
  <c r="P559" i="3"/>
  <c r="P549" i="3"/>
  <c r="P545" i="3"/>
  <c r="P541" i="3"/>
  <c r="P531" i="3"/>
  <c r="P527" i="3"/>
  <c r="P523" i="3"/>
  <c r="P519" i="3"/>
  <c r="P515" i="3"/>
  <c r="P511" i="3"/>
  <c r="P507" i="3"/>
  <c r="P503" i="3"/>
  <c r="P499" i="3"/>
  <c r="P495" i="3"/>
  <c r="P491" i="3"/>
  <c r="P487" i="3"/>
  <c r="P571" i="3"/>
  <c r="P547" i="3"/>
  <c r="P543" i="3"/>
  <c r="P539" i="3"/>
  <c r="P551" i="3"/>
  <c r="P477" i="3"/>
  <c r="P473" i="3"/>
  <c r="P469" i="3"/>
  <c r="P465" i="3"/>
  <c r="P461" i="3"/>
  <c r="P457" i="3"/>
  <c r="P453" i="3"/>
  <c r="P449" i="3"/>
  <c r="P445" i="3"/>
  <c r="P441" i="3"/>
  <c r="P437" i="3"/>
  <c r="P433" i="3"/>
  <c r="P429" i="3"/>
  <c r="P425" i="3"/>
  <c r="P421" i="3"/>
  <c r="P417" i="3"/>
  <c r="P413" i="3"/>
  <c r="P409" i="3"/>
  <c r="P405" i="3"/>
  <c r="P401" i="3"/>
  <c r="P397" i="3"/>
  <c r="P393" i="3"/>
  <c r="P389" i="3"/>
  <c r="P385" i="3"/>
  <c r="P381" i="3"/>
  <c r="P377" i="3"/>
  <c r="P373" i="3"/>
  <c r="P369" i="3"/>
  <c r="P365" i="3"/>
  <c r="P361" i="3"/>
  <c r="P358" i="3"/>
  <c r="P356" i="3"/>
  <c r="P514" i="3"/>
  <c r="P494" i="3"/>
  <c r="P502" i="3"/>
  <c r="P476" i="3"/>
  <c r="P472" i="3"/>
  <c r="P468" i="3"/>
  <c r="P464" i="3"/>
  <c r="P460" i="3"/>
  <c r="P456" i="3"/>
  <c r="P452" i="3"/>
  <c r="P448" i="3"/>
  <c r="P444" i="3"/>
  <c r="P440" i="3"/>
  <c r="P436" i="3"/>
  <c r="P432" i="3"/>
  <c r="P428" i="3"/>
  <c r="P424" i="3"/>
  <c r="P420" i="3"/>
  <c r="P416" i="3"/>
  <c r="P412" i="3"/>
  <c r="P408" i="3"/>
  <c r="P404" i="3"/>
  <c r="P400" i="3"/>
  <c r="P396" i="3"/>
  <c r="P392" i="3"/>
  <c r="P388" i="3"/>
  <c r="P384" i="3"/>
  <c r="P380" i="3"/>
  <c r="P376" i="3"/>
  <c r="P372" i="3"/>
  <c r="P368" i="3"/>
  <c r="P364" i="3"/>
  <c r="P357" i="3"/>
  <c r="P530" i="3"/>
  <c r="P483" i="3"/>
  <c r="P360" i="3"/>
  <c r="P526" i="3"/>
  <c r="P510" i="3"/>
  <c r="P486" i="3"/>
  <c r="P482" i="3"/>
  <c r="P475" i="3"/>
  <c r="P471" i="3"/>
  <c r="P467" i="3"/>
  <c r="P463" i="3"/>
  <c r="P459" i="3"/>
  <c r="P455" i="3"/>
  <c r="P451" i="3"/>
  <c r="P447" i="3"/>
  <c r="P443" i="3"/>
  <c r="P439" i="3"/>
  <c r="P435" i="3"/>
  <c r="P431" i="3"/>
  <c r="P427" i="3"/>
  <c r="P423" i="3"/>
  <c r="P419" i="3"/>
  <c r="P415" i="3"/>
  <c r="P411" i="3"/>
  <c r="P407" i="3"/>
  <c r="P403" i="3"/>
  <c r="P399" i="3"/>
  <c r="P395" i="3"/>
  <c r="P391" i="3"/>
  <c r="P387" i="3"/>
  <c r="P383" i="3"/>
  <c r="P379" i="3"/>
  <c r="P375" i="3"/>
  <c r="P371" i="3"/>
  <c r="P367" i="3"/>
  <c r="P363" i="3"/>
  <c r="P591" i="3"/>
  <c r="P537" i="3"/>
  <c r="P522" i="3"/>
  <c r="P498" i="3"/>
  <c r="P479" i="3"/>
  <c r="P506" i="3"/>
  <c r="P450" i="3"/>
  <c r="P418" i="3"/>
  <c r="P394" i="3"/>
  <c r="P378" i="3"/>
  <c r="P478" i="3"/>
  <c r="P446" i="3"/>
  <c r="P414" i="3"/>
  <c r="P362" i="3"/>
  <c r="P583" i="3"/>
  <c r="P474" i="3"/>
  <c r="P442" i="3"/>
  <c r="P410" i="3"/>
  <c r="P390" i="3"/>
  <c r="P374" i="3"/>
  <c r="P470" i="3"/>
  <c r="P438" i="3"/>
  <c r="P406" i="3"/>
  <c r="P466" i="3"/>
  <c r="P434" i="3"/>
  <c r="P402" i="3"/>
  <c r="P386" i="3"/>
  <c r="P370" i="3"/>
  <c r="P462" i="3"/>
  <c r="P430" i="3"/>
  <c r="P518" i="3"/>
  <c r="P458" i="3"/>
  <c r="P426" i="3"/>
  <c r="P398" i="3"/>
  <c r="P382" i="3"/>
  <c r="P366" i="3"/>
  <c r="L45" i="3"/>
  <c r="K45" i="3"/>
  <c r="K95" i="3" s="1"/>
  <c r="K96" i="3" s="1"/>
  <c r="P454" i="3"/>
  <c r="P422" i="3"/>
  <c r="I45" i="3"/>
  <c r="P359" i="3"/>
  <c r="P490" i="3"/>
  <c r="R355" i="3"/>
  <c r="C8" i="4"/>
  <c r="H7" i="5"/>
  <c r="E280" i="3"/>
  <c r="H9" i="5" s="1"/>
  <c r="N273" i="3"/>
  <c r="N19" i="3"/>
  <c r="AF355" i="3"/>
  <c r="AA355" i="3"/>
  <c r="AD356" i="3" s="1"/>
  <c r="D355" i="3"/>
  <c r="Y5" i="5"/>
  <c r="H8" i="3"/>
  <c r="F31" i="5" s="1"/>
  <c r="H45" i="3"/>
  <c r="H95" i="3" s="1"/>
  <c r="H96" i="3" s="1"/>
  <c r="E126" i="3"/>
  <c r="E174" i="3" s="1"/>
  <c r="E175" i="3" s="1"/>
  <c r="K126" i="3"/>
  <c r="K174" i="3" s="1"/>
  <c r="K175" i="3" s="1"/>
  <c r="E291" i="3"/>
  <c r="F126" i="3"/>
  <c r="F404" i="3"/>
  <c r="F408" i="3"/>
  <c r="F412" i="3"/>
  <c r="F416" i="3"/>
  <c r="F420" i="3"/>
  <c r="F424" i="3"/>
  <c r="F428" i="3"/>
  <c r="F432" i="3"/>
  <c r="F436" i="3"/>
  <c r="F440" i="3"/>
  <c r="F444" i="3"/>
  <c r="F448" i="3"/>
  <c r="F452" i="3"/>
  <c r="F456" i="3"/>
  <c r="F460" i="3"/>
  <c r="F464" i="3"/>
  <c r="F468" i="3"/>
  <c r="F472" i="3"/>
  <c r="F476" i="3"/>
  <c r="F484" i="3"/>
  <c r="F516" i="3"/>
  <c r="F603" i="3"/>
  <c r="F636" i="3"/>
  <c r="F668" i="3"/>
  <c r="N45" i="3"/>
  <c r="N95" i="3" s="1"/>
  <c r="N96" i="3" s="1"/>
  <c r="F361" i="3"/>
  <c r="F494" i="3"/>
  <c r="F495" i="3"/>
  <c r="F496" i="3"/>
  <c r="F502" i="3"/>
  <c r="F624" i="3"/>
  <c r="G13" i="5"/>
  <c r="G17" i="5"/>
  <c r="G16" i="5"/>
  <c r="G15" i="5"/>
  <c r="G14" i="5"/>
  <c r="F13" i="5"/>
  <c r="F17" i="5"/>
  <c r="F16" i="5"/>
  <c r="F15" i="5"/>
  <c r="F14" i="5"/>
  <c r="F773" i="3"/>
  <c r="F765" i="3"/>
  <c r="F770" i="3"/>
  <c r="F762" i="3"/>
  <c r="F775" i="3"/>
  <c r="F767" i="3"/>
  <c r="F772" i="3"/>
  <c r="F764" i="3"/>
  <c r="F759" i="3"/>
  <c r="F757" i="3"/>
  <c r="F755" i="3"/>
  <c r="F753" i="3"/>
  <c r="F751" i="3"/>
  <c r="F749" i="3"/>
  <c r="F747" i="3"/>
  <c r="F745" i="3"/>
  <c r="F743" i="3"/>
  <c r="F741" i="3"/>
  <c r="F739" i="3"/>
  <c r="F737" i="3"/>
  <c r="F735" i="3"/>
  <c r="F733" i="3"/>
  <c r="F731" i="3"/>
  <c r="F729" i="3"/>
  <c r="F727" i="3"/>
  <c r="F725" i="3"/>
  <c r="F723" i="3"/>
  <c r="F721" i="3"/>
  <c r="F719" i="3"/>
  <c r="F717" i="3"/>
  <c r="F769" i="3"/>
  <c r="F761" i="3"/>
  <c r="F771" i="3"/>
  <c r="F763" i="3"/>
  <c r="F758" i="3"/>
  <c r="F742" i="3"/>
  <c r="F726" i="3"/>
  <c r="F774" i="3"/>
  <c r="F768" i="3"/>
  <c r="F752" i="3"/>
  <c r="F736" i="3"/>
  <c r="F720" i="3"/>
  <c r="F715" i="3"/>
  <c r="F711" i="3"/>
  <c r="F707" i="3"/>
  <c r="F703" i="3"/>
  <c r="F699" i="3"/>
  <c r="F695" i="3"/>
  <c r="F691" i="3"/>
  <c r="F687" i="3"/>
  <c r="F683" i="3"/>
  <c r="F679" i="3"/>
  <c r="F595" i="3"/>
  <c r="F591" i="3"/>
  <c r="F587" i="3"/>
  <c r="F583" i="3"/>
  <c r="F579" i="3"/>
  <c r="F575" i="3"/>
  <c r="F571" i="3"/>
  <c r="F567" i="3"/>
  <c r="F563" i="3"/>
  <c r="F559" i="3"/>
  <c r="F555" i="3"/>
  <c r="F551" i="3"/>
  <c r="F547" i="3"/>
  <c r="F543" i="3"/>
  <c r="F746" i="3"/>
  <c r="F730" i="3"/>
  <c r="F756" i="3"/>
  <c r="F740" i="3"/>
  <c r="F724" i="3"/>
  <c r="F714" i="3"/>
  <c r="F710" i="3"/>
  <c r="F706" i="3"/>
  <c r="F702" i="3"/>
  <c r="F698" i="3"/>
  <c r="F694" i="3"/>
  <c r="F690" i="3"/>
  <c r="F686" i="3"/>
  <c r="F682" i="3"/>
  <c r="F678" i="3"/>
  <c r="F675" i="3"/>
  <c r="F673" i="3"/>
  <c r="F671" i="3"/>
  <c r="F669" i="3"/>
  <c r="F667" i="3"/>
  <c r="F665" i="3"/>
  <c r="F663" i="3"/>
  <c r="F661" i="3"/>
  <c r="F659" i="3"/>
  <c r="F657" i="3"/>
  <c r="F655" i="3"/>
  <c r="F653" i="3"/>
  <c r="F651" i="3"/>
  <c r="F649" i="3"/>
  <c r="F647" i="3"/>
  <c r="F645" i="3"/>
  <c r="F643" i="3"/>
  <c r="F641" i="3"/>
  <c r="F639" i="3"/>
  <c r="F637" i="3"/>
  <c r="F635" i="3"/>
  <c r="F633" i="3"/>
  <c r="F631" i="3"/>
  <c r="F629" i="3"/>
  <c r="F627" i="3"/>
  <c r="F625" i="3"/>
  <c r="F623" i="3"/>
  <c r="F621" i="3"/>
  <c r="F619" i="3"/>
  <c r="F617" i="3"/>
  <c r="F615" i="3"/>
  <c r="F750" i="3"/>
  <c r="F734" i="3"/>
  <c r="F718" i="3"/>
  <c r="F766" i="3"/>
  <c r="F760" i="3"/>
  <c r="F744" i="3"/>
  <c r="F728" i="3"/>
  <c r="F713" i="3"/>
  <c r="F709" i="3"/>
  <c r="F705" i="3"/>
  <c r="F701" i="3"/>
  <c r="F697" i="3"/>
  <c r="F693" i="3"/>
  <c r="F689" i="3"/>
  <c r="F685" i="3"/>
  <c r="F681" i="3"/>
  <c r="F677" i="3"/>
  <c r="F593" i="3"/>
  <c r="F589" i="3"/>
  <c r="F688" i="3"/>
  <c r="F612" i="3"/>
  <c r="F609" i="3"/>
  <c r="F596" i="3"/>
  <c r="F590" i="3"/>
  <c r="F582" i="3"/>
  <c r="F561" i="3"/>
  <c r="F560" i="3"/>
  <c r="F550" i="3"/>
  <c r="F549" i="3"/>
  <c r="F546" i="3"/>
  <c r="F545" i="3"/>
  <c r="F542" i="3"/>
  <c r="F541" i="3"/>
  <c r="F531" i="3"/>
  <c r="F527" i="3"/>
  <c r="F523" i="3"/>
  <c r="F519" i="3"/>
  <c r="F515" i="3"/>
  <c r="F511" i="3"/>
  <c r="F507" i="3"/>
  <c r="F503" i="3"/>
  <c r="F499" i="3"/>
  <c r="F748" i="3"/>
  <c r="F700" i="3"/>
  <c r="F602" i="3"/>
  <c r="F599" i="3"/>
  <c r="F573" i="3"/>
  <c r="F572" i="3"/>
  <c r="F562" i="3"/>
  <c r="F548" i="3"/>
  <c r="F544" i="3"/>
  <c r="F540" i="3"/>
  <c r="F539" i="3"/>
  <c r="F754" i="3"/>
  <c r="F712" i="3"/>
  <c r="F680" i="3"/>
  <c r="F608" i="3"/>
  <c r="F605" i="3"/>
  <c r="F592" i="3"/>
  <c r="F585" i="3"/>
  <c r="F584" i="3"/>
  <c r="F574" i="3"/>
  <c r="F553" i="3"/>
  <c r="F552" i="3"/>
  <c r="F538" i="3"/>
  <c r="F537" i="3"/>
  <c r="F530" i="3"/>
  <c r="F526" i="3"/>
  <c r="F522" i="3"/>
  <c r="F732" i="3"/>
  <c r="F692" i="3"/>
  <c r="F674" i="3"/>
  <c r="F670" i="3"/>
  <c r="F666" i="3"/>
  <c r="F662" i="3"/>
  <c r="F658" i="3"/>
  <c r="F654" i="3"/>
  <c r="F650" i="3"/>
  <c r="F646" i="3"/>
  <c r="F642" i="3"/>
  <c r="F638" i="3"/>
  <c r="F634" i="3"/>
  <c r="F630" i="3"/>
  <c r="F626" i="3"/>
  <c r="F622" i="3"/>
  <c r="F618" i="3"/>
  <c r="F614" i="3"/>
  <c r="F611" i="3"/>
  <c r="F598" i="3"/>
  <c r="F586" i="3"/>
  <c r="F565" i="3"/>
  <c r="F564" i="3"/>
  <c r="F554" i="3"/>
  <c r="F536" i="3"/>
  <c r="F535" i="3"/>
  <c r="F738" i="3"/>
  <c r="F704" i="3"/>
  <c r="F604" i="3"/>
  <c r="F601" i="3"/>
  <c r="F577" i="3"/>
  <c r="F576" i="3"/>
  <c r="F566" i="3"/>
  <c r="F534" i="3"/>
  <c r="F533" i="3"/>
  <c r="F529" i="3"/>
  <c r="F525" i="3"/>
  <c r="F521" i="3"/>
  <c r="F517" i="3"/>
  <c r="F513" i="3"/>
  <c r="F509" i="3"/>
  <c r="F505" i="3"/>
  <c r="F501" i="3"/>
  <c r="F497" i="3"/>
  <c r="F493" i="3"/>
  <c r="F489" i="3"/>
  <c r="F485" i="3"/>
  <c r="F716" i="3"/>
  <c r="F684" i="3"/>
  <c r="F610" i="3"/>
  <c r="F607" i="3"/>
  <c r="F594" i="3"/>
  <c r="F588" i="3"/>
  <c r="F578" i="3"/>
  <c r="F557" i="3"/>
  <c r="F556" i="3"/>
  <c r="F722" i="3"/>
  <c r="F696" i="3"/>
  <c r="F613" i="3"/>
  <c r="F600" i="3"/>
  <c r="F597" i="3"/>
  <c r="F569" i="3"/>
  <c r="F568" i="3"/>
  <c r="F558" i="3"/>
  <c r="F532" i="3"/>
  <c r="F358" i="3"/>
  <c r="F365" i="3"/>
  <c r="F369" i="3"/>
  <c r="F373" i="3"/>
  <c r="F377" i="3"/>
  <c r="F381" i="3"/>
  <c r="F385" i="3"/>
  <c r="F389" i="3"/>
  <c r="F393" i="3"/>
  <c r="F397" i="3"/>
  <c r="F401" i="3"/>
  <c r="F405" i="3"/>
  <c r="F409" i="3"/>
  <c r="F413" i="3"/>
  <c r="F417" i="3"/>
  <c r="F421" i="3"/>
  <c r="F425" i="3"/>
  <c r="F429" i="3"/>
  <c r="F433" i="3"/>
  <c r="F437" i="3"/>
  <c r="F441" i="3"/>
  <c r="F445" i="3"/>
  <c r="F449" i="3"/>
  <c r="F453" i="3"/>
  <c r="F457" i="3"/>
  <c r="F461" i="3"/>
  <c r="F465" i="3"/>
  <c r="F469" i="3"/>
  <c r="F473" i="3"/>
  <c r="F477" i="3"/>
  <c r="F508" i="3"/>
  <c r="F514" i="3"/>
  <c r="F581" i="3"/>
  <c r="F644" i="3"/>
  <c r="F676" i="3"/>
  <c r="E45" i="3"/>
  <c r="E95" i="3" s="1"/>
  <c r="E96" i="3" s="1"/>
  <c r="C12" i="4"/>
  <c r="F520" i="3"/>
  <c r="F632" i="3"/>
  <c r="F664" i="3"/>
  <c r="F708" i="3"/>
  <c r="F370" i="3"/>
  <c r="F374" i="3"/>
  <c r="F378" i="3"/>
  <c r="F382" i="3"/>
  <c r="F386" i="3"/>
  <c r="F390" i="3"/>
  <c r="F394" i="3"/>
  <c r="F398" i="3"/>
  <c r="F402" i="3"/>
  <c r="F406" i="3"/>
  <c r="F410" i="3"/>
  <c r="F414" i="3"/>
  <c r="F418" i="3"/>
  <c r="F422" i="3"/>
  <c r="F426" i="3"/>
  <c r="F430" i="3"/>
  <c r="F434" i="3"/>
  <c r="F438" i="3"/>
  <c r="F442" i="3"/>
  <c r="F446" i="3"/>
  <c r="F450" i="3"/>
  <c r="F454" i="3"/>
  <c r="F458" i="3"/>
  <c r="F462" i="3"/>
  <c r="F466" i="3"/>
  <c r="F470" i="3"/>
  <c r="F474" i="3"/>
  <c r="F478" i="3"/>
  <c r="F490" i="3"/>
  <c r="F491" i="3"/>
  <c r="F492" i="3"/>
  <c r="F500" i="3"/>
  <c r="F506" i="3"/>
  <c r="F524" i="3"/>
  <c r="F580" i="3"/>
  <c r="F606" i="3"/>
  <c r="F620" i="3"/>
  <c r="F652" i="3"/>
  <c r="F479" i="3"/>
  <c r="F512" i="3"/>
  <c r="F518" i="3"/>
  <c r="F528" i="3"/>
  <c r="F570" i="3"/>
  <c r="F640" i="3"/>
  <c r="F672" i="3"/>
  <c r="B30" i="29"/>
  <c r="B40" i="29"/>
  <c r="B38" i="29"/>
  <c r="B36" i="29"/>
  <c r="B32" i="29"/>
  <c r="B45" i="5"/>
  <c r="B55" i="5"/>
  <c r="L3" i="35"/>
  <c r="B53" i="5"/>
  <c r="B43" i="5"/>
  <c r="B23" i="5"/>
  <c r="B26" i="5"/>
  <c r="B56" i="5"/>
  <c r="B46" i="5"/>
  <c r="B57" i="5"/>
  <c r="B47" i="5"/>
  <c r="B27" i="5"/>
  <c r="B54" i="5"/>
  <c r="J63" i="5"/>
  <c r="C50" i="19"/>
  <c r="A63" i="19" s="1"/>
  <c r="K69" i="5"/>
  <c r="C31" i="19"/>
  <c r="A44" i="19" s="1"/>
  <c r="C11" i="4"/>
  <c r="H772" i="3"/>
  <c r="H768" i="3"/>
  <c r="H764" i="3"/>
  <c r="H760" i="3"/>
  <c r="H775" i="3"/>
  <c r="H771" i="3"/>
  <c r="H774" i="3"/>
  <c r="H770" i="3"/>
  <c r="H766" i="3"/>
  <c r="H773" i="3"/>
  <c r="H769" i="3"/>
  <c r="H765" i="3"/>
  <c r="H761" i="3"/>
  <c r="H767" i="3"/>
  <c r="H756" i="3"/>
  <c r="H752" i="3"/>
  <c r="H748" i="3"/>
  <c r="H744" i="3"/>
  <c r="H740" i="3"/>
  <c r="H763" i="3"/>
  <c r="H762" i="3"/>
  <c r="H759" i="3"/>
  <c r="H755" i="3"/>
  <c r="H751" i="3"/>
  <c r="H747" i="3"/>
  <c r="H743" i="3"/>
  <c r="H739" i="3"/>
  <c r="H735" i="3"/>
  <c r="H731" i="3"/>
  <c r="H727" i="3"/>
  <c r="H758" i="3"/>
  <c r="H753" i="3"/>
  <c r="H750" i="3"/>
  <c r="H745" i="3"/>
  <c r="H742" i="3"/>
  <c r="H737" i="3"/>
  <c r="H734" i="3"/>
  <c r="H730" i="3"/>
  <c r="H726" i="3"/>
  <c r="H733" i="3"/>
  <c r="H729" i="3"/>
  <c r="H725" i="3"/>
  <c r="H721" i="3"/>
  <c r="H717" i="3"/>
  <c r="H713" i="3"/>
  <c r="H709" i="3"/>
  <c r="H705" i="3"/>
  <c r="H757" i="3"/>
  <c r="H754" i="3"/>
  <c r="H749" i="3"/>
  <c r="H746" i="3"/>
  <c r="H741" i="3"/>
  <c r="H738" i="3"/>
  <c r="H736" i="3"/>
  <c r="H732" i="3"/>
  <c r="H728" i="3"/>
  <c r="H724" i="3"/>
  <c r="H720" i="3"/>
  <c r="H716" i="3"/>
  <c r="H712" i="3"/>
  <c r="H708" i="3"/>
  <c r="H704" i="3"/>
  <c r="H701" i="3"/>
  <c r="H697" i="3"/>
  <c r="H693" i="3"/>
  <c r="H689" i="3"/>
  <c r="H723" i="3"/>
  <c r="H718" i="3"/>
  <c r="H715" i="3"/>
  <c r="H710" i="3"/>
  <c r="H707" i="3"/>
  <c r="H702" i="3"/>
  <c r="H700" i="3"/>
  <c r="H696" i="3"/>
  <c r="H692" i="3"/>
  <c r="H699" i="3"/>
  <c r="H695" i="3"/>
  <c r="H691" i="3"/>
  <c r="H722" i="3"/>
  <c r="H719" i="3"/>
  <c r="H714" i="3"/>
  <c r="H711" i="3"/>
  <c r="H706" i="3"/>
  <c r="H703" i="3"/>
  <c r="H698" i="3"/>
  <c r="H694" i="3"/>
  <c r="H690" i="3"/>
  <c r="H685" i="3"/>
  <c r="H681" i="3"/>
  <c r="H677" i="3"/>
  <c r="H673" i="3"/>
  <c r="H669" i="3"/>
  <c r="H665" i="3"/>
  <c r="H661" i="3"/>
  <c r="H657" i="3"/>
  <c r="H653" i="3"/>
  <c r="H649" i="3"/>
  <c r="H645" i="3"/>
  <c r="H641" i="3"/>
  <c r="H684" i="3"/>
  <c r="H680" i="3"/>
  <c r="H676" i="3"/>
  <c r="H672" i="3"/>
  <c r="H668" i="3"/>
  <c r="H664" i="3"/>
  <c r="H660" i="3"/>
  <c r="H656" i="3"/>
  <c r="H652" i="3"/>
  <c r="H648" i="3"/>
  <c r="H644" i="3"/>
  <c r="H640" i="3"/>
  <c r="H688" i="3"/>
  <c r="H687" i="3"/>
  <c r="H683" i="3"/>
  <c r="H679" i="3"/>
  <c r="H675" i="3"/>
  <c r="H671" i="3"/>
  <c r="H667" i="3"/>
  <c r="H663" i="3"/>
  <c r="H659" i="3"/>
  <c r="H655" i="3"/>
  <c r="H651" i="3"/>
  <c r="H647" i="3"/>
  <c r="H643" i="3"/>
  <c r="H686" i="3"/>
  <c r="H682" i="3"/>
  <c r="H678" i="3"/>
  <c r="H674" i="3"/>
  <c r="H670" i="3"/>
  <c r="H666" i="3"/>
  <c r="H662" i="3"/>
  <c r="H658" i="3"/>
  <c r="H654" i="3"/>
  <c r="H650" i="3"/>
  <c r="H646" i="3"/>
  <c r="H642" i="3"/>
  <c r="H637" i="3"/>
  <c r="H633" i="3"/>
  <c r="H629" i="3"/>
  <c r="H625" i="3"/>
  <c r="H621" i="3"/>
  <c r="H617" i="3"/>
  <c r="H613" i="3"/>
  <c r="H609" i="3"/>
  <c r="H605" i="3"/>
  <c r="H601" i="3"/>
  <c r="H636" i="3"/>
  <c r="H632" i="3"/>
  <c r="H628" i="3"/>
  <c r="H624" i="3"/>
  <c r="H620" i="3"/>
  <c r="H616" i="3"/>
  <c r="H612" i="3"/>
  <c r="H608" i="3"/>
  <c r="H604" i="3"/>
  <c r="H600" i="3"/>
  <c r="H639" i="3"/>
  <c r="H635" i="3"/>
  <c r="H631" i="3"/>
  <c r="H627" i="3"/>
  <c r="H623" i="3"/>
  <c r="H619" i="3"/>
  <c r="H615" i="3"/>
  <c r="H611" i="3"/>
  <c r="H607" i="3"/>
  <c r="H603" i="3"/>
  <c r="H638" i="3"/>
  <c r="H634" i="3"/>
  <c r="H630" i="3"/>
  <c r="H626" i="3"/>
  <c r="H622" i="3"/>
  <c r="H618" i="3"/>
  <c r="H614" i="3"/>
  <c r="H610" i="3"/>
  <c r="H606" i="3"/>
  <c r="H602" i="3"/>
  <c r="H596" i="3"/>
  <c r="H599" i="3"/>
  <c r="H598" i="3"/>
  <c r="H597" i="3"/>
  <c r="H716" i="2"/>
  <c r="H715" i="2"/>
  <c r="H714" i="2"/>
  <c r="H713" i="2"/>
  <c r="H712" i="2"/>
  <c r="H711" i="2"/>
  <c r="H710" i="2"/>
  <c r="H709" i="2"/>
  <c r="H708" i="2"/>
  <c r="H706" i="2"/>
  <c r="H707" i="2"/>
  <c r="H705" i="2"/>
  <c r="H704" i="2"/>
  <c r="H703" i="2"/>
  <c r="H702" i="2"/>
  <c r="H701" i="2"/>
  <c r="H700" i="2"/>
  <c r="H699" i="2"/>
  <c r="H698" i="2"/>
  <c r="H697" i="2"/>
  <c r="H696" i="2"/>
  <c r="H695" i="2"/>
  <c r="H694" i="2"/>
  <c r="H693" i="2"/>
  <c r="H692" i="2"/>
  <c r="H691" i="2"/>
  <c r="H688" i="2"/>
  <c r="H689" i="2"/>
  <c r="H690" i="2"/>
  <c r="H686" i="2"/>
  <c r="H685" i="2"/>
  <c r="H684" i="2"/>
  <c r="H683" i="2"/>
  <c r="H682" i="2"/>
  <c r="H681" i="2"/>
  <c r="H680" i="2"/>
  <c r="H679" i="2"/>
  <c r="H678" i="2"/>
  <c r="H677" i="2"/>
  <c r="H676" i="2"/>
  <c r="H675" i="2"/>
  <c r="H674" i="2"/>
  <c r="H673" i="2"/>
  <c r="H687"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7" i="2"/>
  <c r="H638"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39" i="2"/>
  <c r="H635" i="2"/>
  <c r="H636"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602" i="2"/>
  <c r="H603" i="2"/>
  <c r="H604" i="2"/>
  <c r="H568" i="2"/>
  <c r="H564" i="2"/>
  <c r="H569" i="2"/>
  <c r="H565"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70" i="2"/>
  <c r="H566" i="2"/>
  <c r="H563" i="2"/>
  <c r="H571" i="2"/>
  <c r="H567" i="2"/>
  <c r="H530" i="2"/>
  <c r="H498" i="2"/>
  <c r="H494" i="2"/>
  <c r="H490" i="2"/>
  <c r="H528" i="2"/>
  <c r="H497" i="2"/>
  <c r="H493" i="2"/>
  <c r="H489" i="2"/>
  <c r="H485" i="2"/>
  <c r="H529"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6" i="2"/>
  <c r="H492" i="2"/>
  <c r="H488" i="2"/>
  <c r="H484" i="2"/>
  <c r="H527" i="2"/>
  <c r="H499" i="2"/>
  <c r="H495" i="2"/>
  <c r="H491" i="2"/>
  <c r="H487" i="2"/>
  <c r="H482" i="2"/>
  <c r="H479" i="2"/>
  <c r="H475" i="2"/>
  <c r="H471" i="2"/>
  <c r="H467" i="2"/>
  <c r="H463" i="2"/>
  <c r="H459" i="2"/>
  <c r="H455" i="2"/>
  <c r="H451" i="2"/>
  <c r="H447" i="2"/>
  <c r="H443" i="2"/>
  <c r="H439" i="2"/>
  <c r="H435" i="2"/>
  <c r="H431" i="2"/>
  <c r="H427" i="2"/>
  <c r="H423" i="2"/>
  <c r="H419" i="2"/>
  <c r="H415" i="2"/>
  <c r="H411" i="2"/>
  <c r="H407" i="2"/>
  <c r="H403" i="2"/>
  <c r="H399" i="2"/>
  <c r="H395" i="2"/>
  <c r="H391" i="2"/>
  <c r="H387" i="2"/>
  <c r="H483" i="2"/>
  <c r="H478" i="2"/>
  <c r="H474" i="2"/>
  <c r="H470" i="2"/>
  <c r="H466" i="2"/>
  <c r="H462" i="2"/>
  <c r="H458" i="2"/>
  <c r="H454" i="2"/>
  <c r="H450" i="2"/>
  <c r="H446" i="2"/>
  <c r="H442" i="2"/>
  <c r="H438" i="2"/>
  <c r="H434" i="2"/>
  <c r="H430" i="2"/>
  <c r="H426" i="2"/>
  <c r="H422" i="2"/>
  <c r="H418" i="2"/>
  <c r="H414" i="2"/>
  <c r="H410" i="2"/>
  <c r="H406" i="2"/>
  <c r="H402" i="2"/>
  <c r="H398" i="2"/>
  <c r="H394" i="2"/>
  <c r="H390" i="2"/>
  <c r="H386" i="2"/>
  <c r="H486" i="2"/>
  <c r="H481" i="2"/>
  <c r="H477" i="2"/>
  <c r="H473" i="2"/>
  <c r="H469" i="2"/>
  <c r="H465" i="2"/>
  <c r="H461" i="2"/>
  <c r="H457" i="2"/>
  <c r="H453" i="2"/>
  <c r="H449" i="2"/>
  <c r="H445" i="2"/>
  <c r="H441" i="2"/>
  <c r="H437" i="2"/>
  <c r="H433" i="2"/>
  <c r="H429" i="2"/>
  <c r="H425" i="2"/>
  <c r="H421" i="2"/>
  <c r="H417" i="2"/>
  <c r="H413" i="2"/>
  <c r="H409" i="2"/>
  <c r="H405" i="2"/>
  <c r="H401" i="2"/>
  <c r="H397" i="2"/>
  <c r="H393" i="2"/>
  <c r="H389" i="2"/>
  <c r="H385" i="2"/>
  <c r="H480" i="2"/>
  <c r="H476" i="2"/>
  <c r="H472" i="2"/>
  <c r="H468" i="2"/>
  <c r="H464" i="2"/>
  <c r="H460" i="2"/>
  <c r="H456" i="2"/>
  <c r="H452" i="2"/>
  <c r="H448" i="2"/>
  <c r="H444" i="2"/>
  <c r="H440" i="2"/>
  <c r="H436" i="2"/>
  <c r="H432" i="2"/>
  <c r="H428" i="2"/>
  <c r="H424" i="2"/>
  <c r="H420" i="2"/>
  <c r="H416" i="2"/>
  <c r="H412" i="2"/>
  <c r="H408" i="2"/>
  <c r="H404" i="2"/>
  <c r="H400" i="2"/>
  <c r="H396" i="2"/>
  <c r="H392" i="2"/>
  <c r="H388" i="2"/>
  <c r="H384" i="2"/>
  <c r="H380" i="2"/>
  <c r="H376" i="2"/>
  <c r="H372" i="2"/>
  <c r="H368" i="2"/>
  <c r="H364" i="2"/>
  <c r="H360" i="2"/>
  <c r="H356" i="2"/>
  <c r="H352" i="2"/>
  <c r="H348" i="2"/>
  <c r="H344" i="2"/>
  <c r="H340" i="2"/>
  <c r="H336" i="2"/>
  <c r="H332" i="2"/>
  <c r="H328" i="2"/>
  <c r="H324" i="2"/>
  <c r="H320" i="2"/>
  <c r="H383" i="2"/>
  <c r="H379" i="2"/>
  <c r="H375" i="2"/>
  <c r="H371" i="2"/>
  <c r="H367" i="2"/>
  <c r="H363" i="2"/>
  <c r="H359" i="2"/>
  <c r="H355" i="2"/>
  <c r="H351" i="2"/>
  <c r="H347" i="2"/>
  <c r="H343" i="2"/>
  <c r="H339" i="2"/>
  <c r="H335" i="2"/>
  <c r="H331" i="2"/>
  <c r="H327" i="2"/>
  <c r="H323" i="2"/>
  <c r="H382" i="2"/>
  <c r="H378" i="2"/>
  <c r="H374" i="2"/>
  <c r="H370" i="2"/>
  <c r="H366" i="2"/>
  <c r="H362" i="2"/>
  <c r="H358" i="2"/>
  <c r="H354" i="2"/>
  <c r="H350" i="2"/>
  <c r="H346" i="2"/>
  <c r="H342" i="2"/>
  <c r="H338" i="2"/>
  <c r="H334" i="2"/>
  <c r="H330" i="2"/>
  <c r="H326" i="2"/>
  <c r="H322" i="2"/>
  <c r="H381" i="2"/>
  <c r="H377" i="2"/>
  <c r="H373" i="2"/>
  <c r="H369" i="2"/>
  <c r="H365" i="2"/>
  <c r="H361" i="2"/>
  <c r="H357" i="2"/>
  <c r="H353" i="2"/>
  <c r="H349" i="2"/>
  <c r="H345" i="2"/>
  <c r="H341" i="2"/>
  <c r="H337" i="2"/>
  <c r="H333" i="2"/>
  <c r="H329" i="2"/>
  <c r="H325" i="2"/>
  <c r="H321" i="2"/>
  <c r="E42" i="2"/>
  <c r="H537" i="3" l="1"/>
  <c r="H370" i="3"/>
  <c r="C340" i="6"/>
  <c r="D9" i="35" s="1"/>
  <c r="H583" i="3"/>
  <c r="H409" i="3"/>
  <c r="K355" i="3"/>
  <c r="H512" i="3"/>
  <c r="AC80" i="2"/>
  <c r="H210" i="2"/>
  <c r="AW229" i="1"/>
  <c r="AY229" i="1"/>
  <c r="AZ229" i="1" s="1"/>
  <c r="BB229" i="1" s="1"/>
  <c r="H381" i="3"/>
  <c r="H384" i="3"/>
  <c r="H387" i="3"/>
  <c r="H85" i="2"/>
  <c r="H123" i="2"/>
  <c r="H102" i="2"/>
  <c r="H306" i="2"/>
  <c r="H103" i="2"/>
  <c r="H110" i="2"/>
  <c r="H274" i="2"/>
  <c r="H252" i="2"/>
  <c r="H81" i="2"/>
  <c r="H284" i="2"/>
  <c r="H99" i="2"/>
  <c r="H94" i="2"/>
  <c r="H317" i="2"/>
  <c r="H122" i="2"/>
  <c r="H82" i="2"/>
  <c r="H285" i="2"/>
  <c r="H247" i="2"/>
  <c r="H89" i="2"/>
  <c r="H98" i="2"/>
  <c r="H100" i="2"/>
  <c r="H96" i="2"/>
  <c r="H95" i="2"/>
  <c r="H86" i="2"/>
  <c r="H415" i="3"/>
  <c r="H92" i="2"/>
  <c r="H90" i="2"/>
  <c r="H134" i="2"/>
  <c r="H136" i="2"/>
  <c r="H192" i="2"/>
  <c r="H313" i="2"/>
  <c r="H152" i="2"/>
  <c r="H184" i="2"/>
  <c r="H307" i="2"/>
  <c r="H111" i="2"/>
  <c r="H143" i="2"/>
  <c r="H175" i="2"/>
  <c r="H297" i="2"/>
  <c r="H185" i="2"/>
  <c r="H217" i="2"/>
  <c r="H249" i="2"/>
  <c r="H287" i="2"/>
  <c r="H279" i="2"/>
  <c r="H101" i="2"/>
  <c r="H88" i="2"/>
  <c r="H87" i="2"/>
  <c r="H141" i="2"/>
  <c r="H438" i="3"/>
  <c r="H182" i="2"/>
  <c r="H133" i="2"/>
  <c r="H221" i="2"/>
  <c r="H253" i="2"/>
  <c r="H97" i="2"/>
  <c r="H84" i="2"/>
  <c r="H83" i="2"/>
  <c r="H173" i="2"/>
  <c r="H443" i="3"/>
  <c r="H91" i="2"/>
  <c r="H93" i="2"/>
  <c r="H80" i="2"/>
  <c r="G80" i="2" s="1"/>
  <c r="H493" i="3"/>
  <c r="H518" i="3"/>
  <c r="H524" i="3"/>
  <c r="H374" i="3"/>
  <c r="H465" i="3"/>
  <c r="H554" i="3"/>
  <c r="H522" i="3"/>
  <c r="H584" i="3"/>
  <c r="H539" i="3"/>
  <c r="H361" i="3"/>
  <c r="H466" i="3"/>
  <c r="H434" i="3"/>
  <c r="H461" i="3"/>
  <c r="H457" i="3"/>
  <c r="H377" i="3"/>
  <c r="H569" i="3"/>
  <c r="H511" i="3"/>
  <c r="H448" i="3"/>
  <c r="H205" i="2"/>
  <c r="H191" i="2"/>
  <c r="H223" i="2"/>
  <c r="H255" i="2"/>
  <c r="H298" i="2"/>
  <c r="H292" i="2"/>
  <c r="H406" i="3"/>
  <c r="H413" i="3"/>
  <c r="H178" i="2"/>
  <c r="N356" i="3"/>
  <c r="H430" i="3"/>
  <c r="H414" i="3"/>
  <c r="H473" i="3"/>
  <c r="H501" i="3"/>
  <c r="H533" i="3"/>
  <c r="H552" i="3"/>
  <c r="H572" i="3"/>
  <c r="H507" i="3"/>
  <c r="H542" i="3"/>
  <c r="H550" i="3"/>
  <c r="H590" i="3"/>
  <c r="H551" i="3"/>
  <c r="H358" i="3"/>
  <c r="H484" i="3"/>
  <c r="H412" i="3"/>
  <c r="H380" i="3"/>
  <c r="H480" i="3"/>
  <c r="H419" i="3"/>
  <c r="H447" i="3"/>
  <c r="AC356" i="3"/>
  <c r="AA356" i="3" s="1"/>
  <c r="H168" i="2"/>
  <c r="H242" i="2"/>
  <c r="H543" i="3"/>
  <c r="H490" i="3"/>
  <c r="H462" i="3"/>
  <c r="H446" i="3"/>
  <c r="H200" i="2"/>
  <c r="H475" i="3"/>
  <c r="H565" i="3"/>
  <c r="H579" i="3"/>
  <c r="H478" i="3"/>
  <c r="H393" i="3"/>
  <c r="H383" i="3"/>
  <c r="H470" i="3"/>
  <c r="H452" i="3"/>
  <c r="H588" i="3"/>
  <c r="H479" i="3"/>
  <c r="H402" i="3"/>
  <c r="H386" i="3"/>
  <c r="H520" i="3"/>
  <c r="H436" i="3"/>
  <c r="H420" i="3"/>
  <c r="H144" i="2"/>
  <c r="H194" i="2"/>
  <c r="H159" i="2"/>
  <c r="H220" i="2"/>
  <c r="H416" i="3"/>
  <c r="H429" i="3"/>
  <c r="H498" i="3"/>
  <c r="H582" i="3"/>
  <c r="H418" i="3"/>
  <c r="H548" i="3"/>
  <c r="H146" i="2"/>
  <c r="H113" i="2"/>
  <c r="H104" i="2"/>
  <c r="H433" i="3"/>
  <c r="H502" i="3"/>
  <c r="H560" i="3"/>
  <c r="H586" i="3"/>
  <c r="H492" i="3"/>
  <c r="H398" i="3"/>
  <c r="H382" i="3"/>
  <c r="H187" i="3"/>
  <c r="H189" i="3" s="1"/>
  <c r="H108" i="2"/>
  <c r="H125" i="2"/>
  <c r="H107" i="2"/>
  <c r="H441" i="3"/>
  <c r="H425" i="3"/>
  <c r="H594" i="3"/>
  <c r="H497" i="3"/>
  <c r="H529" i="3"/>
  <c r="H538" i="3"/>
  <c r="H562" i="3"/>
  <c r="H503" i="3"/>
  <c r="H541" i="3"/>
  <c r="H547" i="3"/>
  <c r="H468" i="3"/>
  <c r="H404" i="3"/>
  <c r="H315" i="2"/>
  <c r="H118" i="2"/>
  <c r="H121" i="2"/>
  <c r="H181" i="2"/>
  <c r="H305" i="2"/>
  <c r="H148" i="2"/>
  <c r="H180" i="2"/>
  <c r="H301" i="2"/>
  <c r="H266" i="2"/>
  <c r="H139" i="2"/>
  <c r="H171" i="2"/>
  <c r="H264" i="2"/>
  <c r="H262" i="2"/>
  <c r="H213" i="2"/>
  <c r="H245" i="2"/>
  <c r="H286" i="2"/>
  <c r="H278" i="2"/>
  <c r="H187" i="2"/>
  <c r="H219" i="2"/>
  <c r="H251" i="2"/>
  <c r="H291" i="2"/>
  <c r="H288" i="2"/>
  <c r="H161" i="2"/>
  <c r="AN293" i="1"/>
  <c r="AN462" i="1"/>
  <c r="AN458" i="1"/>
  <c r="AN454" i="1"/>
  <c r="AN450" i="1"/>
  <c r="AN446" i="1"/>
  <c r="AN459" i="1"/>
  <c r="AN455" i="1"/>
  <c r="AN451" i="1"/>
  <c r="AN447" i="1"/>
  <c r="AN460" i="1"/>
  <c r="AN456" i="1"/>
  <c r="AN452" i="1"/>
  <c r="AN448" i="1"/>
  <c r="AN444" i="1"/>
  <c r="AN443" i="1"/>
  <c r="AN442" i="1"/>
  <c r="AN441" i="1"/>
  <c r="AN440" i="1"/>
  <c r="AN439" i="1"/>
  <c r="AN438" i="1"/>
  <c r="AN437" i="1"/>
  <c r="AN436" i="1"/>
  <c r="AN435" i="1"/>
  <c r="AN434" i="1"/>
  <c r="AN433" i="1"/>
  <c r="AN432" i="1"/>
  <c r="AN431" i="1"/>
  <c r="AN430" i="1"/>
  <c r="AN429" i="1"/>
  <c r="AN428" i="1"/>
  <c r="AN427" i="1"/>
  <c r="AN426" i="1"/>
  <c r="AN425" i="1"/>
  <c r="AN424" i="1"/>
  <c r="AN423" i="1"/>
  <c r="AN422" i="1"/>
  <c r="AN421" i="1"/>
  <c r="AN420" i="1"/>
  <c r="AN419" i="1"/>
  <c r="AN418" i="1"/>
  <c r="AN417" i="1"/>
  <c r="AN416" i="1"/>
  <c r="AN415" i="1"/>
  <c r="AN414" i="1"/>
  <c r="AN413" i="1"/>
  <c r="AN412" i="1"/>
  <c r="AN411" i="1"/>
  <c r="AN410" i="1"/>
  <c r="AN409" i="1"/>
  <c r="AN408" i="1"/>
  <c r="AN407" i="1"/>
  <c r="AN406" i="1"/>
  <c r="AN405" i="1"/>
  <c r="AN404" i="1"/>
  <c r="AN403" i="1"/>
  <c r="AN402" i="1"/>
  <c r="AN401" i="1"/>
  <c r="AN400" i="1"/>
  <c r="AN399" i="1"/>
  <c r="AN398" i="1"/>
  <c r="AN397" i="1"/>
  <c r="AN396" i="1"/>
  <c r="AN395" i="1"/>
  <c r="AN394" i="1"/>
  <c r="AN393" i="1"/>
  <c r="AN392" i="1"/>
  <c r="AN391" i="1"/>
  <c r="AN390" i="1"/>
  <c r="AN389" i="1"/>
  <c r="AN388" i="1"/>
  <c r="AN387" i="1"/>
  <c r="AN386" i="1"/>
  <c r="AN385" i="1"/>
  <c r="AN384" i="1"/>
  <c r="AN383" i="1"/>
  <c r="AN382" i="1"/>
  <c r="AN381" i="1"/>
  <c r="AN380" i="1"/>
  <c r="AN379" i="1"/>
  <c r="AN378" i="1"/>
  <c r="AN377" i="1"/>
  <c r="AN376" i="1"/>
  <c r="AN375" i="1"/>
  <c r="AN374" i="1"/>
  <c r="AN373" i="1"/>
  <c r="AN372" i="1"/>
  <c r="AN371" i="1"/>
  <c r="AN370" i="1"/>
  <c r="AN369" i="1"/>
  <c r="AN368" i="1"/>
  <c r="AN367" i="1"/>
  <c r="AN366" i="1"/>
  <c r="AN365" i="1"/>
  <c r="AN364" i="1"/>
  <c r="AN363" i="1"/>
  <c r="AN362" i="1"/>
  <c r="AN361" i="1"/>
  <c r="AN360" i="1"/>
  <c r="AN359" i="1"/>
  <c r="AN358" i="1"/>
  <c r="AN357" i="1"/>
  <c r="AN356" i="1"/>
  <c r="AN355" i="1"/>
  <c r="AN354" i="1"/>
  <c r="AN353" i="1"/>
  <c r="AN352" i="1"/>
  <c r="AN351" i="1"/>
  <c r="AN350" i="1"/>
  <c r="AN349" i="1"/>
  <c r="AN348" i="1"/>
  <c r="AN347" i="1"/>
  <c r="AN346" i="1"/>
  <c r="AN345" i="1"/>
  <c r="AN344" i="1"/>
  <c r="AN343" i="1"/>
  <c r="AN342" i="1"/>
  <c r="AN341" i="1"/>
  <c r="AN340" i="1"/>
  <c r="AN339" i="1"/>
  <c r="AN338" i="1"/>
  <c r="AN337" i="1"/>
  <c r="AN336" i="1"/>
  <c r="AN335" i="1"/>
  <c r="AN334" i="1"/>
  <c r="AN333" i="1"/>
  <c r="AN332" i="1"/>
  <c r="AN331" i="1"/>
  <c r="AN330" i="1"/>
  <c r="AN329" i="1"/>
  <c r="AN328" i="1"/>
  <c r="AN327" i="1"/>
  <c r="AN326" i="1"/>
  <c r="AN325" i="1"/>
  <c r="AN324" i="1"/>
  <c r="AN323" i="1"/>
  <c r="AN322" i="1"/>
  <c r="AN321" i="1"/>
  <c r="AN320" i="1"/>
  <c r="AN319" i="1"/>
  <c r="AN318" i="1"/>
  <c r="AN317" i="1"/>
  <c r="AN316" i="1"/>
  <c r="AN315" i="1"/>
  <c r="AN314" i="1"/>
  <c r="AN313" i="1"/>
  <c r="AN312" i="1"/>
  <c r="AN311" i="1"/>
  <c r="AN310" i="1"/>
  <c r="AN309" i="1"/>
  <c r="AN308" i="1"/>
  <c r="AN307" i="1"/>
  <c r="AN306" i="1"/>
  <c r="AN305" i="1"/>
  <c r="AN304" i="1"/>
  <c r="AN303" i="1"/>
  <c r="AN302" i="1"/>
  <c r="AN301" i="1"/>
  <c r="AN300" i="1"/>
  <c r="AN299" i="1"/>
  <c r="AN298" i="1"/>
  <c r="AN297" i="1"/>
  <c r="AN296" i="1"/>
  <c r="AN295" i="1"/>
  <c r="AN294" i="1"/>
  <c r="AN457" i="1"/>
  <c r="AN289" i="1"/>
  <c r="AN281" i="1"/>
  <c r="AN273" i="1"/>
  <c r="AN265" i="1"/>
  <c r="AN257" i="1"/>
  <c r="AN249" i="1"/>
  <c r="AN241" i="1"/>
  <c r="AN233" i="1"/>
  <c r="AN288" i="1"/>
  <c r="AN256" i="1"/>
  <c r="AN248" i="1"/>
  <c r="AN240" i="1"/>
  <c r="AN225" i="1"/>
  <c r="AN453" i="1"/>
  <c r="AN286" i="1"/>
  <c r="AN278" i="1"/>
  <c r="AN270" i="1"/>
  <c r="AN254" i="1"/>
  <c r="AN238" i="1"/>
  <c r="AN230" i="1"/>
  <c r="AN224" i="1"/>
  <c r="AN445" i="1"/>
  <c r="AN292" i="1"/>
  <c r="AN280" i="1"/>
  <c r="AN272" i="1"/>
  <c r="AN264" i="1"/>
  <c r="AN232" i="1"/>
  <c r="AN262" i="1"/>
  <c r="AN242" i="1"/>
  <c r="AN226" i="1"/>
  <c r="AN287" i="1"/>
  <c r="AN279" i="1"/>
  <c r="AN271" i="1"/>
  <c r="AN263" i="1"/>
  <c r="AN255" i="1"/>
  <c r="AN247" i="1"/>
  <c r="AN239" i="1"/>
  <c r="AN231" i="1"/>
  <c r="AN246" i="1"/>
  <c r="AN282" i="1"/>
  <c r="AN274" i="1"/>
  <c r="AN266" i="1"/>
  <c r="AN285" i="1"/>
  <c r="AN277" i="1"/>
  <c r="AN269" i="1"/>
  <c r="AN261" i="1"/>
  <c r="AN253" i="1"/>
  <c r="AN245" i="1"/>
  <c r="AN237" i="1"/>
  <c r="AN229" i="1"/>
  <c r="AN227" i="1"/>
  <c r="AN250" i="1"/>
  <c r="AN461" i="1"/>
  <c r="AN284" i="1"/>
  <c r="AN276" i="1"/>
  <c r="AN268" i="1"/>
  <c r="AN260" i="1"/>
  <c r="AN252" i="1"/>
  <c r="AN244" i="1"/>
  <c r="AN236" i="1"/>
  <c r="AN228" i="1"/>
  <c r="AN234" i="1"/>
  <c r="AN449" i="1"/>
  <c r="AN291" i="1"/>
  <c r="AN283" i="1"/>
  <c r="AN275" i="1"/>
  <c r="AN267" i="1"/>
  <c r="AN259" i="1"/>
  <c r="AN251" i="1"/>
  <c r="AN243" i="1"/>
  <c r="AN235" i="1"/>
  <c r="AN290" i="1"/>
  <c r="AN258" i="1"/>
  <c r="H195" i="2"/>
  <c r="H209" i="2"/>
  <c r="H225" i="2"/>
  <c r="AA5" i="5"/>
  <c r="N281" i="3" s="1"/>
  <c r="G26" i="5"/>
  <c r="K26" i="5" s="1"/>
  <c r="P26" i="5" s="1"/>
  <c r="G76" i="5"/>
  <c r="K16" i="5"/>
  <c r="P16" i="5" s="1"/>
  <c r="J44" i="5"/>
  <c r="O44" i="5" s="1"/>
  <c r="T44" i="5" s="1"/>
  <c r="Y44" i="5" s="1"/>
  <c r="F54" i="5"/>
  <c r="J54" i="5" s="1"/>
  <c r="O54" i="5" s="1"/>
  <c r="T54" i="5" s="1"/>
  <c r="Y54" i="5" s="1"/>
  <c r="H115" i="2"/>
  <c r="H167" i="2"/>
  <c r="H176" i="2"/>
  <c r="H149" i="2"/>
  <c r="H186" i="2"/>
  <c r="H218" i="2"/>
  <c r="H250" i="2"/>
  <c r="H282" i="2"/>
  <c r="H228" i="2"/>
  <c r="H260" i="2"/>
  <c r="H229" i="2"/>
  <c r="H261" i="2"/>
  <c r="H293" i="2"/>
  <c r="H318" i="2"/>
  <c r="H405" i="3"/>
  <c r="H373" i="3"/>
  <c r="H408" i="3"/>
  <c r="H376" i="3"/>
  <c r="H411" i="3"/>
  <c r="H379" i="3"/>
  <c r="H437" i="3"/>
  <c r="H469" i="3"/>
  <c r="H442" i="3"/>
  <c r="H474" i="3"/>
  <c r="H506" i="3"/>
  <c r="H451" i="3"/>
  <c r="H483" i="3"/>
  <c r="H515" i="3"/>
  <c r="H456" i="3"/>
  <c r="H488" i="3"/>
  <c r="H556" i="3"/>
  <c r="H526" i="3"/>
  <c r="H568" i="3"/>
  <c r="H573" i="3"/>
  <c r="H558" i="3"/>
  <c r="H587" i="3"/>
  <c r="H592" i="3"/>
  <c r="H366" i="3"/>
  <c r="J14" i="5"/>
  <c r="O14" i="5" s="1"/>
  <c r="F24" i="5"/>
  <c r="J24" i="5" s="1"/>
  <c r="O24" i="5" s="1"/>
  <c r="F74" i="5"/>
  <c r="G77" i="5"/>
  <c r="G27" i="5"/>
  <c r="K27" i="5" s="1"/>
  <c r="P27" i="5" s="1"/>
  <c r="K17" i="5"/>
  <c r="P17" i="5" s="1"/>
  <c r="H360" i="3"/>
  <c r="K47" i="5"/>
  <c r="P47" i="5" s="1"/>
  <c r="U47" i="5" s="1"/>
  <c r="Z47" i="5" s="1"/>
  <c r="G57" i="5"/>
  <c r="K57" i="5" s="1"/>
  <c r="P57" i="5" s="1"/>
  <c r="U57" i="5" s="1"/>
  <c r="Z57" i="5" s="1"/>
  <c r="G11" i="29"/>
  <c r="D11" i="29"/>
  <c r="F11" i="29"/>
  <c r="E11" i="29"/>
  <c r="H131" i="2"/>
  <c r="H145" i="2"/>
  <c r="H246" i="2"/>
  <c r="H256" i="2"/>
  <c r="H314" i="2"/>
  <c r="E266" i="6"/>
  <c r="E268" i="6" s="1"/>
  <c r="H199" i="2"/>
  <c r="H208" i="2"/>
  <c r="H154" i="2"/>
  <c r="H124" i="2"/>
  <c r="H203" i="2"/>
  <c r="H212" i="2"/>
  <c r="H153" i="2"/>
  <c r="H158" i="2"/>
  <c r="H190" i="2"/>
  <c r="H222" i="2"/>
  <c r="H254" i="2"/>
  <c r="H227" i="2"/>
  <c r="H259" i="2"/>
  <c r="H232" i="2"/>
  <c r="H296" i="2"/>
  <c r="H233" i="2"/>
  <c r="H265" i="2"/>
  <c r="H311" i="2"/>
  <c r="H401" i="3"/>
  <c r="H369" i="3"/>
  <c r="H372" i="3"/>
  <c r="H407" i="3"/>
  <c r="H375" i="3"/>
  <c r="H505" i="3"/>
  <c r="H510" i="3"/>
  <c r="H455" i="3"/>
  <c r="H487" i="3"/>
  <c r="H516" i="3"/>
  <c r="H460" i="3"/>
  <c r="H528" i="3"/>
  <c r="H564" i="3"/>
  <c r="H545" i="3"/>
  <c r="H530" i="3"/>
  <c r="H519" i="3"/>
  <c r="H577" i="3"/>
  <c r="H591" i="3"/>
  <c r="H394" i="3"/>
  <c r="H362" i="3"/>
  <c r="F75" i="5"/>
  <c r="J15" i="5"/>
  <c r="O15" i="5" s="1"/>
  <c r="F25" i="5"/>
  <c r="J25" i="5" s="1"/>
  <c r="O25" i="5" s="1"/>
  <c r="G73" i="5"/>
  <c r="G23" i="5"/>
  <c r="K23" i="5" s="1"/>
  <c r="P23" i="5" s="1"/>
  <c r="K13" i="5"/>
  <c r="AH9" i="5"/>
  <c r="G54" i="5"/>
  <c r="K54" i="5" s="1"/>
  <c r="P54" i="5" s="1"/>
  <c r="U54" i="5" s="1"/>
  <c r="Z54" i="5" s="1"/>
  <c r="K44" i="5"/>
  <c r="P44" i="5" s="1"/>
  <c r="U44" i="5" s="1"/>
  <c r="Z44" i="5" s="1"/>
  <c r="E106" i="2"/>
  <c r="G53" i="5"/>
  <c r="K53" i="5" s="1"/>
  <c r="P53" i="5" s="1"/>
  <c r="U53" i="5" s="1"/>
  <c r="Z53" i="5" s="1"/>
  <c r="K43" i="5"/>
  <c r="P43" i="5" s="1"/>
  <c r="U43" i="5" s="1"/>
  <c r="Z43" i="5" s="1"/>
  <c r="H119" i="2"/>
  <c r="H172" i="2"/>
  <c r="H214" i="2"/>
  <c r="H224" i="2"/>
  <c r="B266" i="6"/>
  <c r="B268" i="6" s="1"/>
  <c r="H128" i="2"/>
  <c r="H135" i="2"/>
  <c r="H120" i="2"/>
  <c r="H126" i="2"/>
  <c r="H207" i="2"/>
  <c r="H216" i="2"/>
  <c r="H157" i="2"/>
  <c r="H189" i="2"/>
  <c r="H130" i="2"/>
  <c r="H162" i="2"/>
  <c r="H226" i="2"/>
  <c r="H258" i="2"/>
  <c r="H290" i="2"/>
  <c r="H231" i="2"/>
  <c r="H263" i="2"/>
  <c r="H295" i="2"/>
  <c r="H236" i="2"/>
  <c r="H268" i="2"/>
  <c r="H300" i="2"/>
  <c r="H237" i="2"/>
  <c r="H269" i="2"/>
  <c r="H397" i="3"/>
  <c r="H365" i="3"/>
  <c r="H400" i="3"/>
  <c r="H368" i="3"/>
  <c r="H403" i="3"/>
  <c r="H371" i="3"/>
  <c r="H445" i="3"/>
  <c r="H477" i="3"/>
  <c r="H509" i="3"/>
  <c r="H450" i="3"/>
  <c r="H482" i="3"/>
  <c r="H514" i="3"/>
  <c r="H459" i="3"/>
  <c r="H491" i="3"/>
  <c r="H432" i="3"/>
  <c r="H464" i="3"/>
  <c r="H496" i="3"/>
  <c r="H532" i="3"/>
  <c r="H517" i="3"/>
  <c r="H549" i="3"/>
  <c r="H534" i="3"/>
  <c r="H523" i="3"/>
  <c r="H555" i="3"/>
  <c r="H581" i="3"/>
  <c r="H566" i="3"/>
  <c r="H595" i="3"/>
  <c r="H422" i="3"/>
  <c r="H390" i="3"/>
  <c r="F76" i="5"/>
  <c r="J16" i="5"/>
  <c r="O16" i="5" s="1"/>
  <c r="F26" i="5"/>
  <c r="J26" i="5" s="1"/>
  <c r="O26" i="5" s="1"/>
  <c r="H356" i="3"/>
  <c r="J47" i="5"/>
  <c r="F57" i="5"/>
  <c r="J57" i="5" s="1"/>
  <c r="O57" i="5" s="1"/>
  <c r="T57" i="5" s="1"/>
  <c r="Y57" i="5" s="1"/>
  <c r="F56" i="5"/>
  <c r="J56" i="5" s="1"/>
  <c r="O56" i="5" s="1"/>
  <c r="T56" i="5" s="1"/>
  <c r="Y56" i="5" s="1"/>
  <c r="J46" i="5"/>
  <c r="O46" i="5" s="1"/>
  <c r="T46" i="5" s="1"/>
  <c r="Y46" i="5" s="1"/>
  <c r="J80" i="2"/>
  <c r="AK79" i="2"/>
  <c r="H140" i="2"/>
  <c r="H150" i="2"/>
  <c r="H257" i="2"/>
  <c r="H105" i="2"/>
  <c r="H116" i="2"/>
  <c r="H147" i="2"/>
  <c r="H179" i="2"/>
  <c r="H211" i="2"/>
  <c r="H156" i="2"/>
  <c r="H188" i="2"/>
  <c r="H129" i="2"/>
  <c r="H193" i="2"/>
  <c r="H166" i="2"/>
  <c r="H198" i="2"/>
  <c r="H230" i="2"/>
  <c r="H294" i="2"/>
  <c r="H235" i="2"/>
  <c r="H267" i="2"/>
  <c r="H299" i="2"/>
  <c r="H240" i="2"/>
  <c r="H272" i="2"/>
  <c r="H304" i="2"/>
  <c r="H241" i="2"/>
  <c r="H273" i="2"/>
  <c r="H319" i="2"/>
  <c r="H428" i="3"/>
  <c r="H396" i="3"/>
  <c r="H364" i="3"/>
  <c r="H399" i="3"/>
  <c r="H367" i="3"/>
  <c r="H449" i="3"/>
  <c r="H481" i="3"/>
  <c r="H513" i="3"/>
  <c r="H454" i="3"/>
  <c r="H486" i="3"/>
  <c r="H431" i="3"/>
  <c r="H463" i="3"/>
  <c r="H495" i="3"/>
  <c r="H500" i="3"/>
  <c r="H536" i="3"/>
  <c r="H521" i="3"/>
  <c r="H553" i="3"/>
  <c r="H527" i="3"/>
  <c r="H563" i="3"/>
  <c r="H585" i="3"/>
  <c r="H570" i="3"/>
  <c r="F27" i="5"/>
  <c r="J27" i="5" s="1"/>
  <c r="O27" i="5" s="1"/>
  <c r="J17" i="5"/>
  <c r="O17" i="5" s="1"/>
  <c r="F77" i="5"/>
  <c r="H357" i="3"/>
  <c r="K46" i="5"/>
  <c r="P46" i="5" s="1"/>
  <c r="U46" i="5" s="1"/>
  <c r="Z46" i="5" s="1"/>
  <c r="G56" i="5"/>
  <c r="K56" i="5" s="1"/>
  <c r="P56" i="5" s="1"/>
  <c r="U56" i="5" s="1"/>
  <c r="Z56" i="5" s="1"/>
  <c r="F55" i="5"/>
  <c r="J55" i="5" s="1"/>
  <c r="O55" i="5" s="1"/>
  <c r="T55" i="5" s="1"/>
  <c r="Y55" i="5" s="1"/>
  <c r="J45" i="5"/>
  <c r="O45" i="5" s="1"/>
  <c r="T45" i="5" s="1"/>
  <c r="Y45" i="5" s="1"/>
  <c r="AM79" i="2"/>
  <c r="K79" i="2"/>
  <c r="K15" i="5"/>
  <c r="P15" i="5" s="1"/>
  <c r="G75" i="5"/>
  <c r="G25" i="5"/>
  <c r="K25" i="5" s="1"/>
  <c r="P25" i="5" s="1"/>
  <c r="H109" i="2"/>
  <c r="H106" i="2"/>
  <c r="H204" i="2"/>
  <c r="H283" i="2"/>
  <c r="H289" i="2"/>
  <c r="H112" i="2"/>
  <c r="H151" i="2"/>
  <c r="H215" i="2"/>
  <c r="H165" i="2"/>
  <c r="H138" i="2"/>
  <c r="H202" i="2"/>
  <c r="H271" i="2"/>
  <c r="H303" i="2"/>
  <c r="H244" i="2"/>
  <c r="H276" i="2"/>
  <c r="H308" i="2"/>
  <c r="H277" i="2"/>
  <c r="H309" i="2"/>
  <c r="H312" i="2"/>
  <c r="H421" i="3"/>
  <c r="H389" i="3"/>
  <c r="H424" i="3"/>
  <c r="H392" i="3"/>
  <c r="H427" i="3"/>
  <c r="H395" i="3"/>
  <c r="H363" i="3"/>
  <c r="H453" i="3"/>
  <c r="H485" i="3"/>
  <c r="H426" i="3"/>
  <c r="H458" i="3"/>
  <c r="H435" i="3"/>
  <c r="H467" i="3"/>
  <c r="H499" i="3"/>
  <c r="H440" i="3"/>
  <c r="H472" i="3"/>
  <c r="H504" i="3"/>
  <c r="H540" i="3"/>
  <c r="H525" i="3"/>
  <c r="H559" i="3"/>
  <c r="H531" i="3"/>
  <c r="H557" i="3"/>
  <c r="H589" i="3"/>
  <c r="H574" i="3"/>
  <c r="H571" i="3"/>
  <c r="H576" i="3"/>
  <c r="F23" i="5"/>
  <c r="J23" i="5" s="1"/>
  <c r="O23" i="5" s="1"/>
  <c r="J13" i="5"/>
  <c r="F73" i="5"/>
  <c r="AG9" i="5"/>
  <c r="AC18" i="5"/>
  <c r="AC28" i="5"/>
  <c r="J43" i="5"/>
  <c r="O43" i="5" s="1"/>
  <c r="T43" i="5" s="1"/>
  <c r="Y43" i="5" s="1"/>
  <c r="F53" i="5"/>
  <c r="J53" i="5" s="1"/>
  <c r="O53" i="5" s="1"/>
  <c r="T53" i="5" s="1"/>
  <c r="Y53" i="5" s="1"/>
  <c r="H163" i="2"/>
  <c r="H177" i="2"/>
  <c r="H183" i="2"/>
  <c r="H160" i="2"/>
  <c r="H197" i="2"/>
  <c r="H170" i="2"/>
  <c r="H234" i="2"/>
  <c r="H239" i="2"/>
  <c r="H117" i="2"/>
  <c r="H127" i="2"/>
  <c r="H114" i="2"/>
  <c r="H155" i="2"/>
  <c r="H132" i="2"/>
  <c r="H164" i="2"/>
  <c r="H196" i="2"/>
  <c r="H137" i="2"/>
  <c r="H169" i="2"/>
  <c r="H201" i="2"/>
  <c r="H142" i="2"/>
  <c r="H174" i="2"/>
  <c r="H206" i="2"/>
  <c r="H238" i="2"/>
  <c r="H270" i="2"/>
  <c r="H302" i="2"/>
  <c r="H243" i="2"/>
  <c r="H275" i="2"/>
  <c r="H248" i="2"/>
  <c r="H280" i="2"/>
  <c r="H310" i="2"/>
  <c r="H281" i="2"/>
  <c r="H316" i="2"/>
  <c r="H417" i="3"/>
  <c r="H385" i="3"/>
  <c r="H388" i="3"/>
  <c r="H423" i="3"/>
  <c r="H391" i="3"/>
  <c r="H359" i="3"/>
  <c r="H489" i="3"/>
  <c r="H494" i="3"/>
  <c r="H439" i="3"/>
  <c r="H471" i="3"/>
  <c r="H444" i="3"/>
  <c r="H476" i="3"/>
  <c r="H508" i="3"/>
  <c r="H544" i="3"/>
  <c r="H567" i="3"/>
  <c r="H546" i="3"/>
  <c r="H535" i="3"/>
  <c r="H561" i="3"/>
  <c r="H593" i="3"/>
  <c r="H578" i="3"/>
  <c r="H575" i="3"/>
  <c r="H580" i="3"/>
  <c r="H410" i="3"/>
  <c r="H378" i="3"/>
  <c r="D20" i="35"/>
  <c r="K7" i="35"/>
  <c r="D29" i="35" s="1"/>
  <c r="F120" i="35"/>
  <c r="E17" i="35"/>
  <c r="F44" i="35"/>
  <c r="K10" i="35"/>
  <c r="F51" i="35" s="1"/>
  <c r="B51" i="35" s="1"/>
  <c r="K4" i="35"/>
  <c r="F43" i="35"/>
  <c r="K9" i="35"/>
  <c r="B49" i="35" s="1"/>
  <c r="F50" i="35"/>
  <c r="E7" i="35"/>
  <c r="F49" i="35"/>
  <c r="F47" i="35"/>
  <c r="F46" i="35"/>
  <c r="D21" i="35"/>
  <c r="D19" i="35"/>
  <c r="D67" i="35"/>
  <c r="K8" i="35"/>
  <c r="E21" i="35" s="1"/>
  <c r="E67" i="35"/>
  <c r="H108" i="3"/>
  <c r="H110" i="3" s="1"/>
  <c r="E275" i="3" s="1"/>
  <c r="H8" i="5" s="1"/>
  <c r="G24" i="5"/>
  <c r="K24" i="5" s="1"/>
  <c r="P24" i="5" s="1"/>
  <c r="G74" i="5"/>
  <c r="K14" i="5"/>
  <c r="P14" i="5" s="1"/>
  <c r="K45" i="5"/>
  <c r="P45" i="5" s="1"/>
  <c r="U45" i="5" s="1"/>
  <c r="Z45" i="5" s="1"/>
  <c r="G55" i="5"/>
  <c r="K55" i="5" s="1"/>
  <c r="P55" i="5" s="1"/>
  <c r="U55" i="5" s="1"/>
  <c r="Z55" i="5" s="1"/>
  <c r="S774" i="3"/>
  <c r="S766" i="3"/>
  <c r="S771" i="3"/>
  <c r="S763" i="3"/>
  <c r="S768" i="3"/>
  <c r="S760" i="3"/>
  <c r="S758" i="3"/>
  <c r="S756" i="3"/>
  <c r="S754" i="3"/>
  <c r="S752" i="3"/>
  <c r="S750" i="3"/>
  <c r="S748" i="3"/>
  <c r="S746" i="3"/>
  <c r="S744" i="3"/>
  <c r="S742" i="3"/>
  <c r="S740" i="3"/>
  <c r="S738" i="3"/>
  <c r="S736" i="3"/>
  <c r="S734" i="3"/>
  <c r="S732" i="3"/>
  <c r="S730" i="3"/>
  <c r="S728" i="3"/>
  <c r="S726" i="3"/>
  <c r="S724" i="3"/>
  <c r="S722" i="3"/>
  <c r="S720" i="3"/>
  <c r="S718" i="3"/>
  <c r="S716" i="3"/>
  <c r="S714" i="3"/>
  <c r="S712" i="3"/>
  <c r="S710" i="3"/>
  <c r="S708" i="3"/>
  <c r="S706" i="3"/>
  <c r="S704" i="3"/>
  <c r="S702" i="3"/>
  <c r="S700" i="3"/>
  <c r="S698" i="3"/>
  <c r="S696" i="3"/>
  <c r="S694" i="3"/>
  <c r="S692" i="3"/>
  <c r="S690" i="3"/>
  <c r="S688" i="3"/>
  <c r="S686" i="3"/>
  <c r="S684" i="3"/>
  <c r="S682" i="3"/>
  <c r="S680" i="3"/>
  <c r="S678" i="3"/>
  <c r="S676" i="3"/>
  <c r="S773" i="3"/>
  <c r="S765" i="3"/>
  <c r="E39" i="35"/>
  <c r="S770" i="3"/>
  <c r="S762" i="3"/>
  <c r="B25" i="29"/>
  <c r="S772" i="3"/>
  <c r="S764" i="3"/>
  <c r="S759" i="3"/>
  <c r="S757" i="3"/>
  <c r="S755" i="3"/>
  <c r="S753" i="3"/>
  <c r="S751" i="3"/>
  <c r="S749" i="3"/>
  <c r="S747" i="3"/>
  <c r="S745" i="3"/>
  <c r="S743" i="3"/>
  <c r="S741" i="3"/>
  <c r="S739" i="3"/>
  <c r="S737" i="3"/>
  <c r="S735" i="3"/>
  <c r="S733" i="3"/>
  <c r="S731" i="3"/>
  <c r="S729" i="3"/>
  <c r="S727" i="3"/>
  <c r="S725" i="3"/>
  <c r="S723" i="3"/>
  <c r="S721" i="3"/>
  <c r="S719" i="3"/>
  <c r="S717" i="3"/>
  <c r="S715" i="3"/>
  <c r="S713" i="3"/>
  <c r="S711" i="3"/>
  <c r="S709" i="3"/>
  <c r="S707" i="3"/>
  <c r="S705" i="3"/>
  <c r="S703" i="3"/>
  <c r="S701" i="3"/>
  <c r="S699" i="3"/>
  <c r="S697" i="3"/>
  <c r="S695" i="3"/>
  <c r="S693" i="3"/>
  <c r="S691" i="3"/>
  <c r="S689" i="3"/>
  <c r="S687" i="3"/>
  <c r="S685" i="3"/>
  <c r="S683" i="3"/>
  <c r="S681" i="3"/>
  <c r="S679" i="3"/>
  <c r="S677" i="3"/>
  <c r="S593" i="3"/>
  <c r="S589" i="3"/>
  <c r="S585" i="3"/>
  <c r="S581" i="3"/>
  <c r="S577" i="3"/>
  <c r="S573" i="3"/>
  <c r="S569" i="3"/>
  <c r="S565" i="3"/>
  <c r="S561" i="3"/>
  <c r="S557" i="3"/>
  <c r="S553" i="3"/>
  <c r="S549" i="3"/>
  <c r="S545" i="3"/>
  <c r="S541" i="3"/>
  <c r="S537" i="3"/>
  <c r="S533" i="3"/>
  <c r="S674" i="3"/>
  <c r="S672" i="3"/>
  <c r="S670" i="3"/>
  <c r="S668" i="3"/>
  <c r="S666" i="3"/>
  <c r="S664" i="3"/>
  <c r="S662" i="3"/>
  <c r="S660" i="3"/>
  <c r="S658" i="3"/>
  <c r="S656" i="3"/>
  <c r="S654" i="3"/>
  <c r="S652" i="3"/>
  <c r="S650" i="3"/>
  <c r="S648" i="3"/>
  <c r="S646" i="3"/>
  <c r="S644" i="3"/>
  <c r="S642" i="3"/>
  <c r="S640" i="3"/>
  <c r="S638" i="3"/>
  <c r="S636" i="3"/>
  <c r="S634" i="3"/>
  <c r="S632" i="3"/>
  <c r="S630" i="3"/>
  <c r="S628" i="3"/>
  <c r="S626" i="3"/>
  <c r="S624" i="3"/>
  <c r="S622" i="3"/>
  <c r="S620" i="3"/>
  <c r="S618" i="3"/>
  <c r="S616" i="3"/>
  <c r="S614" i="3"/>
  <c r="S612" i="3"/>
  <c r="S610" i="3"/>
  <c r="S608" i="3"/>
  <c r="S606" i="3"/>
  <c r="S604" i="3"/>
  <c r="S602" i="3"/>
  <c r="S600" i="3"/>
  <c r="S598" i="3"/>
  <c r="S596" i="3"/>
  <c r="S592" i="3"/>
  <c r="S588" i="3"/>
  <c r="S584" i="3"/>
  <c r="S580" i="3"/>
  <c r="S576" i="3"/>
  <c r="S572" i="3"/>
  <c r="S568" i="3"/>
  <c r="S564" i="3"/>
  <c r="S560" i="3"/>
  <c r="S556" i="3"/>
  <c r="S552" i="3"/>
  <c r="S775" i="3"/>
  <c r="S769" i="3"/>
  <c r="S595" i="3"/>
  <c r="S591" i="3"/>
  <c r="S587" i="3"/>
  <c r="S583" i="3"/>
  <c r="S579" i="3"/>
  <c r="S575" i="3"/>
  <c r="S571" i="3"/>
  <c r="S567" i="3"/>
  <c r="S563" i="3"/>
  <c r="S559" i="3"/>
  <c r="S555" i="3"/>
  <c r="S551" i="3"/>
  <c r="S547" i="3"/>
  <c r="S543" i="3"/>
  <c r="S539" i="3"/>
  <c r="S535" i="3"/>
  <c r="S607" i="3"/>
  <c r="S586" i="3"/>
  <c r="S554" i="3"/>
  <c r="S534" i="3"/>
  <c r="S673" i="3"/>
  <c r="S669" i="3"/>
  <c r="S665" i="3"/>
  <c r="S661" i="3"/>
  <c r="S657" i="3"/>
  <c r="S653" i="3"/>
  <c r="S649" i="3"/>
  <c r="S645" i="3"/>
  <c r="S641" i="3"/>
  <c r="S637" i="3"/>
  <c r="S633" i="3"/>
  <c r="S629" i="3"/>
  <c r="S625" i="3"/>
  <c r="S621" i="3"/>
  <c r="S617" i="3"/>
  <c r="S613" i="3"/>
  <c r="S597" i="3"/>
  <c r="S566" i="3"/>
  <c r="S532" i="3"/>
  <c r="S528" i="3"/>
  <c r="S524" i="3"/>
  <c r="S520" i="3"/>
  <c r="S516" i="3"/>
  <c r="S512" i="3"/>
  <c r="S508" i="3"/>
  <c r="S504" i="3"/>
  <c r="S500" i="3"/>
  <c r="S496" i="3"/>
  <c r="S492" i="3"/>
  <c r="S488" i="3"/>
  <c r="S484" i="3"/>
  <c r="S480" i="3"/>
  <c r="S603" i="3"/>
  <c r="S594" i="3"/>
  <c r="S578" i="3"/>
  <c r="S609" i="3"/>
  <c r="S558" i="3"/>
  <c r="S531" i="3"/>
  <c r="S527" i="3"/>
  <c r="S523" i="3"/>
  <c r="S519" i="3"/>
  <c r="S515" i="3"/>
  <c r="S511" i="3"/>
  <c r="S507" i="3"/>
  <c r="S503" i="3"/>
  <c r="S499" i="3"/>
  <c r="S495" i="3"/>
  <c r="S491" i="3"/>
  <c r="S487" i="3"/>
  <c r="S483" i="3"/>
  <c r="S479" i="3"/>
  <c r="S599" i="3"/>
  <c r="S570" i="3"/>
  <c r="S675" i="3"/>
  <c r="S671" i="3"/>
  <c r="S667" i="3"/>
  <c r="S663" i="3"/>
  <c r="S659" i="3"/>
  <c r="S655" i="3"/>
  <c r="S651" i="3"/>
  <c r="S647" i="3"/>
  <c r="S643" i="3"/>
  <c r="S639" i="3"/>
  <c r="S635" i="3"/>
  <c r="S631" i="3"/>
  <c r="S627" i="3"/>
  <c r="S623" i="3"/>
  <c r="S619" i="3"/>
  <c r="S615" i="3"/>
  <c r="S605" i="3"/>
  <c r="S590" i="3"/>
  <c r="S582" i="3"/>
  <c r="S550" i="3"/>
  <c r="S548" i="3"/>
  <c r="S546" i="3"/>
  <c r="S544" i="3"/>
  <c r="S542" i="3"/>
  <c r="S540" i="3"/>
  <c r="S530" i="3"/>
  <c r="S526" i="3"/>
  <c r="S522" i="3"/>
  <c r="S518" i="3"/>
  <c r="S514" i="3"/>
  <c r="S510" i="3"/>
  <c r="S506" i="3"/>
  <c r="S502" i="3"/>
  <c r="S498" i="3"/>
  <c r="S494" i="3"/>
  <c r="S490" i="3"/>
  <c r="S761" i="3"/>
  <c r="S611" i="3"/>
  <c r="S562" i="3"/>
  <c r="S538" i="3"/>
  <c r="S529" i="3"/>
  <c r="S501" i="3"/>
  <c r="S493" i="3"/>
  <c r="S476" i="3"/>
  <c r="S472" i="3"/>
  <c r="S468" i="3"/>
  <c r="S464" i="3"/>
  <c r="S460" i="3"/>
  <c r="S456" i="3"/>
  <c r="S452" i="3"/>
  <c r="S448" i="3"/>
  <c r="S444" i="3"/>
  <c r="S440" i="3"/>
  <c r="S436" i="3"/>
  <c r="S432" i="3"/>
  <c r="S428" i="3"/>
  <c r="S424" i="3"/>
  <c r="S420" i="3"/>
  <c r="S416" i="3"/>
  <c r="S412" i="3"/>
  <c r="S408" i="3"/>
  <c r="S404" i="3"/>
  <c r="S400" i="3"/>
  <c r="S396" i="3"/>
  <c r="S392" i="3"/>
  <c r="S388" i="3"/>
  <c r="S384" i="3"/>
  <c r="S380" i="3"/>
  <c r="S376" i="3"/>
  <c r="S372" i="3"/>
  <c r="S368" i="3"/>
  <c r="S364" i="3"/>
  <c r="S357" i="3"/>
  <c r="R711" i="2"/>
  <c r="R703" i="2"/>
  <c r="S525" i="3"/>
  <c r="S360" i="3"/>
  <c r="N293" i="3"/>
  <c r="E355" i="3" s="1"/>
  <c r="E356" i="3" s="1"/>
  <c r="E357" i="3" s="1"/>
  <c r="E358" i="3" s="1"/>
  <c r="E359" i="3" s="1"/>
  <c r="E360" i="3" s="1"/>
  <c r="E361" i="3" s="1"/>
  <c r="E362" i="3" s="1"/>
  <c r="E363" i="3" s="1"/>
  <c r="E364" i="3" s="1"/>
  <c r="E365" i="3" s="1"/>
  <c r="E366" i="3" s="1"/>
  <c r="E367" i="3" s="1"/>
  <c r="E368" i="3" s="1"/>
  <c r="E369" i="3" s="1"/>
  <c r="E370" i="3" s="1"/>
  <c r="E371" i="3" s="1"/>
  <c r="E372" i="3" s="1"/>
  <c r="E373" i="3" s="1"/>
  <c r="E374" i="3" s="1"/>
  <c r="E375" i="3" s="1"/>
  <c r="E376" i="3" s="1"/>
  <c r="E377" i="3" s="1"/>
  <c r="E378" i="3" s="1"/>
  <c r="E379" i="3" s="1"/>
  <c r="E380" i="3" s="1"/>
  <c r="E381" i="3" s="1"/>
  <c r="E382" i="3" s="1"/>
  <c r="E383" i="3" s="1"/>
  <c r="E384" i="3" s="1"/>
  <c r="E385" i="3" s="1"/>
  <c r="E386" i="3" s="1"/>
  <c r="E387" i="3" s="1"/>
  <c r="E388" i="3" s="1"/>
  <c r="E389" i="3" s="1"/>
  <c r="E390" i="3" s="1"/>
  <c r="E391" i="3" s="1"/>
  <c r="E392" i="3" s="1"/>
  <c r="E393" i="3" s="1"/>
  <c r="E394" i="3" s="1"/>
  <c r="E395" i="3" s="1"/>
  <c r="E396" i="3" s="1"/>
  <c r="E397" i="3" s="1"/>
  <c r="E398" i="3" s="1"/>
  <c r="E399" i="3" s="1"/>
  <c r="E400" i="3" s="1"/>
  <c r="E401" i="3" s="1"/>
  <c r="E402" i="3" s="1"/>
  <c r="E403" i="3" s="1"/>
  <c r="E404" i="3" s="1"/>
  <c r="E405" i="3" s="1"/>
  <c r="E406" i="3" s="1"/>
  <c r="E407" i="3" s="1"/>
  <c r="E408" i="3" s="1"/>
  <c r="E409" i="3" s="1"/>
  <c r="E410" i="3" s="1"/>
  <c r="E411" i="3" s="1"/>
  <c r="E412" i="3" s="1"/>
  <c r="E413" i="3" s="1"/>
  <c r="E414" i="3" s="1"/>
  <c r="E415" i="3" s="1"/>
  <c r="E416" i="3" s="1"/>
  <c r="E417" i="3" s="1"/>
  <c r="E418" i="3" s="1"/>
  <c r="E419" i="3" s="1"/>
  <c r="E420" i="3" s="1"/>
  <c r="E421" i="3" s="1"/>
  <c r="E422" i="3" s="1"/>
  <c r="E423" i="3" s="1"/>
  <c r="E424" i="3" s="1"/>
  <c r="E425" i="3" s="1"/>
  <c r="E426" i="3" s="1"/>
  <c r="E427" i="3" s="1"/>
  <c r="E428" i="3" s="1"/>
  <c r="E429" i="3" s="1"/>
  <c r="E430" i="3" s="1"/>
  <c r="E431" i="3" s="1"/>
  <c r="E432" i="3" s="1"/>
  <c r="E433" i="3" s="1"/>
  <c r="E434" i="3" s="1"/>
  <c r="E435" i="3" s="1"/>
  <c r="E436" i="3" s="1"/>
  <c r="E437" i="3" s="1"/>
  <c r="E438" i="3" s="1"/>
  <c r="E439" i="3" s="1"/>
  <c r="E440" i="3" s="1"/>
  <c r="E441" i="3" s="1"/>
  <c r="E442" i="3" s="1"/>
  <c r="E443" i="3" s="1"/>
  <c r="E444" i="3" s="1"/>
  <c r="E445" i="3" s="1"/>
  <c r="E446" i="3" s="1"/>
  <c r="E447" i="3" s="1"/>
  <c r="E448" i="3" s="1"/>
  <c r="E449" i="3" s="1"/>
  <c r="E450" i="3" s="1"/>
  <c r="E451" i="3" s="1"/>
  <c r="E452" i="3" s="1"/>
  <c r="E453" i="3" s="1"/>
  <c r="E454" i="3" s="1"/>
  <c r="E455" i="3" s="1"/>
  <c r="E456" i="3" s="1"/>
  <c r="E457" i="3" s="1"/>
  <c r="E458" i="3" s="1"/>
  <c r="E459" i="3" s="1"/>
  <c r="E460" i="3" s="1"/>
  <c r="E461" i="3" s="1"/>
  <c r="E462" i="3" s="1"/>
  <c r="E463" i="3" s="1"/>
  <c r="E464" i="3" s="1"/>
  <c r="E465" i="3" s="1"/>
  <c r="E466" i="3" s="1"/>
  <c r="E467" i="3" s="1"/>
  <c r="E468" i="3" s="1"/>
  <c r="E469" i="3" s="1"/>
  <c r="E470" i="3" s="1"/>
  <c r="E471" i="3" s="1"/>
  <c r="E472" i="3" s="1"/>
  <c r="E473" i="3" s="1"/>
  <c r="E474" i="3" s="1"/>
  <c r="E475" i="3" s="1"/>
  <c r="E476" i="3" s="1"/>
  <c r="E477" i="3" s="1"/>
  <c r="E478" i="3" s="1"/>
  <c r="E479" i="3" s="1"/>
  <c r="E480" i="3" s="1"/>
  <c r="E481" i="3" s="1"/>
  <c r="E482" i="3" s="1"/>
  <c r="E483" i="3" s="1"/>
  <c r="E484" i="3" s="1"/>
  <c r="E485" i="3" s="1"/>
  <c r="E486" i="3" s="1"/>
  <c r="E487" i="3" s="1"/>
  <c r="E488" i="3" s="1"/>
  <c r="E489" i="3" s="1"/>
  <c r="E490" i="3" s="1"/>
  <c r="E491" i="3" s="1"/>
  <c r="E492" i="3" s="1"/>
  <c r="E493" i="3" s="1"/>
  <c r="E494" i="3" s="1"/>
  <c r="E495" i="3" s="1"/>
  <c r="E496" i="3" s="1"/>
  <c r="E497" i="3" s="1"/>
  <c r="E498" i="3" s="1"/>
  <c r="E499" i="3" s="1"/>
  <c r="E500" i="3" s="1"/>
  <c r="E501" i="3" s="1"/>
  <c r="E502" i="3" s="1"/>
  <c r="E503" i="3" s="1"/>
  <c r="E504" i="3" s="1"/>
  <c r="E505" i="3" s="1"/>
  <c r="E506" i="3" s="1"/>
  <c r="E507" i="3" s="1"/>
  <c r="E508" i="3" s="1"/>
  <c r="E509" i="3" s="1"/>
  <c r="E510" i="3" s="1"/>
  <c r="E511" i="3" s="1"/>
  <c r="E512" i="3" s="1"/>
  <c r="E513" i="3" s="1"/>
  <c r="E514" i="3" s="1"/>
  <c r="E515" i="3" s="1"/>
  <c r="E516" i="3" s="1"/>
  <c r="E517" i="3" s="1"/>
  <c r="E518" i="3" s="1"/>
  <c r="E519" i="3" s="1"/>
  <c r="E520" i="3" s="1"/>
  <c r="E521" i="3" s="1"/>
  <c r="E522" i="3" s="1"/>
  <c r="E523" i="3" s="1"/>
  <c r="E524" i="3" s="1"/>
  <c r="E525" i="3" s="1"/>
  <c r="E526" i="3" s="1"/>
  <c r="E527" i="3" s="1"/>
  <c r="E528" i="3" s="1"/>
  <c r="E529" i="3" s="1"/>
  <c r="E530" i="3" s="1"/>
  <c r="E531" i="3" s="1"/>
  <c r="E532" i="3" s="1"/>
  <c r="E533" i="3" s="1"/>
  <c r="E534" i="3" s="1"/>
  <c r="E535" i="3" s="1"/>
  <c r="E536" i="3" s="1"/>
  <c r="E537" i="3" s="1"/>
  <c r="E538" i="3" s="1"/>
  <c r="E539" i="3" s="1"/>
  <c r="E540" i="3" s="1"/>
  <c r="E541" i="3" s="1"/>
  <c r="E542" i="3" s="1"/>
  <c r="E543" i="3" s="1"/>
  <c r="E544" i="3" s="1"/>
  <c r="E545" i="3" s="1"/>
  <c r="E546" i="3" s="1"/>
  <c r="E547" i="3" s="1"/>
  <c r="E548" i="3" s="1"/>
  <c r="E549" i="3" s="1"/>
  <c r="E550" i="3" s="1"/>
  <c r="E551" i="3" s="1"/>
  <c r="E552" i="3" s="1"/>
  <c r="E553" i="3" s="1"/>
  <c r="E554" i="3" s="1"/>
  <c r="E555" i="3" s="1"/>
  <c r="E556" i="3" s="1"/>
  <c r="E557" i="3" s="1"/>
  <c r="E558" i="3" s="1"/>
  <c r="E559" i="3" s="1"/>
  <c r="E560" i="3" s="1"/>
  <c r="E561" i="3" s="1"/>
  <c r="E562" i="3" s="1"/>
  <c r="E563" i="3" s="1"/>
  <c r="E564" i="3" s="1"/>
  <c r="E565" i="3" s="1"/>
  <c r="E566" i="3" s="1"/>
  <c r="E567" i="3" s="1"/>
  <c r="E568" i="3" s="1"/>
  <c r="E569" i="3" s="1"/>
  <c r="E570" i="3" s="1"/>
  <c r="E571" i="3" s="1"/>
  <c r="E572" i="3" s="1"/>
  <c r="E573" i="3" s="1"/>
  <c r="E574" i="3" s="1"/>
  <c r="E575" i="3" s="1"/>
  <c r="E576" i="3" s="1"/>
  <c r="E577" i="3" s="1"/>
  <c r="E578" i="3" s="1"/>
  <c r="E579" i="3" s="1"/>
  <c r="E580" i="3" s="1"/>
  <c r="E581" i="3" s="1"/>
  <c r="E582" i="3" s="1"/>
  <c r="E583" i="3" s="1"/>
  <c r="E584" i="3" s="1"/>
  <c r="E585" i="3" s="1"/>
  <c r="E586" i="3" s="1"/>
  <c r="E587" i="3" s="1"/>
  <c r="E588" i="3" s="1"/>
  <c r="E589" i="3" s="1"/>
  <c r="E590" i="3" s="1"/>
  <c r="E591" i="3" s="1"/>
  <c r="E592" i="3" s="1"/>
  <c r="E593" i="3" s="1"/>
  <c r="E594" i="3" s="1"/>
  <c r="E595" i="3" s="1"/>
  <c r="E596" i="3" s="1"/>
  <c r="E597" i="3" s="1"/>
  <c r="E598" i="3" s="1"/>
  <c r="E599" i="3" s="1"/>
  <c r="E600" i="3" s="1"/>
  <c r="E601" i="3" s="1"/>
  <c r="E602" i="3" s="1"/>
  <c r="E603" i="3" s="1"/>
  <c r="E604" i="3" s="1"/>
  <c r="E605" i="3" s="1"/>
  <c r="E606" i="3" s="1"/>
  <c r="E607" i="3" s="1"/>
  <c r="E608" i="3" s="1"/>
  <c r="E609" i="3" s="1"/>
  <c r="E610" i="3" s="1"/>
  <c r="E611" i="3" s="1"/>
  <c r="E612" i="3" s="1"/>
  <c r="E613" i="3" s="1"/>
  <c r="E614" i="3" s="1"/>
  <c r="E615" i="3" s="1"/>
  <c r="E616" i="3" s="1"/>
  <c r="E617" i="3" s="1"/>
  <c r="E618" i="3" s="1"/>
  <c r="E619" i="3" s="1"/>
  <c r="E620" i="3" s="1"/>
  <c r="E621" i="3" s="1"/>
  <c r="E622" i="3" s="1"/>
  <c r="E623" i="3" s="1"/>
  <c r="E624" i="3" s="1"/>
  <c r="E625" i="3" s="1"/>
  <c r="E626" i="3" s="1"/>
  <c r="E627" i="3" s="1"/>
  <c r="E628" i="3" s="1"/>
  <c r="E629" i="3" s="1"/>
  <c r="E630" i="3" s="1"/>
  <c r="E631" i="3" s="1"/>
  <c r="E632" i="3" s="1"/>
  <c r="E633" i="3" s="1"/>
  <c r="E634" i="3" s="1"/>
  <c r="E635" i="3" s="1"/>
  <c r="E636" i="3" s="1"/>
  <c r="E637" i="3" s="1"/>
  <c r="E638" i="3" s="1"/>
  <c r="E639" i="3" s="1"/>
  <c r="E640" i="3" s="1"/>
  <c r="E641" i="3" s="1"/>
  <c r="E642" i="3" s="1"/>
  <c r="E643" i="3" s="1"/>
  <c r="E644" i="3" s="1"/>
  <c r="E645" i="3" s="1"/>
  <c r="E646" i="3" s="1"/>
  <c r="E647" i="3" s="1"/>
  <c r="E648" i="3" s="1"/>
  <c r="E649" i="3" s="1"/>
  <c r="E650" i="3" s="1"/>
  <c r="E651" i="3" s="1"/>
  <c r="E652" i="3" s="1"/>
  <c r="E653" i="3" s="1"/>
  <c r="E654" i="3" s="1"/>
  <c r="E655" i="3" s="1"/>
  <c r="E656" i="3" s="1"/>
  <c r="E657" i="3" s="1"/>
  <c r="E658" i="3" s="1"/>
  <c r="E659" i="3" s="1"/>
  <c r="E660" i="3" s="1"/>
  <c r="E661" i="3" s="1"/>
  <c r="E662" i="3" s="1"/>
  <c r="E663" i="3" s="1"/>
  <c r="E664" i="3" s="1"/>
  <c r="E665" i="3" s="1"/>
  <c r="E666" i="3" s="1"/>
  <c r="E667" i="3" s="1"/>
  <c r="E668" i="3" s="1"/>
  <c r="E669" i="3" s="1"/>
  <c r="E670" i="3" s="1"/>
  <c r="E671" i="3" s="1"/>
  <c r="E672" i="3" s="1"/>
  <c r="E673" i="3" s="1"/>
  <c r="E674" i="3" s="1"/>
  <c r="E675" i="3" s="1"/>
  <c r="E676" i="3" s="1"/>
  <c r="E677" i="3" s="1"/>
  <c r="E678" i="3" s="1"/>
  <c r="E679" i="3" s="1"/>
  <c r="E680" i="3" s="1"/>
  <c r="E681" i="3" s="1"/>
  <c r="E682" i="3" s="1"/>
  <c r="E683" i="3" s="1"/>
  <c r="E684" i="3" s="1"/>
  <c r="E685" i="3" s="1"/>
  <c r="E686" i="3" s="1"/>
  <c r="E687" i="3" s="1"/>
  <c r="E688" i="3" s="1"/>
  <c r="E689" i="3" s="1"/>
  <c r="E690" i="3" s="1"/>
  <c r="E691" i="3" s="1"/>
  <c r="E692" i="3" s="1"/>
  <c r="E693" i="3" s="1"/>
  <c r="E694" i="3" s="1"/>
  <c r="E695" i="3" s="1"/>
  <c r="E696" i="3" s="1"/>
  <c r="E697" i="3" s="1"/>
  <c r="E698" i="3" s="1"/>
  <c r="E699" i="3" s="1"/>
  <c r="E700" i="3" s="1"/>
  <c r="E701" i="3" s="1"/>
  <c r="E702" i="3" s="1"/>
  <c r="E703" i="3" s="1"/>
  <c r="E704" i="3" s="1"/>
  <c r="E705" i="3" s="1"/>
  <c r="E706" i="3" s="1"/>
  <c r="E707" i="3" s="1"/>
  <c r="E708" i="3" s="1"/>
  <c r="E709" i="3" s="1"/>
  <c r="E710" i="3" s="1"/>
  <c r="E711" i="3" s="1"/>
  <c r="E712" i="3" s="1"/>
  <c r="E713" i="3" s="1"/>
  <c r="E714" i="3" s="1"/>
  <c r="E715" i="3" s="1"/>
  <c r="E716" i="3" s="1"/>
  <c r="E717" i="3" s="1"/>
  <c r="E718" i="3" s="1"/>
  <c r="E719" i="3" s="1"/>
  <c r="E720" i="3" s="1"/>
  <c r="E721" i="3" s="1"/>
  <c r="E722" i="3" s="1"/>
  <c r="E723" i="3" s="1"/>
  <c r="E724" i="3" s="1"/>
  <c r="E725" i="3" s="1"/>
  <c r="E726" i="3" s="1"/>
  <c r="E727" i="3" s="1"/>
  <c r="E728" i="3" s="1"/>
  <c r="E729" i="3" s="1"/>
  <c r="E730" i="3" s="1"/>
  <c r="E731" i="3" s="1"/>
  <c r="E732" i="3" s="1"/>
  <c r="E733" i="3" s="1"/>
  <c r="E734" i="3" s="1"/>
  <c r="E735" i="3" s="1"/>
  <c r="E736" i="3" s="1"/>
  <c r="E737" i="3" s="1"/>
  <c r="E738" i="3" s="1"/>
  <c r="E739" i="3" s="1"/>
  <c r="E740" i="3" s="1"/>
  <c r="E741" i="3" s="1"/>
  <c r="E742" i="3" s="1"/>
  <c r="E743" i="3" s="1"/>
  <c r="E744" i="3" s="1"/>
  <c r="E745" i="3" s="1"/>
  <c r="E746" i="3" s="1"/>
  <c r="E747" i="3" s="1"/>
  <c r="E748" i="3" s="1"/>
  <c r="E749" i="3" s="1"/>
  <c r="E750" i="3" s="1"/>
  <c r="E751" i="3" s="1"/>
  <c r="E752" i="3" s="1"/>
  <c r="E753" i="3" s="1"/>
  <c r="E754" i="3" s="1"/>
  <c r="E755" i="3" s="1"/>
  <c r="E756" i="3" s="1"/>
  <c r="E757" i="3" s="1"/>
  <c r="E758" i="3" s="1"/>
  <c r="E759" i="3" s="1"/>
  <c r="E760" i="3" s="1"/>
  <c r="E761" i="3" s="1"/>
  <c r="E762" i="3" s="1"/>
  <c r="E763" i="3" s="1"/>
  <c r="E764" i="3" s="1"/>
  <c r="E765" i="3" s="1"/>
  <c r="E766" i="3" s="1"/>
  <c r="E767" i="3" s="1"/>
  <c r="E768" i="3" s="1"/>
  <c r="E769" i="3" s="1"/>
  <c r="E770" i="3" s="1"/>
  <c r="E771" i="3" s="1"/>
  <c r="E772" i="3" s="1"/>
  <c r="E773" i="3" s="1"/>
  <c r="E774" i="3" s="1"/>
  <c r="E775" i="3" s="1"/>
  <c r="S767" i="3"/>
  <c r="S536" i="3"/>
  <c r="S521" i="3"/>
  <c r="S509" i="3"/>
  <c r="S486" i="3"/>
  <c r="S482" i="3"/>
  <c r="S475" i="3"/>
  <c r="S471" i="3"/>
  <c r="S467" i="3"/>
  <c r="S463" i="3"/>
  <c r="S459" i="3"/>
  <c r="S455" i="3"/>
  <c r="S451" i="3"/>
  <c r="S447" i="3"/>
  <c r="S443" i="3"/>
  <c r="S439" i="3"/>
  <c r="S435" i="3"/>
  <c r="S431" i="3"/>
  <c r="S427" i="3"/>
  <c r="S423" i="3"/>
  <c r="S419" i="3"/>
  <c r="S415" i="3"/>
  <c r="S411" i="3"/>
  <c r="S407" i="3"/>
  <c r="S403" i="3"/>
  <c r="S399" i="3"/>
  <c r="S395" i="3"/>
  <c r="S391" i="3"/>
  <c r="S387" i="3"/>
  <c r="S383" i="3"/>
  <c r="S379" i="3"/>
  <c r="S375" i="3"/>
  <c r="S371" i="3"/>
  <c r="S367" i="3"/>
  <c r="S363" i="3"/>
  <c r="S497" i="3"/>
  <c r="S485" i="3"/>
  <c r="S481" i="3"/>
  <c r="S601" i="3"/>
  <c r="S517" i="3"/>
  <c r="S478" i="3"/>
  <c r="S474" i="3"/>
  <c r="S470" i="3"/>
  <c r="S466" i="3"/>
  <c r="S462" i="3"/>
  <c r="S458" i="3"/>
  <c r="S454" i="3"/>
  <c r="S450" i="3"/>
  <c r="S446" i="3"/>
  <c r="S442" i="3"/>
  <c r="S438" i="3"/>
  <c r="S434" i="3"/>
  <c r="S430" i="3"/>
  <c r="S426" i="3"/>
  <c r="S422" i="3"/>
  <c r="S418" i="3"/>
  <c r="S414" i="3"/>
  <c r="S410" i="3"/>
  <c r="S406" i="3"/>
  <c r="S402" i="3"/>
  <c r="S398" i="3"/>
  <c r="S394" i="3"/>
  <c r="S390" i="3"/>
  <c r="S386" i="3"/>
  <c r="S382" i="3"/>
  <c r="S378" i="3"/>
  <c r="S374" i="3"/>
  <c r="S370" i="3"/>
  <c r="S366" i="3"/>
  <c r="S362" i="3"/>
  <c r="S359" i="3"/>
  <c r="R715" i="2"/>
  <c r="S505" i="3"/>
  <c r="S489" i="3"/>
  <c r="S473" i="3"/>
  <c r="S441" i="3"/>
  <c r="S409" i="3"/>
  <c r="S389" i="3"/>
  <c r="S373" i="3"/>
  <c r="S361" i="3"/>
  <c r="R716" i="2"/>
  <c r="R713" i="2"/>
  <c r="R695" i="2"/>
  <c r="R687" i="2"/>
  <c r="R679" i="2"/>
  <c r="R671" i="2"/>
  <c r="R663" i="2"/>
  <c r="R655" i="2"/>
  <c r="R647" i="2"/>
  <c r="R639" i="2"/>
  <c r="R631" i="2"/>
  <c r="R623" i="2"/>
  <c r="R615" i="2"/>
  <c r="R607" i="2"/>
  <c r="R599" i="2"/>
  <c r="R591" i="2"/>
  <c r="R583" i="2"/>
  <c r="R575" i="2"/>
  <c r="R567" i="2"/>
  <c r="R559" i="2"/>
  <c r="R551" i="2"/>
  <c r="S513" i="3"/>
  <c r="S469" i="3"/>
  <c r="S437" i="3"/>
  <c r="S405" i="3"/>
  <c r="R709" i="2"/>
  <c r="R700" i="2"/>
  <c r="R692" i="2"/>
  <c r="R684" i="2"/>
  <c r="R676" i="2"/>
  <c r="R668" i="2"/>
  <c r="R660" i="2"/>
  <c r="R652" i="2"/>
  <c r="R644" i="2"/>
  <c r="R636" i="2"/>
  <c r="R628" i="2"/>
  <c r="R620" i="2"/>
  <c r="R612" i="2"/>
  <c r="R604" i="2"/>
  <c r="R596" i="2"/>
  <c r="R588" i="2"/>
  <c r="R580" i="2"/>
  <c r="R572" i="2"/>
  <c r="R564" i="2"/>
  <c r="R556" i="2"/>
  <c r="R548" i="2"/>
  <c r="S465" i="3"/>
  <c r="S433" i="3"/>
  <c r="S401" i="3"/>
  <c r="S385" i="3"/>
  <c r="S369" i="3"/>
  <c r="R712" i="2"/>
  <c r="R706" i="2"/>
  <c r="R697" i="2"/>
  <c r="R689" i="2"/>
  <c r="R681" i="2"/>
  <c r="R673" i="2"/>
  <c r="R665" i="2"/>
  <c r="R657" i="2"/>
  <c r="R649" i="2"/>
  <c r="R641" i="2"/>
  <c r="R633" i="2"/>
  <c r="S461" i="3"/>
  <c r="S429" i="3"/>
  <c r="R694" i="2"/>
  <c r="R686" i="2"/>
  <c r="R678" i="2"/>
  <c r="R670" i="2"/>
  <c r="R662" i="2"/>
  <c r="R654" i="2"/>
  <c r="R646" i="2"/>
  <c r="R638" i="2"/>
  <c r="R630" i="2"/>
  <c r="R622" i="2"/>
  <c r="R614" i="2"/>
  <c r="R606" i="2"/>
  <c r="R598" i="2"/>
  <c r="R590" i="2"/>
  <c r="R582" i="2"/>
  <c r="R574" i="2"/>
  <c r="R566" i="2"/>
  <c r="R558" i="2"/>
  <c r="R550" i="2"/>
  <c r="S457" i="3"/>
  <c r="S425" i="3"/>
  <c r="S397" i="3"/>
  <c r="S381" i="3"/>
  <c r="R708" i="2"/>
  <c r="R702" i="2"/>
  <c r="R699" i="2"/>
  <c r="R691" i="2"/>
  <c r="R683" i="2"/>
  <c r="R675" i="2"/>
  <c r="R667" i="2"/>
  <c r="R659" i="2"/>
  <c r="R651" i="2"/>
  <c r="R643" i="2"/>
  <c r="R635" i="2"/>
  <c r="R627" i="2"/>
  <c r="R619" i="2"/>
  <c r="R611" i="2"/>
  <c r="R603" i="2"/>
  <c r="R595" i="2"/>
  <c r="R587" i="2"/>
  <c r="R579" i="2"/>
  <c r="R571" i="2"/>
  <c r="R563" i="2"/>
  <c r="R555" i="2"/>
  <c r="S453" i="3"/>
  <c r="S421" i="3"/>
  <c r="S365" i="3"/>
  <c r="S356" i="3"/>
  <c r="T356" i="3" s="1"/>
  <c r="R356" i="3" s="1"/>
  <c r="S355" i="3"/>
  <c r="R714" i="2"/>
  <c r="R705" i="2"/>
  <c r="R696" i="2"/>
  <c r="R688" i="2"/>
  <c r="R680" i="2"/>
  <c r="R672" i="2"/>
  <c r="R664" i="2"/>
  <c r="R656" i="2"/>
  <c r="R648" i="2"/>
  <c r="R640" i="2"/>
  <c r="R632" i="2"/>
  <c r="R624" i="2"/>
  <c r="R616" i="2"/>
  <c r="R608" i="2"/>
  <c r="R600" i="2"/>
  <c r="R592" i="2"/>
  <c r="R584" i="2"/>
  <c r="R576" i="2"/>
  <c r="R568" i="2"/>
  <c r="R560" i="2"/>
  <c r="R552" i="2"/>
  <c r="S449" i="3"/>
  <c r="S417" i="3"/>
  <c r="S393" i="3"/>
  <c r="S377" i="3"/>
  <c r="S358" i="3"/>
  <c r="R701" i="2"/>
  <c r="R693" i="2"/>
  <c r="R685" i="2"/>
  <c r="R677" i="2"/>
  <c r="R669" i="2"/>
  <c r="R661" i="2"/>
  <c r="R653" i="2"/>
  <c r="R645" i="2"/>
  <c r="R637" i="2"/>
  <c r="R629" i="2"/>
  <c r="R621" i="2"/>
  <c r="R613" i="2"/>
  <c r="R605" i="2"/>
  <c r="R597" i="2"/>
  <c r="R589" i="2"/>
  <c r="R581" i="2"/>
  <c r="R573" i="2"/>
  <c r="R565" i="2"/>
  <c r="R557" i="2"/>
  <c r="S477" i="3"/>
  <c r="S413" i="3"/>
  <c r="R710" i="2"/>
  <c r="R674" i="2"/>
  <c r="R609" i="2"/>
  <c r="R577" i="2"/>
  <c r="R542" i="2"/>
  <c r="R534" i="2"/>
  <c r="R526" i="2"/>
  <c r="R518" i="2"/>
  <c r="R510" i="2"/>
  <c r="R502" i="2"/>
  <c r="R650" i="2"/>
  <c r="R618" i="2"/>
  <c r="R586" i="2"/>
  <c r="R554" i="2"/>
  <c r="R547" i="2"/>
  <c r="R539" i="2"/>
  <c r="R531" i="2"/>
  <c r="R523" i="2"/>
  <c r="R515" i="2"/>
  <c r="R507" i="2"/>
  <c r="R707" i="2"/>
  <c r="R690" i="2"/>
  <c r="R617" i="2"/>
  <c r="R585" i="2"/>
  <c r="R553" i="2"/>
  <c r="R544" i="2"/>
  <c r="R536" i="2"/>
  <c r="R528" i="2"/>
  <c r="R520" i="2"/>
  <c r="R512" i="2"/>
  <c r="R504" i="2"/>
  <c r="R666" i="2"/>
  <c r="R626" i="2"/>
  <c r="R594" i="2"/>
  <c r="R562" i="2"/>
  <c r="R541" i="2"/>
  <c r="R533" i="2"/>
  <c r="R525" i="2"/>
  <c r="R517" i="2"/>
  <c r="R509" i="2"/>
  <c r="R501" i="2"/>
  <c r="S445" i="3"/>
  <c r="R704" i="2"/>
  <c r="R642" i="2"/>
  <c r="R625" i="2"/>
  <c r="R593" i="2"/>
  <c r="R561" i="2"/>
  <c r="R546" i="2"/>
  <c r="R538" i="2"/>
  <c r="R530" i="2"/>
  <c r="R522" i="2"/>
  <c r="R514" i="2"/>
  <c r="R506" i="2"/>
  <c r="S574" i="3"/>
  <c r="R682" i="2"/>
  <c r="R602" i="2"/>
  <c r="R570" i="2"/>
  <c r="R543" i="2"/>
  <c r="R535" i="2"/>
  <c r="R527" i="2"/>
  <c r="R519" i="2"/>
  <c r="R511" i="2"/>
  <c r="R503" i="2"/>
  <c r="R658" i="2"/>
  <c r="R601" i="2"/>
  <c r="R569" i="2"/>
  <c r="R549" i="2"/>
  <c r="R540" i="2"/>
  <c r="R532" i="2"/>
  <c r="R524" i="2"/>
  <c r="R516" i="2"/>
  <c r="R508" i="2"/>
  <c r="R500" i="2"/>
  <c r="R499" i="2"/>
  <c r="R498" i="2"/>
  <c r="R497" i="2"/>
  <c r="R496" i="2"/>
  <c r="R495" i="2"/>
  <c r="R494" i="2"/>
  <c r="R493" i="2"/>
  <c r="R492" i="2"/>
  <c r="R491" i="2"/>
  <c r="R490" i="2"/>
  <c r="R489" i="2"/>
  <c r="R488" i="2"/>
  <c r="R487" i="2"/>
  <c r="R486" i="2"/>
  <c r="R485" i="2"/>
  <c r="R484" i="2"/>
  <c r="R483" i="2"/>
  <c r="R482" i="2"/>
  <c r="R481" i="2"/>
  <c r="R480" i="2"/>
  <c r="R479" i="2"/>
  <c r="R478" i="2"/>
  <c r="R477" i="2"/>
  <c r="R476" i="2"/>
  <c r="R475" i="2"/>
  <c r="R474" i="2"/>
  <c r="R473" i="2"/>
  <c r="R472" i="2"/>
  <c r="R471" i="2"/>
  <c r="R470" i="2"/>
  <c r="R469" i="2"/>
  <c r="R468" i="2"/>
  <c r="R467" i="2"/>
  <c r="R466" i="2"/>
  <c r="R465" i="2"/>
  <c r="R464" i="2"/>
  <c r="R463" i="2"/>
  <c r="R462" i="2"/>
  <c r="R461" i="2"/>
  <c r="R460" i="2"/>
  <c r="R459" i="2"/>
  <c r="R458" i="2"/>
  <c r="R457" i="2"/>
  <c r="R456" i="2"/>
  <c r="R455" i="2"/>
  <c r="R454" i="2"/>
  <c r="R453" i="2"/>
  <c r="R452" i="2"/>
  <c r="R451" i="2"/>
  <c r="R450" i="2"/>
  <c r="R449" i="2"/>
  <c r="R448" i="2"/>
  <c r="R447" i="2"/>
  <c r="R446" i="2"/>
  <c r="R445" i="2"/>
  <c r="R444" i="2"/>
  <c r="R443" i="2"/>
  <c r="R442" i="2"/>
  <c r="R441" i="2"/>
  <c r="R440" i="2"/>
  <c r="R439" i="2"/>
  <c r="R438" i="2"/>
  <c r="R437" i="2"/>
  <c r="R436" i="2"/>
  <c r="R435" i="2"/>
  <c r="R434" i="2"/>
  <c r="R433" i="2"/>
  <c r="R432" i="2"/>
  <c r="R431" i="2"/>
  <c r="R610" i="2"/>
  <c r="R521" i="2"/>
  <c r="R537" i="2"/>
  <c r="R698" i="2"/>
  <c r="R578" i="2"/>
  <c r="R513" i="2"/>
  <c r="R430" i="2"/>
  <c r="R429" i="2"/>
  <c r="R428" i="2"/>
  <c r="R427" i="2"/>
  <c r="R426" i="2"/>
  <c r="R425" i="2"/>
  <c r="R424" i="2"/>
  <c r="R423" i="2"/>
  <c r="R422" i="2"/>
  <c r="R421" i="2"/>
  <c r="R420" i="2"/>
  <c r="R419" i="2"/>
  <c r="R418" i="2"/>
  <c r="R417" i="2"/>
  <c r="R416" i="2"/>
  <c r="R415" i="2"/>
  <c r="R414" i="2"/>
  <c r="R413" i="2"/>
  <c r="R412" i="2"/>
  <c r="R411" i="2"/>
  <c r="R410" i="2"/>
  <c r="R409" i="2"/>
  <c r="R408" i="2"/>
  <c r="R407" i="2"/>
  <c r="R406" i="2"/>
  <c r="R405" i="2"/>
  <c r="R404" i="2"/>
  <c r="R403" i="2"/>
  <c r="R402" i="2"/>
  <c r="R401" i="2"/>
  <c r="R400" i="2"/>
  <c r="R399" i="2"/>
  <c r="R398" i="2"/>
  <c r="R397" i="2"/>
  <c r="R396" i="2"/>
  <c r="R395" i="2"/>
  <c r="R394" i="2"/>
  <c r="R393" i="2"/>
  <c r="R392" i="2"/>
  <c r="R391" i="2"/>
  <c r="R390" i="2"/>
  <c r="R389" i="2"/>
  <c r="R388" i="2"/>
  <c r="R387" i="2"/>
  <c r="R386" i="2"/>
  <c r="R385" i="2"/>
  <c r="R384" i="2"/>
  <c r="R383" i="2"/>
  <c r="R382" i="2"/>
  <c r="R381" i="2"/>
  <c r="R380" i="2"/>
  <c r="R379" i="2"/>
  <c r="R378" i="2"/>
  <c r="R377" i="2"/>
  <c r="R376" i="2"/>
  <c r="R375" i="2"/>
  <c r="R374" i="2"/>
  <c r="R373" i="2"/>
  <c r="R372" i="2"/>
  <c r="R371" i="2"/>
  <c r="R370" i="2"/>
  <c r="R369" i="2"/>
  <c r="R368" i="2"/>
  <c r="R367" i="2"/>
  <c r="R366" i="2"/>
  <c r="R365" i="2"/>
  <c r="R364" i="2"/>
  <c r="R363" i="2"/>
  <c r="R362" i="2"/>
  <c r="R361" i="2"/>
  <c r="R360" i="2"/>
  <c r="R529" i="2"/>
  <c r="R634" i="2"/>
  <c r="R505" i="2"/>
  <c r="R545" i="2"/>
  <c r="R318" i="2"/>
  <c r="R314" i="2"/>
  <c r="R310" i="2"/>
  <c r="R306" i="2"/>
  <c r="R302" i="2"/>
  <c r="R298" i="2"/>
  <c r="R294" i="2"/>
  <c r="R290" i="2"/>
  <c r="R286" i="2"/>
  <c r="R282" i="2"/>
  <c r="R278" i="2"/>
  <c r="R319" i="2"/>
  <c r="R315" i="2"/>
  <c r="R311" i="2"/>
  <c r="R307" i="2"/>
  <c r="R303" i="2"/>
  <c r="R299" i="2"/>
  <c r="R295" i="2"/>
  <c r="R291" i="2"/>
  <c r="R287" i="2"/>
  <c r="R283" i="2"/>
  <c r="R279" i="2"/>
  <c r="R359" i="2"/>
  <c r="R358" i="2"/>
  <c r="R357" i="2"/>
  <c r="R356" i="2"/>
  <c r="R355" i="2"/>
  <c r="R354" i="2"/>
  <c r="R353" i="2"/>
  <c r="R352" i="2"/>
  <c r="R351" i="2"/>
  <c r="R350" i="2"/>
  <c r="R349" i="2"/>
  <c r="R348" i="2"/>
  <c r="R347" i="2"/>
  <c r="R346" i="2"/>
  <c r="R345" i="2"/>
  <c r="R344" i="2"/>
  <c r="R343" i="2"/>
  <c r="R342" i="2"/>
  <c r="R341" i="2"/>
  <c r="R340" i="2"/>
  <c r="R339" i="2"/>
  <c r="R338" i="2"/>
  <c r="R337" i="2"/>
  <c r="R336" i="2"/>
  <c r="R335" i="2"/>
  <c r="R334" i="2"/>
  <c r="R333" i="2"/>
  <c r="R332" i="2"/>
  <c r="R331" i="2"/>
  <c r="R330" i="2"/>
  <c r="R329" i="2"/>
  <c r="R328" i="2"/>
  <c r="R327" i="2"/>
  <c r="R326" i="2"/>
  <c r="R325" i="2"/>
  <c r="R324" i="2"/>
  <c r="R323" i="2"/>
  <c r="R322" i="2"/>
  <c r="R321" i="2"/>
  <c r="R320" i="2"/>
  <c r="R316" i="2"/>
  <c r="R312" i="2"/>
  <c r="R308" i="2"/>
  <c r="R304" i="2"/>
  <c r="R300" i="2"/>
  <c r="R296" i="2"/>
  <c r="R292" i="2"/>
  <c r="R288" i="2"/>
  <c r="R284" i="2"/>
  <c r="R280" i="2"/>
  <c r="R276" i="2"/>
  <c r="R317" i="2"/>
  <c r="R313" i="2"/>
  <c r="R309" i="2"/>
  <c r="R305" i="2"/>
  <c r="R301" i="2"/>
  <c r="R297" i="2"/>
  <c r="R293" i="2"/>
  <c r="R289" i="2"/>
  <c r="R285" i="2"/>
  <c r="R281" i="2"/>
  <c r="R277" i="2"/>
  <c r="R273" i="2"/>
  <c r="R269" i="2"/>
  <c r="R265" i="2"/>
  <c r="R261" i="2"/>
  <c r="R257" i="2"/>
  <c r="R253" i="2"/>
  <c r="R249" i="2"/>
  <c r="R245" i="2"/>
  <c r="R241" i="2"/>
  <c r="R237" i="2"/>
  <c r="R233" i="2"/>
  <c r="R229" i="2"/>
  <c r="R225" i="2"/>
  <c r="R221" i="2"/>
  <c r="R217" i="2"/>
  <c r="R213" i="2"/>
  <c r="R209" i="2"/>
  <c r="R205" i="2"/>
  <c r="R201" i="2"/>
  <c r="R197" i="2"/>
  <c r="R193" i="2"/>
  <c r="R189" i="2"/>
  <c r="R185" i="2"/>
  <c r="R274" i="2"/>
  <c r="R270" i="2"/>
  <c r="R266" i="2"/>
  <c r="R262" i="2"/>
  <c r="R258" i="2"/>
  <c r="R254" i="2"/>
  <c r="R250" i="2"/>
  <c r="R246" i="2"/>
  <c r="R242" i="2"/>
  <c r="R238" i="2"/>
  <c r="R234" i="2"/>
  <c r="R230" i="2"/>
  <c r="R226" i="2"/>
  <c r="R222" i="2"/>
  <c r="R218" i="2"/>
  <c r="R214" i="2"/>
  <c r="R210" i="2"/>
  <c r="R206" i="2"/>
  <c r="R202" i="2"/>
  <c r="R198" i="2"/>
  <c r="R194" i="2"/>
  <c r="R190" i="2"/>
  <c r="R186" i="2"/>
  <c r="R275" i="2"/>
  <c r="R271" i="2"/>
  <c r="R267" i="2"/>
  <c r="R263" i="2"/>
  <c r="R259" i="2"/>
  <c r="R255" i="2"/>
  <c r="R251" i="2"/>
  <c r="R247" i="2"/>
  <c r="R243" i="2"/>
  <c r="R239" i="2"/>
  <c r="R235" i="2"/>
  <c r="R231" i="2"/>
  <c r="R227" i="2"/>
  <c r="R223" i="2"/>
  <c r="R219" i="2"/>
  <c r="R215" i="2"/>
  <c r="R211" i="2"/>
  <c r="R207" i="2"/>
  <c r="R203" i="2"/>
  <c r="R199" i="2"/>
  <c r="R195" i="2"/>
  <c r="R191" i="2"/>
  <c r="R187" i="2"/>
  <c r="R268" i="2"/>
  <c r="R252" i="2"/>
  <c r="R236" i="2"/>
  <c r="R220" i="2"/>
  <c r="R204" i="2"/>
  <c r="R188" i="2"/>
  <c r="R181" i="2"/>
  <c r="R177" i="2"/>
  <c r="R173" i="2"/>
  <c r="R169" i="2"/>
  <c r="R165" i="2"/>
  <c r="R161" i="2"/>
  <c r="R157" i="2"/>
  <c r="R153" i="2"/>
  <c r="R149" i="2"/>
  <c r="R145" i="2"/>
  <c r="R141" i="2"/>
  <c r="R137" i="2"/>
  <c r="R133" i="2"/>
  <c r="R129" i="2"/>
  <c r="R125" i="2"/>
  <c r="R121" i="2"/>
  <c r="R117" i="2"/>
  <c r="R113" i="2"/>
  <c r="R272" i="2"/>
  <c r="R256" i="2"/>
  <c r="R240" i="2"/>
  <c r="R224" i="2"/>
  <c r="R208" i="2"/>
  <c r="R192" i="2"/>
  <c r="R182" i="2"/>
  <c r="R178" i="2"/>
  <c r="R174" i="2"/>
  <c r="R170" i="2"/>
  <c r="R166" i="2"/>
  <c r="R162" i="2"/>
  <c r="R158" i="2"/>
  <c r="R154" i="2"/>
  <c r="R150" i="2"/>
  <c r="R146" i="2"/>
  <c r="R142" i="2"/>
  <c r="R138" i="2"/>
  <c r="R134" i="2"/>
  <c r="R130" i="2"/>
  <c r="R126" i="2"/>
  <c r="R122" i="2"/>
  <c r="R118" i="2"/>
  <c r="R114" i="2"/>
  <c r="R110" i="2"/>
  <c r="R260" i="2"/>
  <c r="R244" i="2"/>
  <c r="R228" i="2"/>
  <c r="R212" i="2"/>
  <c r="R196" i="2"/>
  <c r="R183" i="2"/>
  <c r="R179" i="2"/>
  <c r="R175" i="2"/>
  <c r="R171" i="2"/>
  <c r="R167" i="2"/>
  <c r="R163" i="2"/>
  <c r="R159" i="2"/>
  <c r="R155" i="2"/>
  <c r="R151" i="2"/>
  <c r="R147" i="2"/>
  <c r="R143" i="2"/>
  <c r="R139" i="2"/>
  <c r="R135" i="2"/>
  <c r="R131" i="2"/>
  <c r="R127" i="2"/>
  <c r="R123" i="2"/>
  <c r="R119" i="2"/>
  <c r="R115" i="2"/>
  <c r="R111" i="2"/>
  <c r="R232" i="2"/>
  <c r="R164" i="2"/>
  <c r="R148" i="2"/>
  <c r="R107" i="2"/>
  <c r="R103" i="2"/>
  <c r="R99" i="2"/>
  <c r="R95" i="2"/>
  <c r="R91" i="2"/>
  <c r="R87" i="2"/>
  <c r="R83" i="2"/>
  <c r="R144" i="2"/>
  <c r="R128" i="2"/>
  <c r="R112" i="2"/>
  <c r="R248" i="2"/>
  <c r="R184" i="2"/>
  <c r="R168" i="2"/>
  <c r="R152" i="2"/>
  <c r="R108" i="2"/>
  <c r="R104" i="2"/>
  <c r="R100" i="2"/>
  <c r="R96" i="2"/>
  <c r="R92" i="2"/>
  <c r="R88" i="2"/>
  <c r="R84" i="2"/>
  <c r="R140" i="2"/>
  <c r="R124" i="2"/>
  <c r="R264" i="2"/>
  <c r="R200" i="2"/>
  <c r="R180" i="2"/>
  <c r="R172" i="2"/>
  <c r="R156" i="2"/>
  <c r="R109" i="2"/>
  <c r="R105" i="2"/>
  <c r="R101" i="2"/>
  <c r="R97" i="2"/>
  <c r="R93" i="2"/>
  <c r="R89" i="2"/>
  <c r="R85" i="2"/>
  <c r="R81" i="2"/>
  <c r="R80" i="2"/>
  <c r="R136" i="2"/>
  <c r="R120" i="2"/>
  <c r="R216" i="2"/>
  <c r="R176" i="2"/>
  <c r="R160" i="2"/>
  <c r="R106" i="2"/>
  <c r="R102" i="2"/>
  <c r="R98" i="2"/>
  <c r="R94" i="2"/>
  <c r="R90" i="2"/>
  <c r="R86" i="2"/>
  <c r="R82" i="2"/>
  <c r="R132" i="2"/>
  <c r="R116" i="2"/>
  <c r="R79" i="2"/>
  <c r="AH46" i="1"/>
  <c r="AB80" i="2" l="1"/>
  <c r="AC81" i="2" s="1"/>
  <c r="AE80" i="2"/>
  <c r="L67" i="5"/>
  <c r="L68" i="5"/>
  <c r="AW230" i="1"/>
  <c r="AY230" i="1"/>
  <c r="AZ230" i="1" s="1"/>
  <c r="BB230" i="1" s="1"/>
  <c r="AE356" i="3"/>
  <c r="D77" i="35"/>
  <c r="N295" i="3"/>
  <c r="J300" i="6" s="1"/>
  <c r="J306" i="6" s="1"/>
  <c r="E28" i="3" s="1"/>
  <c r="F28" i="2"/>
  <c r="L80" i="2"/>
  <c r="O47" i="5"/>
  <c r="T47" i="5" s="1"/>
  <c r="Y47" i="5" s="1"/>
  <c r="Y48" i="5" s="1"/>
  <c r="T35" i="5"/>
  <c r="U35" i="5" s="1"/>
  <c r="H18" i="2" s="1"/>
  <c r="M356" i="3"/>
  <c r="U80" i="2"/>
  <c r="T80" i="2"/>
  <c r="S80" i="2" s="1"/>
  <c r="T81" i="2" s="1"/>
  <c r="S81" i="2" s="1"/>
  <c r="T82" i="2" s="1"/>
  <c r="AD357" i="3"/>
  <c r="AC357" i="3"/>
  <c r="AA357" i="3" s="1"/>
  <c r="U23" i="5"/>
  <c r="Z23" i="5" s="1"/>
  <c r="T16" i="5"/>
  <c r="Y16" i="5" s="1"/>
  <c r="U25" i="5"/>
  <c r="Z25" i="5" s="1"/>
  <c r="U14" i="5"/>
  <c r="Z14" i="5" s="1"/>
  <c r="L65" i="5"/>
  <c r="T36" i="5"/>
  <c r="U36" i="5" s="1"/>
  <c r="Y58" i="5"/>
  <c r="K5" i="35"/>
  <c r="C26" i="35" s="1"/>
  <c r="B8" i="30"/>
  <c r="F80" i="5"/>
  <c r="L64" i="5"/>
  <c r="E29" i="29"/>
  <c r="D29" i="29"/>
  <c r="G29" i="29"/>
  <c r="F29" i="29"/>
  <c r="B10" i="30"/>
  <c r="B18" i="35"/>
  <c r="Z58" i="5"/>
  <c r="U26" i="5"/>
  <c r="Z26" i="5" s="1"/>
  <c r="T23" i="5"/>
  <c r="Y23" i="5" s="1"/>
  <c r="U15" i="5"/>
  <c r="Z15" i="5" s="1"/>
  <c r="E107" i="2"/>
  <c r="T25" i="5"/>
  <c r="Y25" i="5" s="1"/>
  <c r="E17" i="29"/>
  <c r="E16" i="29" s="1"/>
  <c r="E15" i="29"/>
  <c r="E14" i="29" s="1"/>
  <c r="E23" i="29"/>
  <c r="E22" i="29" s="1"/>
  <c r="E13" i="29"/>
  <c r="E12" i="29" s="1"/>
  <c r="E19" i="29"/>
  <c r="E18" i="29" s="1"/>
  <c r="E21" i="29"/>
  <c r="E20" i="29" s="1"/>
  <c r="E10" i="29"/>
  <c r="U27" i="5"/>
  <c r="Z27" i="5" s="1"/>
  <c r="O13" i="5"/>
  <c r="AG10" i="5"/>
  <c r="U17" i="5"/>
  <c r="Z17" i="5" s="1"/>
  <c r="U24" i="5"/>
  <c r="Z24" i="5" s="1"/>
  <c r="T17" i="5"/>
  <c r="Y17" i="5" s="1"/>
  <c r="T15" i="5"/>
  <c r="Y15" i="5" s="1"/>
  <c r="F13" i="29"/>
  <c r="F12" i="29" s="1"/>
  <c r="F23" i="29"/>
  <c r="F22" i="29" s="1"/>
  <c r="F21" i="29"/>
  <c r="F20" i="29" s="1"/>
  <c r="F10" i="29"/>
  <c r="F19" i="29"/>
  <c r="F18" i="29" s="1"/>
  <c r="F15" i="29"/>
  <c r="F14" i="29" s="1"/>
  <c r="F17" i="29"/>
  <c r="F16" i="29" s="1"/>
  <c r="Z48" i="5"/>
  <c r="T27" i="5"/>
  <c r="Y27" i="5" s="1"/>
  <c r="U356" i="3"/>
  <c r="V356" i="3" s="1"/>
  <c r="L66" i="5"/>
  <c r="AK80" i="2"/>
  <c r="AJ80" i="2"/>
  <c r="AL80" i="2" s="1"/>
  <c r="D356" i="3"/>
  <c r="G23" i="29"/>
  <c r="G22" i="29" s="1"/>
  <c r="G21" i="29"/>
  <c r="G20" i="29" s="1"/>
  <c r="G10" i="29"/>
  <c r="G19" i="29"/>
  <c r="G18" i="29" s="1"/>
  <c r="G15" i="29"/>
  <c r="G14" i="29" s="1"/>
  <c r="G17" i="29"/>
  <c r="G16" i="29" s="1"/>
  <c r="G13" i="29"/>
  <c r="G12" i="29" s="1"/>
  <c r="T24" i="5"/>
  <c r="Y24" i="5" s="1"/>
  <c r="AP223" i="1"/>
  <c r="AM223" i="1"/>
  <c r="D19" i="29"/>
  <c r="D18" i="29" s="1"/>
  <c r="D17" i="29"/>
  <c r="D16" i="29" s="1"/>
  <c r="D13" i="29"/>
  <c r="D12" i="29" s="1"/>
  <c r="D15" i="29"/>
  <c r="D14" i="29" s="1"/>
  <c r="D10" i="29"/>
  <c r="D23" i="29"/>
  <c r="D22" i="29" s="1"/>
  <c r="D21" i="29"/>
  <c r="D20" i="29" s="1"/>
  <c r="F30" i="35"/>
  <c r="E30" i="35"/>
  <c r="T6" i="5"/>
  <c r="U6" i="5" s="1"/>
  <c r="T5" i="5"/>
  <c r="U5" i="5" s="1"/>
  <c r="N275" i="3" s="1"/>
  <c r="T26" i="5"/>
  <c r="Y26" i="5" s="1"/>
  <c r="T14" i="5"/>
  <c r="Y14" i="5" s="1"/>
  <c r="AH10" i="5"/>
  <c r="P13" i="5"/>
  <c r="U16" i="5"/>
  <c r="Z16" i="5" s="1"/>
  <c r="U357" i="3"/>
  <c r="T357" i="3"/>
  <c r="AB81" i="2"/>
  <c r="AC82" i="2" s="1"/>
  <c r="G81" i="2"/>
  <c r="J81" i="2"/>
  <c r="AD81" i="2" l="1"/>
  <c r="AE81" i="2" s="1"/>
  <c r="AC26" i="5"/>
  <c r="AC25" i="5"/>
  <c r="D68" i="35"/>
  <c r="I300" i="6"/>
  <c r="I306" i="6" s="1"/>
  <c r="B57" i="2" s="1"/>
  <c r="M68" i="5"/>
  <c r="AW231" i="1"/>
  <c r="AY231" i="1"/>
  <c r="AZ231" i="1" s="1"/>
  <c r="BB231" i="1" s="1"/>
  <c r="AQ224" i="1"/>
  <c r="AQ225" i="1" s="1"/>
  <c r="AQ226" i="1" s="1"/>
  <c r="AQ227" i="1" s="1"/>
  <c r="AQ228" i="1" s="1"/>
  <c r="AQ229" i="1" s="1"/>
  <c r="AQ230" i="1" s="1"/>
  <c r="AQ231" i="1" s="1"/>
  <c r="AQ232" i="1" s="1"/>
  <c r="AQ233" i="1" s="1"/>
  <c r="AQ234" i="1" s="1"/>
  <c r="AQ235" i="1" s="1"/>
  <c r="AQ236" i="1" s="1"/>
  <c r="AQ237" i="1" s="1"/>
  <c r="AQ238" i="1" s="1"/>
  <c r="AQ239" i="1" s="1"/>
  <c r="AQ240" i="1" s="1"/>
  <c r="AQ241" i="1" s="1"/>
  <c r="AQ242" i="1" s="1"/>
  <c r="AQ243" i="1" s="1"/>
  <c r="AQ244" i="1" s="1"/>
  <c r="AQ245" i="1" s="1"/>
  <c r="AQ246" i="1" s="1"/>
  <c r="AQ247" i="1" s="1"/>
  <c r="AQ248" i="1" s="1"/>
  <c r="AQ249" i="1" s="1"/>
  <c r="AQ250" i="1" s="1"/>
  <c r="AQ251" i="1" s="1"/>
  <c r="AQ252" i="1" s="1"/>
  <c r="AQ253" i="1" s="1"/>
  <c r="AQ254" i="1" s="1"/>
  <c r="AQ255" i="1" s="1"/>
  <c r="AQ256" i="1" s="1"/>
  <c r="AQ257" i="1" s="1"/>
  <c r="AQ258" i="1" s="1"/>
  <c r="AQ259" i="1" s="1"/>
  <c r="AQ260" i="1" s="1"/>
  <c r="AQ261" i="1" s="1"/>
  <c r="AQ262" i="1" s="1"/>
  <c r="AQ263" i="1" s="1"/>
  <c r="AQ264" i="1" s="1"/>
  <c r="AQ265" i="1" s="1"/>
  <c r="AQ266" i="1" s="1"/>
  <c r="AQ267" i="1" s="1"/>
  <c r="AQ268" i="1" s="1"/>
  <c r="AQ269" i="1" s="1"/>
  <c r="AQ270" i="1" s="1"/>
  <c r="AQ271" i="1" s="1"/>
  <c r="AQ272" i="1" s="1"/>
  <c r="AQ273" i="1" s="1"/>
  <c r="AQ274" i="1" s="1"/>
  <c r="AQ275" i="1" s="1"/>
  <c r="AQ276" i="1" s="1"/>
  <c r="AQ277" i="1" s="1"/>
  <c r="AQ278" i="1" s="1"/>
  <c r="AQ279" i="1" s="1"/>
  <c r="AQ280" i="1" s="1"/>
  <c r="AQ281" i="1" s="1"/>
  <c r="AQ282" i="1" s="1"/>
  <c r="AQ283" i="1" s="1"/>
  <c r="AQ284" i="1" s="1"/>
  <c r="AQ285" i="1" s="1"/>
  <c r="AQ286" i="1" s="1"/>
  <c r="AQ287" i="1" s="1"/>
  <c r="AQ288" i="1" s="1"/>
  <c r="AQ289" i="1" s="1"/>
  <c r="AQ290" i="1" s="1"/>
  <c r="AQ291" i="1" s="1"/>
  <c r="AQ292" i="1" s="1"/>
  <c r="AQ293" i="1" s="1"/>
  <c r="AQ294" i="1" s="1"/>
  <c r="AQ295" i="1" s="1"/>
  <c r="AQ296" i="1" s="1"/>
  <c r="AQ297" i="1" s="1"/>
  <c r="AQ298" i="1" s="1"/>
  <c r="AQ299" i="1" s="1"/>
  <c r="AQ300" i="1" s="1"/>
  <c r="AQ301" i="1" s="1"/>
  <c r="AQ302" i="1" s="1"/>
  <c r="AQ303" i="1" s="1"/>
  <c r="AQ304" i="1" s="1"/>
  <c r="AQ305" i="1" s="1"/>
  <c r="AQ306" i="1" s="1"/>
  <c r="AQ307" i="1" s="1"/>
  <c r="AQ308" i="1" s="1"/>
  <c r="AQ309" i="1" s="1"/>
  <c r="AQ310" i="1" s="1"/>
  <c r="AQ311" i="1" s="1"/>
  <c r="AQ312" i="1" s="1"/>
  <c r="AQ313" i="1" s="1"/>
  <c r="AQ314" i="1" s="1"/>
  <c r="AQ315" i="1" s="1"/>
  <c r="AQ316" i="1" s="1"/>
  <c r="AQ317" i="1" s="1"/>
  <c r="AQ318" i="1" s="1"/>
  <c r="AQ319" i="1" s="1"/>
  <c r="AQ320" i="1" s="1"/>
  <c r="AQ321" i="1" s="1"/>
  <c r="AQ322" i="1" s="1"/>
  <c r="AQ323" i="1" s="1"/>
  <c r="AQ324" i="1" s="1"/>
  <c r="AQ325" i="1" s="1"/>
  <c r="AQ326" i="1" s="1"/>
  <c r="AQ327" i="1" s="1"/>
  <c r="AQ328" i="1" s="1"/>
  <c r="AQ329" i="1" s="1"/>
  <c r="AQ330" i="1" s="1"/>
  <c r="AQ331" i="1" s="1"/>
  <c r="AQ332" i="1" s="1"/>
  <c r="AQ333" i="1" s="1"/>
  <c r="AQ334" i="1" s="1"/>
  <c r="AQ335" i="1" s="1"/>
  <c r="AQ336" i="1" s="1"/>
  <c r="AQ337" i="1" s="1"/>
  <c r="AQ338" i="1" s="1"/>
  <c r="AQ339" i="1" s="1"/>
  <c r="AQ340" i="1" s="1"/>
  <c r="AQ341" i="1" s="1"/>
  <c r="AQ342" i="1" s="1"/>
  <c r="AQ343" i="1" s="1"/>
  <c r="AQ344" i="1" s="1"/>
  <c r="AQ345" i="1" s="1"/>
  <c r="AQ346" i="1" s="1"/>
  <c r="AQ347" i="1" s="1"/>
  <c r="AQ348" i="1" s="1"/>
  <c r="AQ349" i="1" s="1"/>
  <c r="AQ350" i="1" s="1"/>
  <c r="AQ351" i="1" s="1"/>
  <c r="AQ352" i="1" s="1"/>
  <c r="AQ353" i="1" s="1"/>
  <c r="AQ354" i="1" s="1"/>
  <c r="AQ355" i="1" s="1"/>
  <c r="AQ356" i="1" s="1"/>
  <c r="AQ357" i="1" s="1"/>
  <c r="AQ358" i="1" s="1"/>
  <c r="AQ359" i="1" s="1"/>
  <c r="AQ360" i="1" s="1"/>
  <c r="AQ361" i="1" s="1"/>
  <c r="AQ362" i="1" s="1"/>
  <c r="AQ363" i="1" s="1"/>
  <c r="AQ364" i="1" s="1"/>
  <c r="AQ365" i="1" s="1"/>
  <c r="AQ366" i="1" s="1"/>
  <c r="AQ367" i="1" s="1"/>
  <c r="AQ368" i="1" s="1"/>
  <c r="AQ369" i="1" s="1"/>
  <c r="AQ370" i="1" s="1"/>
  <c r="AQ371" i="1" s="1"/>
  <c r="AQ372" i="1" s="1"/>
  <c r="AQ373" i="1" s="1"/>
  <c r="AQ374" i="1" s="1"/>
  <c r="AQ375" i="1" s="1"/>
  <c r="AQ376" i="1" s="1"/>
  <c r="AQ377" i="1" s="1"/>
  <c r="AQ378" i="1" s="1"/>
  <c r="AQ379" i="1" s="1"/>
  <c r="AQ380" i="1" s="1"/>
  <c r="AQ381" i="1" s="1"/>
  <c r="AQ382" i="1" s="1"/>
  <c r="AQ383" i="1" s="1"/>
  <c r="AQ384" i="1" s="1"/>
  <c r="AQ385" i="1" s="1"/>
  <c r="AQ386" i="1" s="1"/>
  <c r="AQ387" i="1" s="1"/>
  <c r="AQ388" i="1" s="1"/>
  <c r="AQ389" i="1" s="1"/>
  <c r="AQ390" i="1" s="1"/>
  <c r="AQ391" i="1" s="1"/>
  <c r="AQ392" i="1" s="1"/>
  <c r="AQ393" i="1" s="1"/>
  <c r="AQ394" i="1" s="1"/>
  <c r="AQ395" i="1" s="1"/>
  <c r="AQ396" i="1" s="1"/>
  <c r="AQ397" i="1" s="1"/>
  <c r="AQ398" i="1" s="1"/>
  <c r="AQ399" i="1" s="1"/>
  <c r="AQ400" i="1" s="1"/>
  <c r="AQ401" i="1" s="1"/>
  <c r="AQ402" i="1" s="1"/>
  <c r="AQ403" i="1" s="1"/>
  <c r="AQ404" i="1" s="1"/>
  <c r="AQ405" i="1" s="1"/>
  <c r="AQ406" i="1" s="1"/>
  <c r="AQ407" i="1" s="1"/>
  <c r="AQ408" i="1" s="1"/>
  <c r="AQ409" i="1" s="1"/>
  <c r="AQ410" i="1" s="1"/>
  <c r="AQ411" i="1" s="1"/>
  <c r="AQ412" i="1" s="1"/>
  <c r="AQ413" i="1" s="1"/>
  <c r="AQ414" i="1" s="1"/>
  <c r="AQ415" i="1" s="1"/>
  <c r="AQ416" i="1" s="1"/>
  <c r="AQ417" i="1" s="1"/>
  <c r="AQ418" i="1" s="1"/>
  <c r="AQ419" i="1" s="1"/>
  <c r="AQ420" i="1" s="1"/>
  <c r="AQ421" i="1" s="1"/>
  <c r="AQ422" i="1" s="1"/>
  <c r="AQ423" i="1" s="1"/>
  <c r="AQ424" i="1" s="1"/>
  <c r="AQ425" i="1" s="1"/>
  <c r="AQ426" i="1" s="1"/>
  <c r="AQ427" i="1" s="1"/>
  <c r="AQ428" i="1" s="1"/>
  <c r="AQ429" i="1" s="1"/>
  <c r="AQ430" i="1" s="1"/>
  <c r="AQ431" i="1" s="1"/>
  <c r="AQ432" i="1" s="1"/>
  <c r="AQ433" i="1" s="1"/>
  <c r="AQ434" i="1" s="1"/>
  <c r="AQ435" i="1" s="1"/>
  <c r="AQ436" i="1" s="1"/>
  <c r="AQ437" i="1" s="1"/>
  <c r="AQ438" i="1" s="1"/>
  <c r="AQ439" i="1" s="1"/>
  <c r="AQ440" i="1" s="1"/>
  <c r="AQ441" i="1" s="1"/>
  <c r="AQ442" i="1" s="1"/>
  <c r="AQ443" i="1" s="1"/>
  <c r="AQ444" i="1" s="1"/>
  <c r="AQ445" i="1" s="1"/>
  <c r="AQ446" i="1" s="1"/>
  <c r="AQ447" i="1" s="1"/>
  <c r="AQ448" i="1" s="1"/>
  <c r="AQ449" i="1" s="1"/>
  <c r="AQ450" i="1" s="1"/>
  <c r="AQ451" i="1" s="1"/>
  <c r="AQ452" i="1" s="1"/>
  <c r="AQ453" i="1" s="1"/>
  <c r="AQ454" i="1" s="1"/>
  <c r="AQ455" i="1" s="1"/>
  <c r="AQ456" i="1" s="1"/>
  <c r="AQ457" i="1" s="1"/>
  <c r="AQ458" i="1" s="1"/>
  <c r="AQ459" i="1" s="1"/>
  <c r="AQ460" i="1" s="1"/>
  <c r="AQ461" i="1" s="1"/>
  <c r="AQ462" i="1" s="1"/>
  <c r="U81" i="2"/>
  <c r="V81" i="2" s="1"/>
  <c r="L81" i="2"/>
  <c r="M65" i="5"/>
  <c r="C77" i="35"/>
  <c r="E77" i="35" s="1"/>
  <c r="V80" i="2"/>
  <c r="AB58" i="5"/>
  <c r="O36" i="5" s="1"/>
  <c r="AE357" i="3"/>
  <c r="Z28" i="5"/>
  <c r="V357" i="3"/>
  <c r="AC24" i="5"/>
  <c r="M66" i="5"/>
  <c r="AB48" i="5"/>
  <c r="P35" i="5" s="1"/>
  <c r="N35" i="5" s="1"/>
  <c r="S35" i="5" s="1"/>
  <c r="AC27" i="5"/>
  <c r="AS223" i="1"/>
  <c r="AT223" i="1"/>
  <c r="C19" i="4"/>
  <c r="N285" i="3"/>
  <c r="C21" i="4" s="1"/>
  <c r="L69" i="5"/>
  <c r="Y28" i="5"/>
  <c r="AC23" i="5"/>
  <c r="R357" i="3"/>
  <c r="U358" i="3" s="1"/>
  <c r="N357" i="3"/>
  <c r="D357" i="3"/>
  <c r="G77" i="35"/>
  <c r="M67" i="5"/>
  <c r="E108" i="2"/>
  <c r="F33" i="29"/>
  <c r="F32" i="29" s="1"/>
  <c r="F41" i="29"/>
  <c r="F40" i="29" s="1"/>
  <c r="F39" i="29"/>
  <c r="F38" i="29" s="1"/>
  <c r="F28" i="29"/>
  <c r="F35" i="29"/>
  <c r="F34" i="29" s="1"/>
  <c r="F31" i="29"/>
  <c r="F30" i="29" s="1"/>
  <c r="F37" i="29"/>
  <c r="F36" i="29" s="1"/>
  <c r="AH11" i="5"/>
  <c r="U13" i="5"/>
  <c r="Z13" i="5" s="1"/>
  <c r="Z18" i="5" s="1"/>
  <c r="G31" i="29"/>
  <c r="G30" i="29" s="1"/>
  <c r="G41" i="29"/>
  <c r="G40" i="29" s="1"/>
  <c r="G39" i="29"/>
  <c r="G38" i="29" s="1"/>
  <c r="G37" i="29"/>
  <c r="G36" i="29" s="1"/>
  <c r="G28" i="29"/>
  <c r="G33" i="29"/>
  <c r="G32" i="29" s="1"/>
  <c r="G35" i="29"/>
  <c r="G34" i="29" s="1"/>
  <c r="AO224" i="1"/>
  <c r="AP224" i="1" s="1"/>
  <c r="AM224" i="1"/>
  <c r="E35" i="29"/>
  <c r="E34" i="29" s="1"/>
  <c r="E41" i="29"/>
  <c r="E40" i="29" s="1"/>
  <c r="E37" i="29"/>
  <c r="E36" i="29" s="1"/>
  <c r="E33" i="29"/>
  <c r="E32" i="29" s="1"/>
  <c r="E39" i="29"/>
  <c r="E38" i="29" s="1"/>
  <c r="E28" i="29"/>
  <c r="E31" i="29"/>
  <c r="E30" i="29" s="1"/>
  <c r="AG11" i="5"/>
  <c r="T13" i="5"/>
  <c r="Y13" i="5" s="1"/>
  <c r="Y18" i="5" s="1"/>
  <c r="AK81" i="2"/>
  <c r="AJ81" i="2"/>
  <c r="AL81" i="2" s="1"/>
  <c r="D37" i="29"/>
  <c r="D36" i="29" s="1"/>
  <c r="D28" i="29"/>
  <c r="D31" i="29"/>
  <c r="D30" i="29" s="1"/>
  <c r="D33" i="29"/>
  <c r="D32" i="29" s="1"/>
  <c r="D39" i="29"/>
  <c r="D38" i="29" s="1"/>
  <c r="D41" i="29"/>
  <c r="D40" i="29" s="1"/>
  <c r="D35" i="29"/>
  <c r="D34" i="29" s="1"/>
  <c r="AD358" i="3"/>
  <c r="AC358" i="3"/>
  <c r="U82" i="2"/>
  <c r="V82" i="2" s="1"/>
  <c r="S82" i="2"/>
  <c r="T83" i="2" s="1"/>
  <c r="G82" i="2"/>
  <c r="J82" i="2"/>
  <c r="AB82" i="2"/>
  <c r="AC83" i="2" s="1"/>
  <c r="AD82" i="2"/>
  <c r="AE82" i="2" s="1"/>
  <c r="AW232" i="1" l="1"/>
  <c r="AY232" i="1"/>
  <c r="AZ232" i="1" s="1"/>
  <c r="BB232" i="1" s="1"/>
  <c r="AR223" i="1"/>
  <c r="M36" i="5"/>
  <c r="P36" i="5"/>
  <c r="N36" i="5" s="1"/>
  <c r="S36" i="5" s="1"/>
  <c r="L36" i="5"/>
  <c r="K36" i="5"/>
  <c r="L82" i="2"/>
  <c r="M357" i="3"/>
  <c r="AB28" i="5"/>
  <c r="K6" i="5" s="1"/>
  <c r="T358" i="3"/>
  <c r="V358" i="3" s="1"/>
  <c r="M35" i="5"/>
  <c r="Q35" i="5" s="1"/>
  <c r="K35" i="5"/>
  <c r="G3" i="2" s="1"/>
  <c r="AB18" i="5"/>
  <c r="K5" i="5" s="1"/>
  <c r="E283" i="3" s="1"/>
  <c r="O35" i="5"/>
  <c r="L35" i="5"/>
  <c r="AM225" i="1"/>
  <c r="AO225" i="1"/>
  <c r="AP225" i="1" s="1"/>
  <c r="AE358" i="3"/>
  <c r="E109" i="2"/>
  <c r="D358" i="3"/>
  <c r="N358" i="3"/>
  <c r="G78" i="35"/>
  <c r="D78" i="35"/>
  <c r="AT224" i="1"/>
  <c r="AR224" i="1"/>
  <c r="AS224" i="1"/>
  <c r="AK82" i="2"/>
  <c r="AJ82" i="2"/>
  <c r="AL82" i="2" s="1"/>
  <c r="AA358" i="3"/>
  <c r="AB83" i="2"/>
  <c r="AC84" i="2" s="1"/>
  <c r="AD83" i="2"/>
  <c r="AE83" i="2" s="1"/>
  <c r="U83" i="2"/>
  <c r="V83" i="2" s="1"/>
  <c r="S83" i="2"/>
  <c r="T84" i="2" s="1"/>
  <c r="J83" i="2"/>
  <c r="G83" i="2"/>
  <c r="AW233" i="1" l="1"/>
  <c r="AY233" i="1"/>
  <c r="AZ233" i="1" s="1"/>
  <c r="BB233" i="1" s="1"/>
  <c r="Q36" i="5"/>
  <c r="L83" i="2"/>
  <c r="M358" i="3"/>
  <c r="C79" i="35" s="1"/>
  <c r="C78" i="35"/>
  <c r="E78" i="35" s="1"/>
  <c r="O6" i="5"/>
  <c r="P6" i="5"/>
  <c r="N6" i="5" s="1"/>
  <c r="S6" i="5" s="1"/>
  <c r="M6" i="5"/>
  <c r="P5" i="5"/>
  <c r="N5" i="5" s="1"/>
  <c r="S5" i="5" s="1"/>
  <c r="L6" i="5"/>
  <c r="M5" i="5"/>
  <c r="L5" i="5"/>
  <c r="R358" i="3"/>
  <c r="U359" i="3" s="1"/>
  <c r="O5" i="5"/>
  <c r="AK83" i="2"/>
  <c r="AJ83" i="2"/>
  <c r="AL83" i="2" s="1"/>
  <c r="J3" i="2"/>
  <c r="I3" i="2"/>
  <c r="D79" i="35"/>
  <c r="AT225" i="1"/>
  <c r="AS225" i="1"/>
  <c r="AR225" i="1"/>
  <c r="N359" i="3"/>
  <c r="G79" i="35"/>
  <c r="D359" i="3"/>
  <c r="AM226" i="1"/>
  <c r="AO226" i="1"/>
  <c r="AP226" i="1" s="1"/>
  <c r="AI13" i="5"/>
  <c r="AH13" i="5"/>
  <c r="AG13" i="5"/>
  <c r="E110" i="2"/>
  <c r="AD359" i="3"/>
  <c r="AC359" i="3"/>
  <c r="S84" i="2"/>
  <c r="T85" i="2" s="1"/>
  <c r="U84" i="2"/>
  <c r="V84" i="2" s="1"/>
  <c r="G84" i="2"/>
  <c r="J84" i="2"/>
  <c r="AD84" i="2"/>
  <c r="AE84" i="2" s="1"/>
  <c r="AB84" i="2"/>
  <c r="AC85" i="2" s="1"/>
  <c r="K280" i="3" l="1"/>
  <c r="AW234" i="1"/>
  <c r="AY234" i="1"/>
  <c r="AZ234" i="1" s="1"/>
  <c r="BB234" i="1" s="1"/>
  <c r="H277" i="3"/>
  <c r="Q5" i="5"/>
  <c r="N276" i="3" s="1"/>
  <c r="N277" i="3" s="1"/>
  <c r="N272" i="3" s="1"/>
  <c r="L84" i="2"/>
  <c r="M359" i="3"/>
  <c r="Q6" i="5"/>
  <c r="T359" i="3"/>
  <c r="R359" i="3" s="1"/>
  <c r="F3" i="2"/>
  <c r="AE359" i="3"/>
  <c r="AG15" i="5"/>
  <c r="AG14" i="5"/>
  <c r="AG16" i="5"/>
  <c r="AH15" i="5"/>
  <c r="AH14" i="5"/>
  <c r="AH16" i="5"/>
  <c r="AT226" i="1"/>
  <c r="AS226" i="1"/>
  <c r="AR226" i="1"/>
  <c r="AO227" i="1"/>
  <c r="AP227" i="1" s="1"/>
  <c r="AM227" i="1"/>
  <c r="AK84" i="2"/>
  <c r="AJ84" i="2"/>
  <c r="AL84" i="2" s="1"/>
  <c r="AI15" i="5"/>
  <c r="AI14" i="5"/>
  <c r="AI16" i="5"/>
  <c r="E111" i="2"/>
  <c r="D360" i="3"/>
  <c r="N360" i="3"/>
  <c r="G80" i="35"/>
  <c r="E79" i="35"/>
  <c r="D80" i="35"/>
  <c r="AA359" i="3"/>
  <c r="S85" i="2"/>
  <c r="T86" i="2" s="1"/>
  <c r="U85" i="2"/>
  <c r="V85" i="2" s="1"/>
  <c r="AD85" i="2"/>
  <c r="AE85" i="2" s="1"/>
  <c r="AB85" i="2"/>
  <c r="AC86" i="2" s="1"/>
  <c r="G85" i="2"/>
  <c r="J85" i="2"/>
  <c r="AW235" i="1" l="1"/>
  <c r="AY235" i="1"/>
  <c r="AZ235" i="1" s="1"/>
  <c r="BB235" i="1" s="1"/>
  <c r="L85" i="2"/>
  <c r="C80" i="35"/>
  <c r="E80" i="35" s="1"/>
  <c r="M360" i="3"/>
  <c r="C81" i="35" s="1"/>
  <c r="V359" i="3"/>
  <c r="D81" i="35"/>
  <c r="AK85" i="2"/>
  <c r="AJ85" i="2"/>
  <c r="AL85" i="2" s="1"/>
  <c r="D361" i="3"/>
  <c r="G81" i="35"/>
  <c r="N361" i="3"/>
  <c r="E112" i="2"/>
  <c r="AO228" i="1"/>
  <c r="AP228" i="1" s="1"/>
  <c r="AM228" i="1"/>
  <c r="AJ16" i="5"/>
  <c r="AT227" i="1"/>
  <c r="AS227" i="1"/>
  <c r="AR227" i="1"/>
  <c r="AJ14" i="5"/>
  <c r="AJ15" i="5"/>
  <c r="AD360" i="3"/>
  <c r="AC360" i="3"/>
  <c r="U360" i="3"/>
  <c r="T360" i="3"/>
  <c r="R360" i="3" s="1"/>
  <c r="AB86" i="2"/>
  <c r="AC87" i="2" s="1"/>
  <c r="AD86" i="2"/>
  <c r="AE86" i="2" s="1"/>
  <c r="G86" i="2"/>
  <c r="J86" i="2"/>
  <c r="U86" i="2"/>
  <c r="V86" i="2" s="1"/>
  <c r="S86" i="2"/>
  <c r="T87" i="2" s="1"/>
  <c r="AW236" i="1" l="1"/>
  <c r="AY236" i="1"/>
  <c r="AZ236" i="1" s="1"/>
  <c r="BB236" i="1" s="1"/>
  <c r="L86" i="2"/>
  <c r="M361" i="3"/>
  <c r="AE360" i="3"/>
  <c r="D362" i="3"/>
  <c r="G82" i="35"/>
  <c r="N362" i="3"/>
  <c r="D82" i="35"/>
  <c r="AO229" i="1"/>
  <c r="AP229" i="1" s="1"/>
  <c r="AM229" i="1"/>
  <c r="AK86" i="2"/>
  <c r="AJ86" i="2"/>
  <c r="AL86" i="2" s="1"/>
  <c r="AS228" i="1"/>
  <c r="AR228" i="1"/>
  <c r="AT228" i="1"/>
  <c r="E81" i="35"/>
  <c r="E113" i="2"/>
  <c r="U361" i="3"/>
  <c r="T361" i="3"/>
  <c r="AA360" i="3"/>
  <c r="V360" i="3"/>
  <c r="U87" i="2"/>
  <c r="V87" i="2" s="1"/>
  <c r="S87" i="2"/>
  <c r="T88" i="2" s="1"/>
  <c r="AB87" i="2"/>
  <c r="AC88" i="2" s="1"/>
  <c r="AD87" i="2"/>
  <c r="AE87" i="2" s="1"/>
  <c r="J87" i="2"/>
  <c r="G87" i="2"/>
  <c r="AW237" i="1" l="1"/>
  <c r="AY237" i="1"/>
  <c r="AZ237" i="1" s="1"/>
  <c r="BB237" i="1" s="1"/>
  <c r="L87" i="2"/>
  <c r="C82" i="35"/>
  <c r="E82" i="35" s="1"/>
  <c r="M362" i="3"/>
  <c r="C83" i="35" s="1"/>
  <c r="V361" i="3"/>
  <c r="AR229" i="1"/>
  <c r="AS229" i="1"/>
  <c r="AT229" i="1"/>
  <c r="AK87" i="2"/>
  <c r="AJ87" i="2"/>
  <c r="AL87" i="2" s="1"/>
  <c r="D83" i="35"/>
  <c r="E114" i="2"/>
  <c r="AO230" i="1"/>
  <c r="AP230" i="1" s="1"/>
  <c r="AM230" i="1"/>
  <c r="G83" i="35"/>
  <c r="D363" i="3"/>
  <c r="N363" i="3"/>
  <c r="AD361" i="3"/>
  <c r="AC361" i="3"/>
  <c r="R361" i="3"/>
  <c r="G88" i="2"/>
  <c r="J88" i="2"/>
  <c r="S88" i="2"/>
  <c r="T89" i="2" s="1"/>
  <c r="U88" i="2"/>
  <c r="V88" i="2" s="1"/>
  <c r="AD88" i="2"/>
  <c r="AE88" i="2" s="1"/>
  <c r="AB88" i="2"/>
  <c r="AC89" i="2" s="1"/>
  <c r="AW238" i="1" l="1"/>
  <c r="AY238" i="1"/>
  <c r="AZ238" i="1" s="1"/>
  <c r="BB238" i="1" s="1"/>
  <c r="L88" i="2"/>
  <c r="M363" i="3"/>
  <c r="AE361" i="3"/>
  <c r="G84" i="35"/>
  <c r="D364" i="3"/>
  <c r="N364" i="3"/>
  <c r="AO231" i="1"/>
  <c r="AP231" i="1" s="1"/>
  <c r="AM231" i="1"/>
  <c r="AT230" i="1"/>
  <c r="AR230" i="1"/>
  <c r="AS230" i="1"/>
  <c r="AK88" i="2"/>
  <c r="AJ88" i="2"/>
  <c r="AL88" i="2" s="1"/>
  <c r="E115" i="2"/>
  <c r="D84" i="35"/>
  <c r="E83" i="35"/>
  <c r="AA361" i="3"/>
  <c r="U362" i="3"/>
  <c r="T362" i="3"/>
  <c r="AD89" i="2"/>
  <c r="AE89" i="2" s="1"/>
  <c r="AB89" i="2"/>
  <c r="AC90" i="2" s="1"/>
  <c r="G89" i="2"/>
  <c r="J89" i="2"/>
  <c r="S89" i="2"/>
  <c r="T90" i="2" s="1"/>
  <c r="U89" i="2"/>
  <c r="V89" i="2" s="1"/>
  <c r="AW239" i="1" l="1"/>
  <c r="AY239" i="1"/>
  <c r="AZ239" i="1" s="1"/>
  <c r="BB239" i="1" s="1"/>
  <c r="L89" i="2"/>
  <c r="M364" i="3"/>
  <c r="C85" i="35" s="1"/>
  <c r="C84" i="35"/>
  <c r="E84" i="35" s="1"/>
  <c r="V362" i="3"/>
  <c r="AO232" i="1"/>
  <c r="AP232" i="1" s="1"/>
  <c r="AM232" i="1"/>
  <c r="AT231" i="1"/>
  <c r="AS231" i="1"/>
  <c r="AR231" i="1"/>
  <c r="E116" i="2"/>
  <c r="D85" i="35"/>
  <c r="G85" i="35"/>
  <c r="D365" i="3"/>
  <c r="N365" i="3"/>
  <c r="AK89" i="2"/>
  <c r="AJ89" i="2"/>
  <c r="AL89" i="2" s="1"/>
  <c r="AD362" i="3"/>
  <c r="AC362" i="3"/>
  <c r="R362" i="3"/>
  <c r="AB90" i="2"/>
  <c r="AC91" i="2" s="1"/>
  <c r="AD90" i="2"/>
  <c r="AE90" i="2" s="1"/>
  <c r="U90" i="2"/>
  <c r="V90" i="2" s="1"/>
  <c r="S90" i="2"/>
  <c r="T91" i="2" s="1"/>
  <c r="G90" i="2"/>
  <c r="J90" i="2"/>
  <c r="AW240" i="1" l="1"/>
  <c r="AY240" i="1"/>
  <c r="AZ240" i="1" s="1"/>
  <c r="BB240" i="1" s="1"/>
  <c r="L90" i="2"/>
  <c r="M365" i="3"/>
  <c r="C86" i="35" s="1"/>
  <c r="AE362" i="3"/>
  <c r="AK90" i="2"/>
  <c r="AJ90" i="2"/>
  <c r="AL90" i="2" s="1"/>
  <c r="D86" i="35"/>
  <c r="G86" i="35"/>
  <c r="D366" i="3"/>
  <c r="N366" i="3"/>
  <c r="E85" i="35"/>
  <c r="AM233" i="1"/>
  <c r="AO233" i="1"/>
  <c r="AP233" i="1" s="1"/>
  <c r="E117" i="2"/>
  <c r="AT232" i="1"/>
  <c r="AS232" i="1"/>
  <c r="AR232" i="1"/>
  <c r="U363" i="3"/>
  <c r="T363" i="3"/>
  <c r="AA362" i="3"/>
  <c r="J91" i="2"/>
  <c r="G91" i="2"/>
  <c r="AB91" i="2"/>
  <c r="AC92" i="2" s="1"/>
  <c r="AD91" i="2"/>
  <c r="AE91" i="2" s="1"/>
  <c r="U91" i="2"/>
  <c r="V91" i="2" s="1"/>
  <c r="S91" i="2"/>
  <c r="T92" i="2" s="1"/>
  <c r="AW241" i="1" l="1"/>
  <c r="AY241" i="1"/>
  <c r="AZ241" i="1" s="1"/>
  <c r="BB241" i="1" s="1"/>
  <c r="L91" i="2"/>
  <c r="M366" i="3"/>
  <c r="C87" i="35" s="1"/>
  <c r="V363" i="3"/>
  <c r="D87" i="35"/>
  <c r="D367" i="3"/>
  <c r="N367" i="3"/>
  <c r="G87" i="35"/>
  <c r="E118" i="2"/>
  <c r="AS233" i="1"/>
  <c r="AT233" i="1"/>
  <c r="AR233" i="1"/>
  <c r="E86" i="35"/>
  <c r="AM234" i="1"/>
  <c r="AO234" i="1"/>
  <c r="AP234" i="1" s="1"/>
  <c r="AK91" i="2"/>
  <c r="AJ91" i="2"/>
  <c r="AL91" i="2" s="1"/>
  <c r="R363" i="3"/>
  <c r="AD363" i="3"/>
  <c r="AC363" i="3"/>
  <c r="G92" i="2"/>
  <c r="J92" i="2"/>
  <c r="S92" i="2"/>
  <c r="T93" i="2" s="1"/>
  <c r="U92" i="2"/>
  <c r="V92" i="2" s="1"/>
  <c r="AD92" i="2"/>
  <c r="AE92" i="2" s="1"/>
  <c r="AB92" i="2"/>
  <c r="AC93" i="2" s="1"/>
  <c r="AE363" i="3" l="1"/>
  <c r="AW242" i="1"/>
  <c r="AY242" i="1"/>
  <c r="AZ242" i="1" s="1"/>
  <c r="BB242" i="1" s="1"/>
  <c r="L92" i="2"/>
  <c r="E242" i="3"/>
  <c r="H242" i="3" s="1"/>
  <c r="E282" i="3" s="1"/>
  <c r="E284" i="3" s="1"/>
  <c r="H285" i="3" s="1"/>
  <c r="M367" i="3"/>
  <c r="AT234" i="1"/>
  <c r="AS234" i="1"/>
  <c r="AR234" i="1"/>
  <c r="E119" i="2"/>
  <c r="AM235" i="1"/>
  <c r="AO235" i="1"/>
  <c r="AP235" i="1" s="1"/>
  <c r="AA363" i="3"/>
  <c r="AD364" i="3" s="1"/>
  <c r="D89" i="35"/>
  <c r="D88" i="35"/>
  <c r="G88" i="35"/>
  <c r="G89" i="35"/>
  <c r="D368" i="3"/>
  <c r="N368" i="3"/>
  <c r="AK92" i="2"/>
  <c r="AJ92" i="2"/>
  <c r="AL92" i="2" s="1"/>
  <c r="E87" i="35"/>
  <c r="U364" i="3"/>
  <c r="T364" i="3"/>
  <c r="AD93" i="2"/>
  <c r="AE93" i="2" s="1"/>
  <c r="AB93" i="2"/>
  <c r="AC94" i="2" s="1"/>
  <c r="S93" i="2"/>
  <c r="T94" i="2" s="1"/>
  <c r="U93" i="2"/>
  <c r="V93" i="2" s="1"/>
  <c r="G93" i="2"/>
  <c r="J93" i="2"/>
  <c r="AW243" i="1" l="1"/>
  <c r="AY243" i="1"/>
  <c r="AZ243" i="1" s="1"/>
  <c r="BB243" i="1" s="1"/>
  <c r="L93" i="2"/>
  <c r="H284" i="3"/>
  <c r="E285" i="3" s="1"/>
  <c r="C17" i="4" s="1"/>
  <c r="C23" i="4" s="1"/>
  <c r="C26" i="4" s="1"/>
  <c r="M368" i="3"/>
  <c r="C88" i="35"/>
  <c r="E88" i="35" s="1"/>
  <c r="C89" i="35"/>
  <c r="E89" i="35" s="1"/>
  <c r="AC364" i="3"/>
  <c r="AE364" i="3" s="1"/>
  <c r="AK93" i="2"/>
  <c r="AJ93" i="2"/>
  <c r="AL93" i="2" s="1"/>
  <c r="AT235" i="1"/>
  <c r="AS235" i="1"/>
  <c r="AR235" i="1"/>
  <c r="E120" i="2"/>
  <c r="V364" i="3"/>
  <c r="D369" i="3"/>
  <c r="N369" i="3"/>
  <c r="AO236" i="1"/>
  <c r="AP236" i="1" s="1"/>
  <c r="AM236" i="1"/>
  <c r="R364" i="3"/>
  <c r="U94" i="2"/>
  <c r="V94" i="2" s="1"/>
  <c r="S94" i="2"/>
  <c r="T95" i="2" s="1"/>
  <c r="AB94" i="2"/>
  <c r="AC95" i="2" s="1"/>
  <c r="AD94" i="2"/>
  <c r="AE94" i="2" s="1"/>
  <c r="G94" i="2"/>
  <c r="J94" i="2"/>
  <c r="AW244" i="1" l="1"/>
  <c r="AY244" i="1"/>
  <c r="AZ244" i="1" s="1"/>
  <c r="BB244" i="1" s="1"/>
  <c r="L94" i="2"/>
  <c r="M369" i="3"/>
  <c r="C31" i="4"/>
  <c r="B28" i="4"/>
  <c r="C25" i="4"/>
  <c r="C27" i="4"/>
  <c r="AA364" i="3"/>
  <c r="AD365" i="3" s="1"/>
  <c r="N370" i="3"/>
  <c r="D370" i="3"/>
  <c r="AK94" i="2"/>
  <c r="AJ94" i="2"/>
  <c r="AL94" i="2" s="1"/>
  <c r="E121" i="2"/>
  <c r="AO237" i="1"/>
  <c r="AP237" i="1" s="1"/>
  <c r="AM237" i="1"/>
  <c r="AS236" i="1"/>
  <c r="AR236" i="1"/>
  <c r="AT236" i="1"/>
  <c r="U365" i="3"/>
  <c r="T365" i="3"/>
  <c r="AB95" i="2"/>
  <c r="AC96" i="2" s="1"/>
  <c r="AD95" i="2"/>
  <c r="AE95" i="2" s="1"/>
  <c r="U95" i="2"/>
  <c r="V95" i="2" s="1"/>
  <c r="S95" i="2"/>
  <c r="T96" i="2" s="1"/>
  <c r="J95" i="2"/>
  <c r="G95" i="2"/>
  <c r="AW245" i="1" l="1"/>
  <c r="AY245" i="1"/>
  <c r="AZ245" i="1" s="1"/>
  <c r="BB245" i="1" s="1"/>
  <c r="L95" i="2"/>
  <c r="M370" i="3"/>
  <c r="AC365" i="3"/>
  <c r="AE365" i="3" s="1"/>
  <c r="V365" i="3"/>
  <c r="AO238" i="1"/>
  <c r="AP238" i="1" s="1"/>
  <c r="AM238" i="1"/>
  <c r="AR237" i="1"/>
  <c r="AT237" i="1"/>
  <c r="AS237" i="1"/>
  <c r="E122" i="2"/>
  <c r="AK95" i="2"/>
  <c r="AJ95" i="2"/>
  <c r="AL95" i="2" s="1"/>
  <c r="D371" i="3"/>
  <c r="N371" i="3"/>
  <c r="R365" i="3"/>
  <c r="S96" i="2"/>
  <c r="T97" i="2" s="1"/>
  <c r="U96" i="2"/>
  <c r="V96" i="2" s="1"/>
  <c r="G96" i="2"/>
  <c r="J96" i="2"/>
  <c r="AD96" i="2"/>
  <c r="AE96" i="2" s="1"/>
  <c r="AB96" i="2"/>
  <c r="AC97" i="2" s="1"/>
  <c r="AW246" i="1" l="1"/>
  <c r="AY246" i="1"/>
  <c r="AZ246" i="1" s="1"/>
  <c r="BB246" i="1" s="1"/>
  <c r="L96" i="2"/>
  <c r="M371" i="3"/>
  <c r="AA365" i="3"/>
  <c r="AD366" i="3" s="1"/>
  <c r="E123" i="2"/>
  <c r="AK96" i="2"/>
  <c r="AJ96" i="2"/>
  <c r="AL96" i="2" s="1"/>
  <c r="D372" i="3"/>
  <c r="N372" i="3"/>
  <c r="AO239" i="1"/>
  <c r="AP239" i="1" s="1"/>
  <c r="AM239" i="1"/>
  <c r="AR238" i="1"/>
  <c r="AT238" i="1"/>
  <c r="AS238" i="1"/>
  <c r="U366" i="3"/>
  <c r="T366" i="3"/>
  <c r="AD97" i="2"/>
  <c r="AE97" i="2" s="1"/>
  <c r="AB97" i="2"/>
  <c r="AC98" i="2" s="1"/>
  <c r="S97" i="2"/>
  <c r="T98" i="2" s="1"/>
  <c r="U97" i="2"/>
  <c r="V97" i="2" s="1"/>
  <c r="G97" i="2"/>
  <c r="J97" i="2"/>
  <c r="AW247" i="1" l="1"/>
  <c r="AY247" i="1"/>
  <c r="AZ247" i="1" s="1"/>
  <c r="BB247" i="1" s="1"/>
  <c r="L97" i="2"/>
  <c r="M372" i="3"/>
  <c r="AC366" i="3"/>
  <c r="AE366" i="3" s="1"/>
  <c r="AO240" i="1"/>
  <c r="AP240" i="1" s="1"/>
  <c r="AM240" i="1"/>
  <c r="AT239" i="1"/>
  <c r="AS239" i="1"/>
  <c r="AR239" i="1"/>
  <c r="N373" i="3"/>
  <c r="D373" i="3"/>
  <c r="AK97" i="2"/>
  <c r="AJ97" i="2"/>
  <c r="AL97" i="2" s="1"/>
  <c r="E124" i="2"/>
  <c r="V366" i="3"/>
  <c r="R366" i="3"/>
  <c r="AB98" i="2"/>
  <c r="AC99" i="2" s="1"/>
  <c r="AD98" i="2"/>
  <c r="AE98" i="2" s="1"/>
  <c r="G98" i="2"/>
  <c r="J98" i="2"/>
  <c r="U98" i="2"/>
  <c r="V98" i="2" s="1"/>
  <c r="S98" i="2"/>
  <c r="T99" i="2" s="1"/>
  <c r="AW248" i="1" l="1"/>
  <c r="AY248" i="1"/>
  <c r="AZ248" i="1" s="1"/>
  <c r="BB248" i="1" s="1"/>
  <c r="L98" i="2"/>
  <c r="M373" i="3"/>
  <c r="AA366" i="3"/>
  <c r="AD367" i="3" s="1"/>
  <c r="AK98" i="2"/>
  <c r="AJ98" i="2"/>
  <c r="AL98" i="2" s="1"/>
  <c r="AM241" i="1"/>
  <c r="AO241" i="1"/>
  <c r="AP241" i="1" s="1"/>
  <c r="N374" i="3"/>
  <c r="D374" i="3"/>
  <c r="E125" i="2"/>
  <c r="AT240" i="1"/>
  <c r="AS240" i="1"/>
  <c r="AR240" i="1"/>
  <c r="U367" i="3"/>
  <c r="T367" i="3"/>
  <c r="U99" i="2"/>
  <c r="V99" i="2" s="1"/>
  <c r="S99" i="2"/>
  <c r="T100" i="2" s="1"/>
  <c r="J99" i="2"/>
  <c r="G99" i="2"/>
  <c r="AB99" i="2"/>
  <c r="AC100" i="2" s="1"/>
  <c r="AD99" i="2"/>
  <c r="AE99" i="2" s="1"/>
  <c r="AW249" i="1" l="1"/>
  <c r="AY249" i="1"/>
  <c r="AZ249" i="1" s="1"/>
  <c r="BB249" i="1" s="1"/>
  <c r="L99" i="2"/>
  <c r="M374" i="3"/>
  <c r="AC367" i="3"/>
  <c r="AE367" i="3" s="1"/>
  <c r="V367" i="3"/>
  <c r="D375" i="3"/>
  <c r="N375" i="3"/>
  <c r="AM242" i="1"/>
  <c r="AO242" i="1"/>
  <c r="AP242" i="1" s="1"/>
  <c r="AS241" i="1"/>
  <c r="AT241" i="1"/>
  <c r="AR241" i="1"/>
  <c r="E126" i="2"/>
  <c r="AK99" i="2"/>
  <c r="AJ99" i="2"/>
  <c r="AL99" i="2" s="1"/>
  <c r="R367" i="3"/>
  <c r="G100" i="2"/>
  <c r="J100" i="2"/>
  <c r="S100" i="2"/>
  <c r="T101" i="2" s="1"/>
  <c r="U100" i="2"/>
  <c r="V100" i="2" s="1"/>
  <c r="AD100" i="2"/>
  <c r="AE100" i="2" s="1"/>
  <c r="AB100" i="2"/>
  <c r="AC101" i="2" s="1"/>
  <c r="AW250" i="1" l="1"/>
  <c r="AY250" i="1"/>
  <c r="AZ250" i="1" s="1"/>
  <c r="BB250" i="1" s="1"/>
  <c r="L100" i="2"/>
  <c r="M375" i="3"/>
  <c r="AA367" i="3"/>
  <c r="AD368" i="3" s="1"/>
  <c r="E127" i="2"/>
  <c r="AT242" i="1"/>
  <c r="AS242" i="1"/>
  <c r="AR242" i="1"/>
  <c r="AK100" i="2"/>
  <c r="AJ100" i="2"/>
  <c r="AL100" i="2" s="1"/>
  <c r="AO243" i="1"/>
  <c r="AP243" i="1" s="1"/>
  <c r="AM243" i="1"/>
  <c r="N376" i="3"/>
  <c r="D376" i="3"/>
  <c r="U368" i="3"/>
  <c r="T368" i="3"/>
  <c r="AD101" i="2"/>
  <c r="AE101" i="2" s="1"/>
  <c r="AB101" i="2"/>
  <c r="AC102" i="2" s="1"/>
  <c r="G101" i="2"/>
  <c r="J101" i="2"/>
  <c r="S101" i="2"/>
  <c r="T102" i="2" s="1"/>
  <c r="U101" i="2"/>
  <c r="V101" i="2" s="1"/>
  <c r="AW251" i="1" l="1"/>
  <c r="AY251" i="1"/>
  <c r="AZ251" i="1" s="1"/>
  <c r="BB251" i="1" s="1"/>
  <c r="L101" i="2"/>
  <c r="M376" i="3"/>
  <c r="AC368" i="3"/>
  <c r="AA368" i="3" s="1"/>
  <c r="V368" i="3"/>
  <c r="AT243" i="1"/>
  <c r="AR243" i="1"/>
  <c r="AS243" i="1"/>
  <c r="AK101" i="2"/>
  <c r="AJ101" i="2"/>
  <c r="AL101" i="2" s="1"/>
  <c r="D377" i="3"/>
  <c r="N377" i="3"/>
  <c r="E128" i="2"/>
  <c r="AO244" i="1"/>
  <c r="AP244" i="1" s="1"/>
  <c r="AM244" i="1"/>
  <c r="R368" i="3"/>
  <c r="AB102" i="2"/>
  <c r="AC103" i="2" s="1"/>
  <c r="AD102" i="2"/>
  <c r="AE102" i="2" s="1"/>
  <c r="U102" i="2"/>
  <c r="V102" i="2" s="1"/>
  <c r="S102" i="2"/>
  <c r="T103" i="2" s="1"/>
  <c r="G102" i="2"/>
  <c r="J102" i="2"/>
  <c r="AW252" i="1" l="1"/>
  <c r="AY252" i="1"/>
  <c r="AZ252" i="1" s="1"/>
  <c r="BB252" i="1" s="1"/>
  <c r="L102" i="2"/>
  <c r="M377" i="3"/>
  <c r="AE368" i="3"/>
  <c r="N378" i="3"/>
  <c r="D378" i="3"/>
  <c r="AO245" i="1"/>
  <c r="AP245" i="1" s="1"/>
  <c r="AM245" i="1"/>
  <c r="AS244" i="1"/>
  <c r="AR244" i="1"/>
  <c r="AT244" i="1"/>
  <c r="AK102" i="2"/>
  <c r="AJ102" i="2"/>
  <c r="AL102" i="2" s="1"/>
  <c r="E129" i="2"/>
  <c r="U369" i="3"/>
  <c r="T369" i="3"/>
  <c r="R369" i="3" s="1"/>
  <c r="AD369" i="3"/>
  <c r="AC369" i="3"/>
  <c r="J103" i="2"/>
  <c r="G103" i="2"/>
  <c r="AB103" i="2"/>
  <c r="AD103" i="2"/>
  <c r="AE103" i="2" s="1"/>
  <c r="U103" i="2"/>
  <c r="V103" i="2" s="1"/>
  <c r="S103" i="2"/>
  <c r="AW253" i="1" l="1"/>
  <c r="AY253" i="1"/>
  <c r="AZ253" i="1" s="1"/>
  <c r="BB253" i="1" s="1"/>
  <c r="L103" i="2"/>
  <c r="M378" i="3"/>
  <c r="AE369" i="3"/>
  <c r="AK103" i="2"/>
  <c r="AJ103" i="2"/>
  <c r="AL103" i="2" s="1"/>
  <c r="E130" i="2"/>
  <c r="AR245" i="1"/>
  <c r="AS245" i="1"/>
  <c r="AT245" i="1"/>
  <c r="AO246" i="1"/>
  <c r="AP246" i="1" s="1"/>
  <c r="AM246" i="1"/>
  <c r="D379" i="3"/>
  <c r="N379" i="3"/>
  <c r="U370" i="3"/>
  <c r="T370" i="3"/>
  <c r="AA369" i="3"/>
  <c r="V369" i="3"/>
  <c r="G104" i="2"/>
  <c r="J104" i="2"/>
  <c r="U104" i="2"/>
  <c r="T104" i="2"/>
  <c r="AD104" i="2"/>
  <c r="AC104" i="2"/>
  <c r="V104" i="2" l="1"/>
  <c r="AW254" i="1"/>
  <c r="AY254" i="1"/>
  <c r="AZ254" i="1" s="1"/>
  <c r="BB254" i="1" s="1"/>
  <c r="F26" i="2"/>
  <c r="L104" i="2"/>
  <c r="M379" i="3"/>
  <c r="C90" i="35" s="1"/>
  <c r="AE104" i="2"/>
  <c r="V370" i="3"/>
  <c r="D90" i="35"/>
  <c r="AR246" i="1"/>
  <c r="AT246" i="1"/>
  <c r="AS246" i="1"/>
  <c r="D380" i="3"/>
  <c r="N380" i="3"/>
  <c r="G90" i="35"/>
  <c r="E131" i="2"/>
  <c r="AM247" i="1"/>
  <c r="AO247" i="1"/>
  <c r="AP247" i="1" s="1"/>
  <c r="AJ104" i="2"/>
  <c r="AI104" i="2"/>
  <c r="AD370" i="3"/>
  <c r="AC370" i="3"/>
  <c r="AA370" i="3" s="1"/>
  <c r="R370" i="3"/>
  <c r="AB104" i="2"/>
  <c r="S104" i="2"/>
  <c r="G105" i="2"/>
  <c r="J105" i="2"/>
  <c r="I301" i="6" l="1"/>
  <c r="I307" i="6" s="1"/>
  <c r="B58" i="2" s="1"/>
  <c r="AW255" i="1"/>
  <c r="AY255" i="1"/>
  <c r="AZ255" i="1" s="1"/>
  <c r="BB255" i="1" s="1"/>
  <c r="L105" i="2"/>
  <c r="M380" i="3"/>
  <c r="E292" i="3"/>
  <c r="J301" i="6" s="1"/>
  <c r="J307" i="6" s="1"/>
  <c r="AL104" i="2"/>
  <c r="E90" i="35"/>
  <c r="AK104" i="2"/>
  <c r="E68" i="35"/>
  <c r="D381" i="3"/>
  <c r="N381" i="3"/>
  <c r="AO248" i="1"/>
  <c r="AP248" i="1" s="1"/>
  <c r="AM248" i="1"/>
  <c r="E132" i="2"/>
  <c r="AT247" i="1"/>
  <c r="AS247" i="1"/>
  <c r="AR247" i="1"/>
  <c r="AE370" i="3"/>
  <c r="U371" i="3"/>
  <c r="T371" i="3"/>
  <c r="AD371" i="3"/>
  <c r="AC371" i="3"/>
  <c r="AD105" i="2"/>
  <c r="AC105" i="2"/>
  <c r="G106" i="2"/>
  <c r="J106" i="2"/>
  <c r="U105" i="2"/>
  <c r="T105" i="2"/>
  <c r="W104" i="2" l="1"/>
  <c r="W100" i="2"/>
  <c r="W103" i="2"/>
  <c r="W87" i="2"/>
  <c r="W90" i="2"/>
  <c r="W89" i="2"/>
  <c r="W88" i="2"/>
  <c r="K83" i="2"/>
  <c r="K87" i="2"/>
  <c r="K91" i="2"/>
  <c r="K95" i="2"/>
  <c r="K99" i="2"/>
  <c r="K103" i="2"/>
  <c r="W96" i="2"/>
  <c r="W99" i="2"/>
  <c r="W83" i="2"/>
  <c r="W102" i="2"/>
  <c r="W86" i="2"/>
  <c r="W85" i="2"/>
  <c r="W84" i="2"/>
  <c r="K84" i="2"/>
  <c r="K88" i="2"/>
  <c r="K92" i="2"/>
  <c r="K96" i="2"/>
  <c r="K100" i="2"/>
  <c r="K104" i="2"/>
  <c r="W101" i="2"/>
  <c r="W97" i="2"/>
  <c r="W95" i="2"/>
  <c r="W98" i="2"/>
  <c r="W82" i="2"/>
  <c r="W81" i="2"/>
  <c r="K80" i="2"/>
  <c r="K81" i="2"/>
  <c r="K85" i="2"/>
  <c r="K89" i="2"/>
  <c r="K93" i="2"/>
  <c r="K97" i="2"/>
  <c r="K101" i="2"/>
  <c r="K105" i="2"/>
  <c r="W80" i="2"/>
  <c r="K94" i="2"/>
  <c r="W94" i="2"/>
  <c r="K82" i="2"/>
  <c r="K98" i="2"/>
  <c r="W93" i="2"/>
  <c r="K86" i="2"/>
  <c r="K102" i="2"/>
  <c r="W91" i="2"/>
  <c r="W92" i="2"/>
  <c r="K90" i="2"/>
  <c r="K106" i="2"/>
  <c r="AP81" i="2"/>
  <c r="AP82" i="2"/>
  <c r="AP86" i="2"/>
  <c r="AP103" i="2"/>
  <c r="AP104" i="2"/>
  <c r="AP91" i="2"/>
  <c r="AP96" i="2"/>
  <c r="AP84" i="2"/>
  <c r="AP89" i="2"/>
  <c r="AP88" i="2"/>
  <c r="AP90" i="2"/>
  <c r="AP99" i="2"/>
  <c r="AP93" i="2"/>
  <c r="AP92" i="2"/>
  <c r="AP94" i="2"/>
  <c r="AP95" i="2"/>
  <c r="AP83" i="2"/>
  <c r="AP97" i="2"/>
  <c r="AP87" i="2"/>
  <c r="AP98" i="2"/>
  <c r="AP101" i="2"/>
  <c r="AP100" i="2"/>
  <c r="AP80" i="2"/>
  <c r="AP102" i="2"/>
  <c r="AP85" i="2"/>
  <c r="AM83" i="2"/>
  <c r="AM91" i="2"/>
  <c r="AM99" i="2"/>
  <c r="AM84" i="2"/>
  <c r="AM92" i="2"/>
  <c r="AM100" i="2"/>
  <c r="AM80" i="2"/>
  <c r="AF87" i="2"/>
  <c r="AF95" i="2"/>
  <c r="AF103" i="2"/>
  <c r="AM85" i="2"/>
  <c r="AM93" i="2"/>
  <c r="AM101" i="2"/>
  <c r="AF80" i="2"/>
  <c r="AF88" i="2"/>
  <c r="AF96" i="2"/>
  <c r="AF104" i="2"/>
  <c r="AM86" i="2"/>
  <c r="AM97" i="2"/>
  <c r="AF85" i="2"/>
  <c r="AF97" i="2"/>
  <c r="AM87" i="2"/>
  <c r="AM98" i="2"/>
  <c r="AF86" i="2"/>
  <c r="AF98" i="2"/>
  <c r="AM88" i="2"/>
  <c r="AM102" i="2"/>
  <c r="AF89" i="2"/>
  <c r="AF99" i="2"/>
  <c r="AM89" i="2"/>
  <c r="AF93" i="2"/>
  <c r="AM90" i="2"/>
  <c r="AF81" i="2"/>
  <c r="AF94" i="2"/>
  <c r="AM94" i="2"/>
  <c r="AF82" i="2"/>
  <c r="AF100" i="2"/>
  <c r="AM95" i="2"/>
  <c r="AF92" i="2"/>
  <c r="N326" i="2"/>
  <c r="N334" i="2"/>
  <c r="N342" i="2"/>
  <c r="N350" i="2"/>
  <c r="N358" i="2"/>
  <c r="N366" i="2"/>
  <c r="N374" i="2"/>
  <c r="N382" i="2"/>
  <c r="N390" i="2"/>
  <c r="N398" i="2"/>
  <c r="N406" i="2"/>
  <c r="N414" i="2"/>
  <c r="N422" i="2"/>
  <c r="N430" i="2"/>
  <c r="N438" i="2"/>
  <c r="N446" i="2"/>
  <c r="N454" i="2"/>
  <c r="N462" i="2"/>
  <c r="N470" i="2"/>
  <c r="AM96" i="2"/>
  <c r="AF101" i="2"/>
  <c r="AM103" i="2"/>
  <c r="AF102" i="2"/>
  <c r="N320" i="2"/>
  <c r="N328" i="2"/>
  <c r="N336" i="2"/>
  <c r="N344" i="2"/>
  <c r="N352" i="2"/>
  <c r="N360" i="2"/>
  <c r="N368" i="2"/>
  <c r="N376" i="2"/>
  <c r="N384" i="2"/>
  <c r="N392" i="2"/>
  <c r="N400" i="2"/>
  <c r="N408" i="2"/>
  <c r="N416" i="2"/>
  <c r="N424" i="2"/>
  <c r="N432" i="2"/>
  <c r="N440" i="2"/>
  <c r="N448" i="2"/>
  <c r="N456" i="2"/>
  <c r="N464" i="2"/>
  <c r="N472" i="2"/>
  <c r="N480" i="2"/>
  <c r="N488" i="2"/>
  <c r="N496" i="2"/>
  <c r="N504" i="2"/>
  <c r="N512" i="2"/>
  <c r="N520" i="2"/>
  <c r="N528" i="2"/>
  <c r="N536" i="2"/>
  <c r="N544" i="2"/>
  <c r="N552" i="2"/>
  <c r="N560" i="2"/>
  <c r="N568" i="2"/>
  <c r="N576" i="2"/>
  <c r="N584" i="2"/>
  <c r="N592" i="2"/>
  <c r="N600" i="2"/>
  <c r="N608" i="2"/>
  <c r="N616" i="2"/>
  <c r="N624" i="2"/>
  <c r="N632" i="2"/>
  <c r="N640" i="2"/>
  <c r="AM104" i="2"/>
  <c r="AF91" i="2"/>
  <c r="N324" i="2"/>
  <c r="N335" i="2"/>
  <c r="N346" i="2"/>
  <c r="N356" i="2"/>
  <c r="N367" i="2"/>
  <c r="N378" i="2"/>
  <c r="N388" i="2"/>
  <c r="N399" i="2"/>
  <c r="N410" i="2"/>
  <c r="N420" i="2"/>
  <c r="N431" i="2"/>
  <c r="N442" i="2"/>
  <c r="N452" i="2"/>
  <c r="N463" i="2"/>
  <c r="N474" i="2"/>
  <c r="N483" i="2"/>
  <c r="N492" i="2"/>
  <c r="N501" i="2"/>
  <c r="N510" i="2"/>
  <c r="N519" i="2"/>
  <c r="N529" i="2"/>
  <c r="N538" i="2"/>
  <c r="N547" i="2"/>
  <c r="N556" i="2"/>
  <c r="N565" i="2"/>
  <c r="N574" i="2"/>
  <c r="N583" i="2"/>
  <c r="N593" i="2"/>
  <c r="N602" i="2"/>
  <c r="N611" i="2"/>
  <c r="N620" i="2"/>
  <c r="N629" i="2"/>
  <c r="N638" i="2"/>
  <c r="N647" i="2"/>
  <c r="N655" i="2"/>
  <c r="N663" i="2"/>
  <c r="N671" i="2"/>
  <c r="N679" i="2"/>
  <c r="N687" i="2"/>
  <c r="N695" i="2"/>
  <c r="N703" i="2"/>
  <c r="N711" i="2"/>
  <c r="N327" i="2"/>
  <c r="N339" i="2"/>
  <c r="N351" i="2"/>
  <c r="N363" i="2"/>
  <c r="N375" i="2"/>
  <c r="N387" i="2"/>
  <c r="N401" i="2"/>
  <c r="N412" i="2"/>
  <c r="N425" i="2"/>
  <c r="N436" i="2"/>
  <c r="N449" i="2"/>
  <c r="N460" i="2"/>
  <c r="N473" i="2"/>
  <c r="N484" i="2"/>
  <c r="N494" i="2"/>
  <c r="N505" i="2"/>
  <c r="N515" i="2"/>
  <c r="N525" i="2"/>
  <c r="N535" i="2"/>
  <c r="N546" i="2"/>
  <c r="N557" i="2"/>
  <c r="N567" i="2"/>
  <c r="N578" i="2"/>
  <c r="N588" i="2"/>
  <c r="N598" i="2"/>
  <c r="N609" i="2"/>
  <c r="N619" i="2"/>
  <c r="N630" i="2"/>
  <c r="N641" i="2"/>
  <c r="N650" i="2"/>
  <c r="N659" i="2"/>
  <c r="N668" i="2"/>
  <c r="N677" i="2"/>
  <c r="N686" i="2"/>
  <c r="N696" i="2"/>
  <c r="N705" i="2"/>
  <c r="N714" i="2"/>
  <c r="N329" i="2"/>
  <c r="N340" i="2"/>
  <c r="N353" i="2"/>
  <c r="N364" i="2"/>
  <c r="N377" i="2"/>
  <c r="N389" i="2"/>
  <c r="N402" i="2"/>
  <c r="N413" i="2"/>
  <c r="N426" i="2"/>
  <c r="N437" i="2"/>
  <c r="N450" i="2"/>
  <c r="N461" i="2"/>
  <c r="N475" i="2"/>
  <c r="N485" i="2"/>
  <c r="N495" i="2"/>
  <c r="N506" i="2"/>
  <c r="N516" i="2"/>
  <c r="N526" i="2"/>
  <c r="N537" i="2"/>
  <c r="N548" i="2"/>
  <c r="N558" i="2"/>
  <c r="N569" i="2"/>
  <c r="N579" i="2"/>
  <c r="N589" i="2"/>
  <c r="N599" i="2"/>
  <c r="N610" i="2"/>
  <c r="N621" i="2"/>
  <c r="N631" i="2"/>
  <c r="N642" i="2"/>
  <c r="N651" i="2"/>
  <c r="N660" i="2"/>
  <c r="N669" i="2"/>
  <c r="N678" i="2"/>
  <c r="N688" i="2"/>
  <c r="N697" i="2"/>
  <c r="N706" i="2"/>
  <c r="N715" i="2"/>
  <c r="N330" i="2"/>
  <c r="N341" i="2"/>
  <c r="N354" i="2"/>
  <c r="N365" i="2"/>
  <c r="N379" i="2"/>
  <c r="N391" i="2"/>
  <c r="N403" i="2"/>
  <c r="N415" i="2"/>
  <c r="N427" i="2"/>
  <c r="N439" i="2"/>
  <c r="N451" i="2"/>
  <c r="N465" i="2"/>
  <c r="N476" i="2"/>
  <c r="N486" i="2"/>
  <c r="N497" i="2"/>
  <c r="N507" i="2"/>
  <c r="N517" i="2"/>
  <c r="N527" i="2"/>
  <c r="N539" i="2"/>
  <c r="N549" i="2"/>
  <c r="N559" i="2"/>
  <c r="N570" i="2"/>
  <c r="N580" i="2"/>
  <c r="N590" i="2"/>
  <c r="N601" i="2"/>
  <c r="N612" i="2"/>
  <c r="N622" i="2"/>
  <c r="N633" i="2"/>
  <c r="N643" i="2"/>
  <c r="N652" i="2"/>
  <c r="N661" i="2"/>
  <c r="N670" i="2"/>
  <c r="N680" i="2"/>
  <c r="N689" i="2"/>
  <c r="N698" i="2"/>
  <c r="N707" i="2"/>
  <c r="N716" i="2"/>
  <c r="N332" i="2"/>
  <c r="N349" i="2"/>
  <c r="N371" i="2"/>
  <c r="N393" i="2"/>
  <c r="N409" i="2"/>
  <c r="N429" i="2"/>
  <c r="N447" i="2"/>
  <c r="N468" i="2"/>
  <c r="N487" i="2"/>
  <c r="N502" i="2"/>
  <c r="N521" i="2"/>
  <c r="N534" i="2"/>
  <c r="N553" i="2"/>
  <c r="N571" i="2"/>
  <c r="N586" i="2"/>
  <c r="N604" i="2"/>
  <c r="N618" i="2"/>
  <c r="N636" i="2"/>
  <c r="N653" i="2"/>
  <c r="N666" i="2"/>
  <c r="N682" i="2"/>
  <c r="N694" i="2"/>
  <c r="N710" i="2"/>
  <c r="N561" i="2"/>
  <c r="N701" i="2"/>
  <c r="N322" i="2"/>
  <c r="N381" i="2"/>
  <c r="N478" i="2"/>
  <c r="N530" i="2"/>
  <c r="N595" i="2"/>
  <c r="N658" i="2"/>
  <c r="N362" i="2"/>
  <c r="N459" i="2"/>
  <c r="N531" i="2"/>
  <c r="N596" i="2"/>
  <c r="N675" i="2"/>
  <c r="N347" i="2"/>
  <c r="N405" i="2"/>
  <c r="N499" i="2"/>
  <c r="N582" i="2"/>
  <c r="N648" i="2"/>
  <c r="N708" i="2"/>
  <c r="N333" i="2"/>
  <c r="N355" i="2"/>
  <c r="N372" i="2"/>
  <c r="N394" i="2"/>
  <c r="N411" i="2"/>
  <c r="N433" i="2"/>
  <c r="N453" i="2"/>
  <c r="N469" i="2"/>
  <c r="N489" i="2"/>
  <c r="N503" i="2"/>
  <c r="N522" i="2"/>
  <c r="N540" i="2"/>
  <c r="N554" i="2"/>
  <c r="N572" i="2"/>
  <c r="N587" i="2"/>
  <c r="N605" i="2"/>
  <c r="N623" i="2"/>
  <c r="N637" i="2"/>
  <c r="N654" i="2"/>
  <c r="N667" i="2"/>
  <c r="N683" i="2"/>
  <c r="N699" i="2"/>
  <c r="N712" i="2"/>
  <c r="N321" i="2"/>
  <c r="N359" i="2"/>
  <c r="N396" i="2"/>
  <c r="N435" i="2"/>
  <c r="N477" i="2"/>
  <c r="N509" i="2"/>
  <c r="N542" i="2"/>
  <c r="N594" i="2"/>
  <c r="N626" i="2"/>
  <c r="N657" i="2"/>
  <c r="N685" i="2"/>
  <c r="AF84" i="2"/>
  <c r="N343" i="2"/>
  <c r="N397" i="2"/>
  <c r="N441" i="2"/>
  <c r="N493" i="2"/>
  <c r="N543" i="2"/>
  <c r="N577" i="2"/>
  <c r="N627" i="2"/>
  <c r="N690" i="2"/>
  <c r="AF90" i="2"/>
  <c r="N345" i="2"/>
  <c r="N404" i="2"/>
  <c r="N443" i="2"/>
  <c r="N498" i="2"/>
  <c r="N545" i="2"/>
  <c r="N581" i="2"/>
  <c r="N628" i="2"/>
  <c r="N662" i="2"/>
  <c r="N704" i="2"/>
  <c r="N369" i="2"/>
  <c r="N423" i="2"/>
  <c r="N466" i="2"/>
  <c r="N514" i="2"/>
  <c r="N550" i="2"/>
  <c r="N597" i="2"/>
  <c r="N634" i="2"/>
  <c r="N676" i="2"/>
  <c r="AM82" i="2"/>
  <c r="N337" i="2"/>
  <c r="N357" i="2"/>
  <c r="N373" i="2"/>
  <c r="N395" i="2"/>
  <c r="N417" i="2"/>
  <c r="N434" i="2"/>
  <c r="N455" i="2"/>
  <c r="N471" i="2"/>
  <c r="N490" i="2"/>
  <c r="N508" i="2"/>
  <c r="N523" i="2"/>
  <c r="N541" i="2"/>
  <c r="N555" i="2"/>
  <c r="N573" i="2"/>
  <c r="N591" i="2"/>
  <c r="N606" i="2"/>
  <c r="N625" i="2"/>
  <c r="N639" i="2"/>
  <c r="N656" i="2"/>
  <c r="N672" i="2"/>
  <c r="N684" i="2"/>
  <c r="N700" i="2"/>
  <c r="N713" i="2"/>
  <c r="AF83" i="2"/>
  <c r="N338" i="2"/>
  <c r="N380" i="2"/>
  <c r="N418" i="2"/>
  <c r="N457" i="2"/>
  <c r="N491" i="2"/>
  <c r="N524" i="2"/>
  <c r="N575" i="2"/>
  <c r="N607" i="2"/>
  <c r="N644" i="2"/>
  <c r="N673" i="2"/>
  <c r="F42" i="2"/>
  <c r="N361" i="2"/>
  <c r="N419" i="2"/>
  <c r="N458" i="2"/>
  <c r="N511" i="2"/>
  <c r="N562" i="2"/>
  <c r="N613" i="2"/>
  <c r="N645" i="2"/>
  <c r="N674" i="2"/>
  <c r="N702" i="2"/>
  <c r="N323" i="2"/>
  <c r="N383" i="2"/>
  <c r="N421" i="2"/>
  <c r="N479" i="2"/>
  <c r="N513" i="2"/>
  <c r="N563" i="2"/>
  <c r="N614" i="2"/>
  <c r="N646" i="2"/>
  <c r="N691" i="2"/>
  <c r="AM81" i="2"/>
  <c r="N325" i="2"/>
  <c r="N385" i="2"/>
  <c r="N444" i="2"/>
  <c r="N481" i="2"/>
  <c r="N532" i="2"/>
  <c r="N564" i="2"/>
  <c r="N615" i="2"/>
  <c r="N664" i="2"/>
  <c r="N692" i="2"/>
  <c r="N386" i="2"/>
  <c r="N533" i="2"/>
  <c r="N665" i="2"/>
  <c r="N585" i="2"/>
  <c r="N709" i="2"/>
  <c r="N603" i="2"/>
  <c r="N331" i="2"/>
  <c r="N617" i="2"/>
  <c r="N348" i="2"/>
  <c r="N635" i="2"/>
  <c r="N370" i="2"/>
  <c r="N649" i="2"/>
  <c r="N407" i="2"/>
  <c r="N551" i="2"/>
  <c r="N681" i="2"/>
  <c r="N445" i="2"/>
  <c r="N467" i="2"/>
  <c r="N482" i="2"/>
  <c r="N500" i="2"/>
  <c r="N518" i="2"/>
  <c r="N428" i="2"/>
  <c r="N566" i="2"/>
  <c r="N693" i="2"/>
  <c r="N231" i="2"/>
  <c r="N139" i="2"/>
  <c r="N188" i="2"/>
  <c r="N211" i="2"/>
  <c r="N152" i="2"/>
  <c r="N224" i="2"/>
  <c r="N97" i="2"/>
  <c r="N249" i="2"/>
  <c r="N126" i="2"/>
  <c r="N190" i="2"/>
  <c r="N260" i="2"/>
  <c r="N84" i="2"/>
  <c r="N185" i="2"/>
  <c r="N100" i="2"/>
  <c r="N128" i="2"/>
  <c r="N200" i="2"/>
  <c r="N159" i="2"/>
  <c r="N117" i="2"/>
  <c r="N259" i="2"/>
  <c r="N164" i="2"/>
  <c r="N236" i="2"/>
  <c r="N85" i="2"/>
  <c r="N246" i="2"/>
  <c r="N138" i="2"/>
  <c r="N202" i="2"/>
  <c r="N272" i="2"/>
  <c r="N98" i="2"/>
  <c r="N281" i="2"/>
  <c r="N174" i="2"/>
  <c r="N238" i="2"/>
  <c r="N308" i="2"/>
  <c r="N121" i="2"/>
  <c r="N157" i="2"/>
  <c r="N131" i="2"/>
  <c r="N176" i="2"/>
  <c r="N278" i="2"/>
  <c r="N237" i="2"/>
  <c r="N267" i="2"/>
  <c r="N179" i="2"/>
  <c r="N244" i="2"/>
  <c r="N180" i="2"/>
  <c r="N228" i="2"/>
  <c r="N261" i="2"/>
  <c r="N132" i="2"/>
  <c r="N168" i="2"/>
  <c r="N206" i="2"/>
  <c r="N145" i="2"/>
  <c r="N316" i="2"/>
  <c r="N122" i="2"/>
  <c r="N186" i="2"/>
  <c r="N256" i="2"/>
  <c r="N114" i="2"/>
  <c r="N294" i="2"/>
  <c r="N158" i="2"/>
  <c r="N222" i="2"/>
  <c r="N292" i="2"/>
  <c r="N177" i="2"/>
  <c r="N220" i="2"/>
  <c r="N243" i="2"/>
  <c r="N160" i="2"/>
  <c r="N232" i="2"/>
  <c r="N89" i="2"/>
  <c r="N214" i="2"/>
  <c r="N134" i="2"/>
  <c r="N198" i="2"/>
  <c r="N268" i="2"/>
  <c r="N95" i="2"/>
  <c r="N252" i="2"/>
  <c r="N170" i="2"/>
  <c r="N234" i="2"/>
  <c r="N304" i="2"/>
  <c r="N146" i="2"/>
  <c r="N102" i="2"/>
  <c r="N271" i="2"/>
  <c r="N270" i="2"/>
  <c r="N299" i="2"/>
  <c r="N90" i="2"/>
  <c r="N127" i="2"/>
  <c r="N105" i="2"/>
  <c r="N287" i="2"/>
  <c r="N216" i="2"/>
  <c r="N314" i="2"/>
  <c r="N273" i="2"/>
  <c r="N235" i="2"/>
  <c r="N172" i="2"/>
  <c r="N108" i="2"/>
  <c r="N148" i="2"/>
  <c r="N219" i="2"/>
  <c r="N204" i="2"/>
  <c r="N240" i="2"/>
  <c r="N217" i="2"/>
  <c r="N242" i="2"/>
  <c r="N313" i="2"/>
  <c r="N154" i="2"/>
  <c r="N218" i="2"/>
  <c r="N288" i="2"/>
  <c r="N144" i="2"/>
  <c r="N147" i="2"/>
  <c r="N207" i="2"/>
  <c r="N254" i="2"/>
  <c r="N283" i="2"/>
  <c r="N274" i="2"/>
  <c r="N307" i="2"/>
  <c r="N130" i="2"/>
  <c r="N194" i="2"/>
  <c r="N264" i="2"/>
  <c r="N167" i="2"/>
  <c r="N284" i="2"/>
  <c r="N166" i="2"/>
  <c r="N230" i="2"/>
  <c r="N300" i="2"/>
  <c r="N113" i="2"/>
  <c r="N106" i="2"/>
  <c r="N255" i="2"/>
  <c r="N266" i="2"/>
  <c r="N295" i="2"/>
  <c r="N112" i="2"/>
  <c r="N183" i="2"/>
  <c r="N141" i="2"/>
  <c r="N209" i="2"/>
  <c r="N286" i="2"/>
  <c r="N290" i="2"/>
  <c r="N311" i="2"/>
  <c r="N303" i="2"/>
  <c r="N302" i="2"/>
  <c r="N258" i="2"/>
  <c r="N133" i="2"/>
  <c r="N103" i="2"/>
  <c r="N312" i="2"/>
  <c r="N297" i="2"/>
  <c r="N192" i="2"/>
  <c r="N227" i="2"/>
  <c r="N181" i="2"/>
  <c r="N96" i="2"/>
  <c r="N275" i="2"/>
  <c r="N142" i="2"/>
  <c r="N248" i="2"/>
  <c r="N163" i="2"/>
  <c r="N191" i="2"/>
  <c r="N250" i="2"/>
  <c r="N279" i="2"/>
  <c r="N245" i="2"/>
  <c r="N86" i="2"/>
  <c r="N125" i="2"/>
  <c r="N193" i="2"/>
  <c r="N315" i="2"/>
  <c r="N280" i="2"/>
  <c r="N101" i="2"/>
  <c r="N162" i="2"/>
  <c r="N226" i="2"/>
  <c r="N296" i="2"/>
  <c r="N178" i="2"/>
  <c r="N115" i="2"/>
  <c r="N239" i="2"/>
  <c r="N262" i="2"/>
  <c r="N291" i="2"/>
  <c r="N210" i="2"/>
  <c r="N199" i="2"/>
  <c r="N137" i="2"/>
  <c r="N205" i="2"/>
  <c r="N282" i="2"/>
  <c r="N213" i="2"/>
  <c r="N99" i="2"/>
  <c r="N173" i="2"/>
  <c r="N241" i="2"/>
  <c r="N318" i="2"/>
  <c r="N189" i="2"/>
  <c r="N225" i="2"/>
  <c r="N223" i="2"/>
  <c r="N263" i="2"/>
  <c r="N201" i="2"/>
  <c r="N169" i="2"/>
  <c r="N155" i="2"/>
  <c r="N305" i="2"/>
  <c r="N91" i="2"/>
  <c r="N317" i="2"/>
  <c r="N93" i="2"/>
  <c r="N293" i="2"/>
  <c r="N135" i="2"/>
  <c r="N81" i="2"/>
  <c r="N276" i="2"/>
  <c r="N151" i="2"/>
  <c r="N143" i="2"/>
  <c r="N153" i="2"/>
  <c r="N221" i="2"/>
  <c r="N298" i="2"/>
  <c r="N94" i="2"/>
  <c r="N83" i="2"/>
  <c r="N203" i="2"/>
  <c r="N257" i="2"/>
  <c r="N289" i="2"/>
  <c r="N247" i="2"/>
  <c r="N82" i="2"/>
  <c r="N129" i="2"/>
  <c r="N197" i="2"/>
  <c r="N319" i="2"/>
  <c r="N184" i="2"/>
  <c r="N107" i="2"/>
  <c r="N165" i="2"/>
  <c r="N233" i="2"/>
  <c r="N310" i="2"/>
  <c r="N309" i="2"/>
  <c r="N171" i="2"/>
  <c r="N251" i="2"/>
  <c r="N269" i="2"/>
  <c r="N301" i="2"/>
  <c r="N195" i="2"/>
  <c r="N88" i="2"/>
  <c r="N140" i="2"/>
  <c r="N212" i="2"/>
  <c r="N109" i="2"/>
  <c r="N182" i="2"/>
  <c r="N87" i="2"/>
  <c r="N187" i="2"/>
  <c r="N253" i="2"/>
  <c r="N285" i="2"/>
  <c r="N150" i="2"/>
  <c r="N104" i="2"/>
  <c r="N124" i="2"/>
  <c r="N196" i="2"/>
  <c r="N175" i="2"/>
  <c r="N118" i="2"/>
  <c r="N111" i="2"/>
  <c r="N161" i="2"/>
  <c r="N229" i="2"/>
  <c r="N306" i="2"/>
  <c r="N277" i="2"/>
  <c r="N265" i="2"/>
  <c r="N92" i="2"/>
  <c r="N136" i="2"/>
  <c r="N208" i="2"/>
  <c r="N119" i="2"/>
  <c r="N116" i="2"/>
  <c r="N110" i="2"/>
  <c r="N80" i="2"/>
  <c r="N120" i="2"/>
  <c r="N156" i="2"/>
  <c r="N215" i="2"/>
  <c r="N123" i="2"/>
  <c r="N149" i="2"/>
  <c r="AW256" i="1"/>
  <c r="AY256" i="1"/>
  <c r="AZ256" i="1" s="1"/>
  <c r="BB256" i="1" s="1"/>
  <c r="E29" i="3"/>
  <c r="L106" i="2"/>
  <c r="M381" i="3"/>
  <c r="V105" i="2"/>
  <c r="W105" i="2" s="1"/>
  <c r="V371" i="3"/>
  <c r="AE105" i="2"/>
  <c r="AF105" i="2" s="1"/>
  <c r="AE371" i="3"/>
  <c r="AT248" i="1"/>
  <c r="AS248" i="1"/>
  <c r="AR248" i="1"/>
  <c r="D382" i="3"/>
  <c r="N382" i="3"/>
  <c r="AM249" i="1"/>
  <c r="AO249" i="1"/>
  <c r="AP249" i="1" s="1"/>
  <c r="H281" i="3"/>
  <c r="E281" i="3"/>
  <c r="C30" i="4"/>
  <c r="E133" i="2"/>
  <c r="AJ105" i="2"/>
  <c r="AI105" i="2"/>
  <c r="R371" i="3"/>
  <c r="AA371" i="3"/>
  <c r="S105" i="2"/>
  <c r="AB105" i="2"/>
  <c r="J107" i="2"/>
  <c r="K107" i="2" s="1"/>
  <c r="G107" i="2"/>
  <c r="K382" i="3" l="1"/>
  <c r="K356" i="3"/>
  <c r="W356" i="3"/>
  <c r="AI356" i="3"/>
  <c r="K357" i="3"/>
  <c r="L357" i="3" s="1"/>
  <c r="W357" i="3"/>
  <c r="AI357" i="3"/>
  <c r="K358" i="3"/>
  <c r="L358" i="3" s="1"/>
  <c r="W358" i="3"/>
  <c r="AI358" i="3"/>
  <c r="K359" i="3"/>
  <c r="K360" i="3"/>
  <c r="L360" i="3" s="1"/>
  <c r="K361" i="3"/>
  <c r="L361" i="3" s="1"/>
  <c r="AI359" i="3"/>
  <c r="W359" i="3"/>
  <c r="K362" i="3"/>
  <c r="L362" i="3" s="1"/>
  <c r="AI360" i="3"/>
  <c r="W360" i="3"/>
  <c r="K363" i="3"/>
  <c r="AI361" i="3"/>
  <c r="W361" i="3"/>
  <c r="K364" i="3"/>
  <c r="K365" i="3"/>
  <c r="W362" i="3"/>
  <c r="AI362" i="3"/>
  <c r="K366" i="3"/>
  <c r="K367" i="3"/>
  <c r="AI363" i="3"/>
  <c r="W363" i="3"/>
  <c r="K368" i="3"/>
  <c r="K369" i="3"/>
  <c r="W364" i="3"/>
  <c r="AI364" i="3"/>
  <c r="K370" i="3"/>
  <c r="K371" i="3"/>
  <c r="W365" i="3"/>
  <c r="AI365" i="3"/>
  <c r="K372" i="3"/>
  <c r="K373" i="3"/>
  <c r="L373" i="3" s="1"/>
  <c r="W366" i="3"/>
  <c r="AI366" i="3"/>
  <c r="K374" i="3"/>
  <c r="L374" i="3" s="1"/>
  <c r="K375" i="3"/>
  <c r="W367" i="3"/>
  <c r="AI367" i="3"/>
  <c r="K376" i="3"/>
  <c r="K377" i="3"/>
  <c r="L377" i="3" s="1"/>
  <c r="AI368" i="3"/>
  <c r="W368" i="3"/>
  <c r="K378" i="3"/>
  <c r="L378" i="3" s="1"/>
  <c r="K379" i="3"/>
  <c r="W369" i="3"/>
  <c r="AI369" i="3"/>
  <c r="K380" i="3"/>
  <c r="W370" i="3"/>
  <c r="AI370" i="3"/>
  <c r="K381" i="3"/>
  <c r="L381" i="3" s="1"/>
  <c r="W371" i="3"/>
  <c r="AI371" i="3"/>
  <c r="AP105" i="2"/>
  <c r="AF371" i="3"/>
  <c r="O364" i="3"/>
  <c r="O378" i="3"/>
  <c r="O357" i="3"/>
  <c r="AF356" i="3"/>
  <c r="O380" i="3"/>
  <c r="O363" i="3"/>
  <c r="O367" i="3"/>
  <c r="O362" i="3"/>
  <c r="O373" i="3"/>
  <c r="O370" i="3"/>
  <c r="O359" i="3"/>
  <c r="O374" i="3"/>
  <c r="O379" i="3"/>
  <c r="O372" i="3"/>
  <c r="O371" i="3"/>
  <c r="O361" i="3"/>
  <c r="O358" i="3"/>
  <c r="O366" i="3"/>
  <c r="O376" i="3"/>
  <c r="O375" i="3"/>
  <c r="O377" i="3"/>
  <c r="O368" i="3"/>
  <c r="O365" i="3"/>
  <c r="O360" i="3"/>
  <c r="O369" i="3"/>
  <c r="L356" i="3"/>
  <c r="O356" i="3"/>
  <c r="AF357" i="3"/>
  <c r="AF358" i="3"/>
  <c r="L359" i="3"/>
  <c r="AF359" i="3"/>
  <c r="AF360" i="3"/>
  <c r="L363" i="3"/>
  <c r="L364" i="3"/>
  <c r="AF361" i="3"/>
  <c r="L365" i="3"/>
  <c r="AF362" i="3"/>
  <c r="L366" i="3"/>
  <c r="L367" i="3"/>
  <c r="L368" i="3"/>
  <c r="AF363" i="3"/>
  <c r="L369" i="3"/>
  <c r="AF364" i="3"/>
  <c r="L370" i="3"/>
  <c r="AF365" i="3"/>
  <c r="L371" i="3"/>
  <c r="L372" i="3"/>
  <c r="AF366" i="3"/>
  <c r="AF367" i="3"/>
  <c r="L375" i="3"/>
  <c r="L376" i="3"/>
  <c r="AF368" i="3"/>
  <c r="L379" i="3"/>
  <c r="AF369" i="3"/>
  <c r="AF370" i="3"/>
  <c r="L382" i="3"/>
  <c r="O598" i="3"/>
  <c r="O602" i="3"/>
  <c r="O606" i="3"/>
  <c r="O610" i="3"/>
  <c r="O614" i="3"/>
  <c r="O618" i="3"/>
  <c r="O622" i="3"/>
  <c r="O626" i="3"/>
  <c r="O630" i="3"/>
  <c r="O634" i="3"/>
  <c r="O638" i="3"/>
  <c r="O642" i="3"/>
  <c r="O646" i="3"/>
  <c r="O650" i="3"/>
  <c r="O654" i="3"/>
  <c r="O658" i="3"/>
  <c r="O662" i="3"/>
  <c r="O666" i="3"/>
  <c r="O670" i="3"/>
  <c r="O674" i="3"/>
  <c r="O678" i="3"/>
  <c r="O682" i="3"/>
  <c r="O686" i="3"/>
  <c r="O690" i="3"/>
  <c r="O694" i="3"/>
  <c r="O698" i="3"/>
  <c r="O702" i="3"/>
  <c r="O706" i="3"/>
  <c r="O710" i="3"/>
  <c r="O714" i="3"/>
  <c r="O718" i="3"/>
  <c r="O722" i="3"/>
  <c r="O726" i="3"/>
  <c r="O730" i="3"/>
  <c r="O734" i="3"/>
  <c r="O738" i="3"/>
  <c r="O742" i="3"/>
  <c r="O746" i="3"/>
  <c r="O750" i="3"/>
  <c r="O754" i="3"/>
  <c r="O758" i="3"/>
  <c r="O762" i="3"/>
  <c r="O766" i="3"/>
  <c r="O770" i="3"/>
  <c r="O774" i="3"/>
  <c r="O599" i="3"/>
  <c r="O603" i="3"/>
  <c r="O607" i="3"/>
  <c r="O611" i="3"/>
  <c r="O615" i="3"/>
  <c r="O619" i="3"/>
  <c r="O623" i="3"/>
  <c r="O627" i="3"/>
  <c r="O631" i="3"/>
  <c r="O635" i="3"/>
  <c r="O639" i="3"/>
  <c r="O643" i="3"/>
  <c r="O647" i="3"/>
  <c r="O651" i="3"/>
  <c r="O655" i="3"/>
  <c r="O659" i="3"/>
  <c r="O663" i="3"/>
  <c r="O667" i="3"/>
  <c r="O671" i="3"/>
  <c r="O675" i="3"/>
  <c r="O679" i="3"/>
  <c r="O683" i="3"/>
  <c r="O687" i="3"/>
  <c r="O691" i="3"/>
  <c r="O695" i="3"/>
  <c r="O699" i="3"/>
  <c r="O703" i="3"/>
  <c r="O707" i="3"/>
  <c r="O711" i="3"/>
  <c r="O715" i="3"/>
  <c r="O719" i="3"/>
  <c r="O723" i="3"/>
  <c r="O727" i="3"/>
  <c r="O731" i="3"/>
  <c r="O735" i="3"/>
  <c r="O739" i="3"/>
  <c r="O743" i="3"/>
  <c r="O747" i="3"/>
  <c r="O751" i="3"/>
  <c r="O755" i="3"/>
  <c r="O759" i="3"/>
  <c r="O763" i="3"/>
  <c r="O767" i="3"/>
  <c r="O771" i="3"/>
  <c r="O775" i="3"/>
  <c r="O600" i="3"/>
  <c r="O608" i="3"/>
  <c r="O616" i="3"/>
  <c r="O624" i="3"/>
  <c r="O632" i="3"/>
  <c r="O640" i="3"/>
  <c r="O648" i="3"/>
  <c r="O656" i="3"/>
  <c r="O664" i="3"/>
  <c r="O672" i="3"/>
  <c r="O680" i="3"/>
  <c r="O688" i="3"/>
  <c r="O696" i="3"/>
  <c r="O704" i="3"/>
  <c r="O712" i="3"/>
  <c r="O720" i="3"/>
  <c r="O728" i="3"/>
  <c r="O736" i="3"/>
  <c r="O744" i="3"/>
  <c r="O752" i="3"/>
  <c r="O760" i="3"/>
  <c r="O768" i="3"/>
  <c r="O604" i="3"/>
  <c r="O612" i="3"/>
  <c r="O628" i="3"/>
  <c r="O644" i="3"/>
  <c r="O660" i="3"/>
  <c r="O676" i="3"/>
  <c r="O692" i="3"/>
  <c r="O708" i="3"/>
  <c r="O601" i="3"/>
  <c r="O609" i="3"/>
  <c r="O617" i="3"/>
  <c r="O625" i="3"/>
  <c r="O633" i="3"/>
  <c r="O641" i="3"/>
  <c r="O649" i="3"/>
  <c r="O657" i="3"/>
  <c r="O665" i="3"/>
  <c r="O673" i="3"/>
  <c r="O681" i="3"/>
  <c r="O689" i="3"/>
  <c r="O697" i="3"/>
  <c r="O705" i="3"/>
  <c r="O713" i="3"/>
  <c r="O721" i="3"/>
  <c r="O729" i="3"/>
  <c r="O737" i="3"/>
  <c r="O745" i="3"/>
  <c r="O753" i="3"/>
  <c r="O761" i="3"/>
  <c r="O769" i="3"/>
  <c r="O596" i="3"/>
  <c r="O620" i="3"/>
  <c r="O636" i="3"/>
  <c r="O652" i="3"/>
  <c r="O668" i="3"/>
  <c r="O684" i="3"/>
  <c r="O700" i="3"/>
  <c r="O605" i="3"/>
  <c r="O637" i="3"/>
  <c r="O669" i="3"/>
  <c r="O701" i="3"/>
  <c r="O724" i="3"/>
  <c r="O740" i="3"/>
  <c r="O756" i="3"/>
  <c r="O772" i="3"/>
  <c r="O653" i="3"/>
  <c r="O716" i="3"/>
  <c r="O732" i="3"/>
  <c r="O764" i="3"/>
  <c r="O629" i="3"/>
  <c r="O693" i="3"/>
  <c r="O733" i="3"/>
  <c r="O749" i="3"/>
  <c r="O613" i="3"/>
  <c r="O645" i="3"/>
  <c r="O677" i="3"/>
  <c r="O709" i="3"/>
  <c r="O725" i="3"/>
  <c r="O741" i="3"/>
  <c r="O757" i="3"/>
  <c r="O773" i="3"/>
  <c r="O621" i="3"/>
  <c r="O685" i="3"/>
  <c r="O748" i="3"/>
  <c r="O597" i="3"/>
  <c r="O661" i="3"/>
  <c r="O717" i="3"/>
  <c r="O765" i="3"/>
  <c r="O391" i="3"/>
  <c r="O407" i="3"/>
  <c r="O423" i="3"/>
  <c r="O439" i="3"/>
  <c r="O396" i="3"/>
  <c r="O412" i="3"/>
  <c r="O428" i="3"/>
  <c r="O444" i="3"/>
  <c r="O381" i="3"/>
  <c r="O413" i="3"/>
  <c r="O445" i="3"/>
  <c r="O462" i="3"/>
  <c r="O478" i="3"/>
  <c r="O494" i="3"/>
  <c r="O510" i="3"/>
  <c r="O526" i="3"/>
  <c r="O542" i="3"/>
  <c r="O558" i="3"/>
  <c r="O574" i="3"/>
  <c r="O590" i="3"/>
  <c r="O406" i="3"/>
  <c r="O438" i="3"/>
  <c r="O459" i="3"/>
  <c r="O475" i="3"/>
  <c r="O491" i="3"/>
  <c r="O507" i="3"/>
  <c r="O523" i="3"/>
  <c r="O539" i="3"/>
  <c r="O555" i="3"/>
  <c r="O571" i="3"/>
  <c r="O587" i="3"/>
  <c r="O385" i="3"/>
  <c r="O448" i="3"/>
  <c r="O480" i="3"/>
  <c r="O512" i="3"/>
  <c r="O544" i="3"/>
  <c r="O576" i="3"/>
  <c r="O476" i="3"/>
  <c r="O548" i="3"/>
  <c r="O386" i="3"/>
  <c r="O449" i="3"/>
  <c r="O481" i="3"/>
  <c r="O513" i="3"/>
  <c r="O545" i="3"/>
  <c r="O577" i="3"/>
  <c r="O409" i="3"/>
  <c r="O484" i="3"/>
  <c r="O540" i="3"/>
  <c r="O541" i="3"/>
  <c r="O557" i="3"/>
  <c r="O533" i="3"/>
  <c r="O485" i="3"/>
  <c r="O461" i="3"/>
  <c r="O395" i="3"/>
  <c r="O411" i="3"/>
  <c r="O427" i="3"/>
  <c r="O443" i="3"/>
  <c r="O384" i="3"/>
  <c r="O400" i="3"/>
  <c r="O416" i="3"/>
  <c r="O432" i="3"/>
  <c r="O389" i="3"/>
  <c r="O421" i="3"/>
  <c r="O450" i="3"/>
  <c r="O466" i="3"/>
  <c r="O482" i="3"/>
  <c r="O498" i="3"/>
  <c r="O514" i="3"/>
  <c r="O530" i="3"/>
  <c r="O546" i="3"/>
  <c r="O562" i="3"/>
  <c r="O578" i="3"/>
  <c r="O594" i="3"/>
  <c r="O382" i="3"/>
  <c r="O414" i="3"/>
  <c r="O446" i="3"/>
  <c r="O463" i="3"/>
  <c r="O479" i="3"/>
  <c r="O495" i="3"/>
  <c r="O511" i="3"/>
  <c r="O527" i="3"/>
  <c r="O543" i="3"/>
  <c r="O559" i="3"/>
  <c r="O575" i="3"/>
  <c r="O591" i="3"/>
  <c r="O401" i="3"/>
  <c r="O456" i="3"/>
  <c r="O488" i="3"/>
  <c r="O520" i="3"/>
  <c r="O552" i="3"/>
  <c r="O584" i="3"/>
  <c r="O393" i="3"/>
  <c r="O492" i="3"/>
  <c r="O564" i="3"/>
  <c r="O402" i="3"/>
  <c r="O457" i="3"/>
  <c r="O489" i="3"/>
  <c r="O521" i="3"/>
  <c r="O553" i="3"/>
  <c r="O585" i="3"/>
  <c r="O441" i="3"/>
  <c r="O500" i="3"/>
  <c r="O556" i="3"/>
  <c r="O442" i="3"/>
  <c r="O573" i="3"/>
  <c r="O589" i="3"/>
  <c r="O565" i="3"/>
  <c r="O517" i="3"/>
  <c r="O525" i="3"/>
  <c r="O383" i="3"/>
  <c r="O399" i="3"/>
  <c r="O415" i="3"/>
  <c r="O431" i="3"/>
  <c r="O447" i="3"/>
  <c r="O388" i="3"/>
  <c r="O404" i="3"/>
  <c r="O420" i="3"/>
  <c r="O436" i="3"/>
  <c r="O397" i="3"/>
  <c r="O429" i="3"/>
  <c r="O454" i="3"/>
  <c r="O470" i="3"/>
  <c r="O486" i="3"/>
  <c r="O502" i="3"/>
  <c r="O518" i="3"/>
  <c r="O534" i="3"/>
  <c r="O550" i="3"/>
  <c r="O566" i="3"/>
  <c r="O582" i="3"/>
  <c r="O390" i="3"/>
  <c r="O422" i="3"/>
  <c r="O451" i="3"/>
  <c r="O467" i="3"/>
  <c r="O483" i="3"/>
  <c r="O499" i="3"/>
  <c r="O515" i="3"/>
  <c r="O531" i="3"/>
  <c r="O547" i="3"/>
  <c r="O563" i="3"/>
  <c r="O579" i="3"/>
  <c r="O595" i="3"/>
  <c r="O417" i="3"/>
  <c r="O464" i="3"/>
  <c r="O496" i="3"/>
  <c r="O528" i="3"/>
  <c r="O560" i="3"/>
  <c r="O592" i="3"/>
  <c r="O425" i="3"/>
  <c r="O508" i="3"/>
  <c r="O580" i="3"/>
  <c r="O418" i="3"/>
  <c r="O465" i="3"/>
  <c r="O497" i="3"/>
  <c r="O529" i="3"/>
  <c r="O561" i="3"/>
  <c r="O593" i="3"/>
  <c r="O452" i="3"/>
  <c r="O516" i="3"/>
  <c r="O572" i="3"/>
  <c r="O477" i="3"/>
  <c r="O410" i="3"/>
  <c r="O394" i="3"/>
  <c r="O549" i="3"/>
  <c r="O426" i="3"/>
  <c r="O387" i="3"/>
  <c r="O403" i="3"/>
  <c r="O419" i="3"/>
  <c r="O435" i="3"/>
  <c r="O392" i="3"/>
  <c r="O408" i="3"/>
  <c r="O424" i="3"/>
  <c r="O440" i="3"/>
  <c r="O405" i="3"/>
  <c r="O437" i="3"/>
  <c r="O458" i="3"/>
  <c r="O474" i="3"/>
  <c r="O490" i="3"/>
  <c r="O506" i="3"/>
  <c r="O522" i="3"/>
  <c r="O538" i="3"/>
  <c r="O554" i="3"/>
  <c r="O570" i="3"/>
  <c r="O586" i="3"/>
  <c r="O398" i="3"/>
  <c r="O430" i="3"/>
  <c r="O455" i="3"/>
  <c r="O471" i="3"/>
  <c r="O487" i="3"/>
  <c r="O503" i="3"/>
  <c r="O519" i="3"/>
  <c r="O535" i="3"/>
  <c r="O551" i="3"/>
  <c r="O567" i="3"/>
  <c r="O583" i="3"/>
  <c r="O433" i="3"/>
  <c r="O472" i="3"/>
  <c r="O504" i="3"/>
  <c r="O536" i="3"/>
  <c r="O568" i="3"/>
  <c r="O460" i="3"/>
  <c r="O524" i="3"/>
  <c r="O434" i="3"/>
  <c r="O473" i="3"/>
  <c r="O505" i="3"/>
  <c r="O537" i="3"/>
  <c r="O569" i="3"/>
  <c r="O468" i="3"/>
  <c r="O532" i="3"/>
  <c r="O588" i="3"/>
  <c r="O509" i="3"/>
  <c r="O493" i="3"/>
  <c r="O469" i="3"/>
  <c r="O453" i="3"/>
  <c r="O581" i="3"/>
  <c r="O501" i="3"/>
  <c r="L380" i="3"/>
  <c r="AW257" i="1"/>
  <c r="AY257" i="1"/>
  <c r="AZ257" i="1" s="1"/>
  <c r="BB257" i="1" s="1"/>
  <c r="L107" i="2"/>
  <c r="M382" i="3"/>
  <c r="AL105" i="2"/>
  <c r="AM105" i="2" s="1"/>
  <c r="AT249" i="1"/>
  <c r="AS249" i="1"/>
  <c r="AR249" i="1"/>
  <c r="AM250" i="1"/>
  <c r="AO250" i="1"/>
  <c r="AP250" i="1" s="1"/>
  <c r="E134" i="2"/>
  <c r="N383" i="3"/>
  <c r="K383" i="3" s="1"/>
  <c r="D383" i="3"/>
  <c r="AK105" i="2"/>
  <c r="U372" i="3"/>
  <c r="T372" i="3"/>
  <c r="AD372" i="3"/>
  <c r="AC372" i="3"/>
  <c r="AD106" i="2"/>
  <c r="AC106" i="2"/>
  <c r="U106" i="2"/>
  <c r="T106" i="2"/>
  <c r="G108" i="2"/>
  <c r="J108" i="2"/>
  <c r="K108" i="2" s="1"/>
  <c r="AW258" i="1" l="1"/>
  <c r="AY258" i="1"/>
  <c r="AZ258" i="1" s="1"/>
  <c r="BB258" i="1" s="1"/>
  <c r="L108" i="2"/>
  <c r="M383" i="3"/>
  <c r="L383" i="3"/>
  <c r="AE372" i="3"/>
  <c r="AF372" i="3" s="1"/>
  <c r="V106" i="2"/>
  <c r="AE106" i="2"/>
  <c r="AF106" i="2" s="1"/>
  <c r="V372" i="3"/>
  <c r="E135" i="2"/>
  <c r="AT250" i="1"/>
  <c r="AR250" i="1"/>
  <c r="AS250" i="1"/>
  <c r="AO251" i="1"/>
  <c r="AP251" i="1" s="1"/>
  <c r="AM251" i="1"/>
  <c r="AJ106" i="2"/>
  <c r="AI106" i="2"/>
  <c r="D384" i="3"/>
  <c r="N384" i="3"/>
  <c r="K384" i="3" s="1"/>
  <c r="AA372" i="3"/>
  <c r="R372" i="3"/>
  <c r="S106" i="2"/>
  <c r="AB106" i="2"/>
  <c r="G109" i="2"/>
  <c r="J109" i="2"/>
  <c r="K109" i="2" s="1"/>
  <c r="W372" i="3" l="1"/>
  <c r="AI372" i="3"/>
  <c r="W106" i="2"/>
  <c r="AP106" i="2"/>
  <c r="AW259" i="1"/>
  <c r="AY259" i="1"/>
  <c r="AZ259" i="1" s="1"/>
  <c r="BB259" i="1" s="1"/>
  <c r="L109" i="2"/>
  <c r="M384" i="3"/>
  <c r="L384" i="3"/>
  <c r="AL106" i="2"/>
  <c r="AM106" i="2" s="1"/>
  <c r="AK106" i="2"/>
  <c r="AJ107" i="2" s="1"/>
  <c r="AT251" i="1"/>
  <c r="AS251" i="1"/>
  <c r="AR251" i="1"/>
  <c r="AO252" i="1"/>
  <c r="AP252" i="1" s="1"/>
  <c r="AM252" i="1"/>
  <c r="D385" i="3"/>
  <c r="N385" i="3"/>
  <c r="K385" i="3" s="1"/>
  <c r="E136" i="2"/>
  <c r="AD373" i="3"/>
  <c r="AC373" i="3"/>
  <c r="U373" i="3"/>
  <c r="T373" i="3"/>
  <c r="R373" i="3" s="1"/>
  <c r="G110" i="2"/>
  <c r="J110" i="2"/>
  <c r="K110" i="2" s="1"/>
  <c r="AD107" i="2"/>
  <c r="AC107" i="2"/>
  <c r="U107" i="2"/>
  <c r="T107" i="2"/>
  <c r="AW260" i="1" l="1"/>
  <c r="AY260" i="1"/>
  <c r="AZ260" i="1" s="1"/>
  <c r="BB260" i="1" s="1"/>
  <c r="L110" i="2"/>
  <c r="L385" i="3"/>
  <c r="M385" i="3"/>
  <c r="AI107" i="2"/>
  <c r="AL107" i="2" s="1"/>
  <c r="AM107" i="2" s="1"/>
  <c r="AE107" i="2"/>
  <c r="AF107" i="2" s="1"/>
  <c r="AE373" i="3"/>
  <c r="AF373" i="3" s="1"/>
  <c r="V373" i="3"/>
  <c r="V107" i="2"/>
  <c r="AS252" i="1"/>
  <c r="AT252" i="1"/>
  <c r="AR252" i="1"/>
  <c r="AO253" i="1"/>
  <c r="AP253" i="1" s="1"/>
  <c r="AM253" i="1"/>
  <c r="E137" i="2"/>
  <c r="N386" i="3"/>
  <c r="K386" i="3" s="1"/>
  <c r="D386" i="3"/>
  <c r="U374" i="3"/>
  <c r="T374" i="3"/>
  <c r="AA373" i="3"/>
  <c r="S107" i="2"/>
  <c r="AB107" i="2"/>
  <c r="J111" i="2"/>
  <c r="K111" i="2" s="1"/>
  <c r="G111" i="2"/>
  <c r="W373" i="3" l="1"/>
  <c r="AI373" i="3"/>
  <c r="W107" i="2"/>
  <c r="AP107" i="2"/>
  <c r="AW261" i="1"/>
  <c r="AY261" i="1"/>
  <c r="AZ261" i="1" s="1"/>
  <c r="BB261" i="1" s="1"/>
  <c r="L111" i="2"/>
  <c r="M386" i="3"/>
  <c r="L386" i="3"/>
  <c r="AK107" i="2"/>
  <c r="AJ108" i="2" s="1"/>
  <c r="V374" i="3"/>
  <c r="AO254" i="1"/>
  <c r="AP254" i="1" s="1"/>
  <c r="AM254" i="1"/>
  <c r="E138" i="2"/>
  <c r="AR253" i="1"/>
  <c r="AS253" i="1"/>
  <c r="AT253" i="1"/>
  <c r="AI108" i="2"/>
  <c r="R374" i="3"/>
  <c r="T375" i="3" s="1"/>
  <c r="D387" i="3"/>
  <c r="N387" i="3"/>
  <c r="K387" i="3" s="1"/>
  <c r="AD374" i="3"/>
  <c r="AC374" i="3"/>
  <c r="G112" i="2"/>
  <c r="J112" i="2"/>
  <c r="K112" i="2" s="1"/>
  <c r="AD108" i="2"/>
  <c r="AC108" i="2"/>
  <c r="AB108" i="2" s="1"/>
  <c r="U108" i="2"/>
  <c r="T108" i="2"/>
  <c r="W374" i="3" l="1"/>
  <c r="AI374" i="3"/>
  <c r="AW262" i="1"/>
  <c r="AY262" i="1"/>
  <c r="AZ262" i="1" s="1"/>
  <c r="BB262" i="1" s="1"/>
  <c r="L112" i="2"/>
  <c r="L387" i="3"/>
  <c r="M387" i="3"/>
  <c r="AL108" i="2"/>
  <c r="AM108" i="2" s="1"/>
  <c r="AE374" i="3"/>
  <c r="AF374" i="3" s="1"/>
  <c r="U375" i="3"/>
  <c r="V375" i="3" s="1"/>
  <c r="AK108" i="2"/>
  <c r="D388" i="3"/>
  <c r="N388" i="3"/>
  <c r="K388" i="3" s="1"/>
  <c r="E139" i="2"/>
  <c r="AO255" i="1"/>
  <c r="AP255" i="1" s="1"/>
  <c r="AM255" i="1"/>
  <c r="AR254" i="1"/>
  <c r="AT254" i="1"/>
  <c r="AS254" i="1"/>
  <c r="AA374" i="3"/>
  <c r="R375" i="3"/>
  <c r="V108" i="2"/>
  <c r="AD109" i="2"/>
  <c r="AC109" i="2"/>
  <c r="S108" i="2"/>
  <c r="AE108" i="2"/>
  <c r="AF108" i="2" s="1"/>
  <c r="G113" i="2"/>
  <c r="J113" i="2"/>
  <c r="K113" i="2" s="1"/>
  <c r="W375" i="3" l="1"/>
  <c r="AI375" i="3"/>
  <c r="W108" i="2"/>
  <c r="AP108" i="2"/>
  <c r="AW263" i="1"/>
  <c r="AY263" i="1"/>
  <c r="AZ263" i="1" s="1"/>
  <c r="BB263" i="1" s="1"/>
  <c r="L113" i="2"/>
  <c r="M388" i="3"/>
  <c r="L388" i="3"/>
  <c r="AO256" i="1"/>
  <c r="AP256" i="1" s="1"/>
  <c r="AM256" i="1"/>
  <c r="AT255" i="1"/>
  <c r="AS255" i="1"/>
  <c r="AR255" i="1"/>
  <c r="E140" i="2"/>
  <c r="N389" i="3"/>
  <c r="K389" i="3" s="1"/>
  <c r="D389" i="3"/>
  <c r="AE109" i="2"/>
  <c r="AF109" i="2" s="1"/>
  <c r="AJ109" i="2"/>
  <c r="AI109" i="2"/>
  <c r="U376" i="3"/>
  <c r="T376" i="3"/>
  <c r="AD375" i="3"/>
  <c r="AC375" i="3"/>
  <c r="AB109" i="2"/>
  <c r="AD110" i="2" s="1"/>
  <c r="G114" i="2"/>
  <c r="J114" i="2"/>
  <c r="K114" i="2" s="1"/>
  <c r="U109" i="2"/>
  <c r="T109" i="2"/>
  <c r="AW264" i="1" l="1"/>
  <c r="AY264" i="1"/>
  <c r="AZ264" i="1" s="1"/>
  <c r="BB264" i="1" s="1"/>
  <c r="L114" i="2"/>
  <c r="M389" i="3"/>
  <c r="L389" i="3"/>
  <c r="V376" i="3"/>
  <c r="AE375" i="3"/>
  <c r="AF375" i="3" s="1"/>
  <c r="V109" i="2"/>
  <c r="AL109" i="2"/>
  <c r="AM109" i="2" s="1"/>
  <c r="E141" i="2"/>
  <c r="AC110" i="2"/>
  <c r="AE110" i="2" s="1"/>
  <c r="AF110" i="2" s="1"/>
  <c r="AK109" i="2"/>
  <c r="AM257" i="1"/>
  <c r="AO257" i="1"/>
  <c r="AP257" i="1" s="1"/>
  <c r="N390" i="3"/>
  <c r="K390" i="3" s="1"/>
  <c r="D390" i="3"/>
  <c r="AT256" i="1"/>
  <c r="AS256" i="1"/>
  <c r="AR256" i="1"/>
  <c r="R376" i="3"/>
  <c r="AA375" i="3"/>
  <c r="S109" i="2"/>
  <c r="J115" i="2"/>
  <c r="K115" i="2" s="1"/>
  <c r="G115" i="2"/>
  <c r="W376" i="3" l="1"/>
  <c r="AI376" i="3"/>
  <c r="W109" i="2"/>
  <c r="AP109" i="2"/>
  <c r="AW265" i="1"/>
  <c r="AY265" i="1"/>
  <c r="AZ265" i="1" s="1"/>
  <c r="BB265" i="1" s="1"/>
  <c r="L115" i="2"/>
  <c r="M390" i="3"/>
  <c r="L390" i="3"/>
  <c r="E142" i="2"/>
  <c r="AT257" i="1"/>
  <c r="AS257" i="1"/>
  <c r="AR257" i="1"/>
  <c r="AM258" i="1"/>
  <c r="AO258" i="1"/>
  <c r="AP258" i="1" s="1"/>
  <c r="AJ110" i="2"/>
  <c r="AI110" i="2"/>
  <c r="AB110" i="2"/>
  <c r="AC111" i="2" s="1"/>
  <c r="D391" i="3"/>
  <c r="N391" i="3"/>
  <c r="K391" i="3" s="1"/>
  <c r="D91" i="35"/>
  <c r="U377" i="3"/>
  <c r="T377" i="3"/>
  <c r="R377" i="3" s="1"/>
  <c r="AD376" i="3"/>
  <c r="AC376" i="3"/>
  <c r="G116" i="2"/>
  <c r="J116" i="2"/>
  <c r="K116" i="2" s="1"/>
  <c r="U110" i="2"/>
  <c r="T110" i="2"/>
  <c r="V110" i="2" l="1"/>
  <c r="AW266" i="1"/>
  <c r="AY266" i="1"/>
  <c r="AZ266" i="1" s="1"/>
  <c r="BB266" i="1" s="1"/>
  <c r="L116" i="2"/>
  <c r="M391" i="3"/>
  <c r="C91" i="35" s="1"/>
  <c r="E91" i="35" s="1"/>
  <c r="L391" i="3"/>
  <c r="AD111" i="2"/>
  <c r="AE111" i="2" s="1"/>
  <c r="AF111" i="2" s="1"/>
  <c r="AE376" i="3"/>
  <c r="AF376" i="3" s="1"/>
  <c r="AT258" i="1"/>
  <c r="AR258" i="1"/>
  <c r="AS258" i="1"/>
  <c r="G91" i="35"/>
  <c r="D392" i="3"/>
  <c r="N392" i="3"/>
  <c r="K392" i="3" s="1"/>
  <c r="AL110" i="2"/>
  <c r="AM110" i="2" s="1"/>
  <c r="AM259" i="1"/>
  <c r="AO259" i="1"/>
  <c r="AP259" i="1" s="1"/>
  <c r="AK110" i="2"/>
  <c r="E143" i="2"/>
  <c r="U378" i="3"/>
  <c r="T378" i="3"/>
  <c r="V377" i="3"/>
  <c r="AA376" i="3"/>
  <c r="S110" i="2"/>
  <c r="AB111" i="2"/>
  <c r="G117" i="2"/>
  <c r="J117" i="2"/>
  <c r="K117" i="2" s="1"/>
  <c r="W377" i="3" l="1"/>
  <c r="AI377" i="3"/>
  <c r="W110" i="2"/>
  <c r="AP110" i="2"/>
  <c r="AW267" i="1"/>
  <c r="AY267" i="1"/>
  <c r="AZ267" i="1" s="1"/>
  <c r="BB267" i="1" s="1"/>
  <c r="L117" i="2"/>
  <c r="M392" i="3"/>
  <c r="L392" i="3"/>
  <c r="V378" i="3"/>
  <c r="E144" i="2"/>
  <c r="AJ111" i="2"/>
  <c r="AI111" i="2"/>
  <c r="AT259" i="1"/>
  <c r="AS259" i="1"/>
  <c r="AR259" i="1"/>
  <c r="N393" i="3"/>
  <c r="K393" i="3" s="1"/>
  <c r="D393" i="3"/>
  <c r="AO260" i="1"/>
  <c r="AP260" i="1" s="1"/>
  <c r="AM260" i="1"/>
  <c r="AD377" i="3"/>
  <c r="AC377" i="3"/>
  <c r="R378" i="3"/>
  <c r="AD112" i="2"/>
  <c r="AC112" i="2"/>
  <c r="G118" i="2"/>
  <c r="J118" i="2"/>
  <c r="K118" i="2" s="1"/>
  <c r="U111" i="2"/>
  <c r="T111" i="2"/>
  <c r="W378" i="3" l="1"/>
  <c r="AI378" i="3"/>
  <c r="AE112" i="2"/>
  <c r="AF112" i="2" s="1"/>
  <c r="AL111" i="2"/>
  <c r="AM111" i="2" s="1"/>
  <c r="V111" i="2"/>
  <c r="AW268" i="1"/>
  <c r="AY268" i="1"/>
  <c r="AZ268" i="1" s="1"/>
  <c r="BB268" i="1" s="1"/>
  <c r="L118" i="2"/>
  <c r="M393" i="3"/>
  <c r="L393" i="3"/>
  <c r="AE377" i="3"/>
  <c r="AF377" i="3" s="1"/>
  <c r="AS260" i="1"/>
  <c r="AR260" i="1"/>
  <c r="AT260" i="1"/>
  <c r="AO261" i="1"/>
  <c r="AP261" i="1" s="1"/>
  <c r="AM261" i="1"/>
  <c r="AK111" i="2"/>
  <c r="N394" i="3"/>
  <c r="K394" i="3" s="1"/>
  <c r="D394" i="3"/>
  <c r="E145" i="2"/>
  <c r="U379" i="3"/>
  <c r="T379" i="3"/>
  <c r="AA377" i="3"/>
  <c r="S111" i="2"/>
  <c r="AB112" i="2"/>
  <c r="J119" i="2"/>
  <c r="K119" i="2" s="1"/>
  <c r="G119" i="2"/>
  <c r="W111" i="2" l="1"/>
  <c r="AP111" i="2"/>
  <c r="AW269" i="1"/>
  <c r="AY269" i="1"/>
  <c r="AZ269" i="1" s="1"/>
  <c r="BB269" i="1" s="1"/>
  <c r="L119" i="2"/>
  <c r="M394" i="3"/>
  <c r="L394" i="3"/>
  <c r="V379" i="3"/>
  <c r="AJ112" i="2"/>
  <c r="AI112" i="2"/>
  <c r="AO262" i="1"/>
  <c r="AP262" i="1" s="1"/>
  <c r="AM262" i="1"/>
  <c r="AR261" i="1"/>
  <c r="AS261" i="1"/>
  <c r="AT261" i="1"/>
  <c r="E146" i="2"/>
  <c r="D395" i="3"/>
  <c r="N395" i="3"/>
  <c r="K395" i="3" s="1"/>
  <c r="AD378" i="3"/>
  <c r="AC378" i="3"/>
  <c r="R379" i="3"/>
  <c r="G120" i="2"/>
  <c r="J120" i="2"/>
  <c r="K120" i="2" s="1"/>
  <c r="AD113" i="2"/>
  <c r="AC113" i="2"/>
  <c r="U112" i="2"/>
  <c r="T112" i="2"/>
  <c r="W379" i="3" l="1"/>
  <c r="AI379" i="3"/>
  <c r="AW270" i="1"/>
  <c r="AY270" i="1"/>
  <c r="AZ270" i="1" s="1"/>
  <c r="BB270" i="1" s="1"/>
  <c r="L120" i="2"/>
  <c r="M395" i="3"/>
  <c r="L395" i="3"/>
  <c r="AE378" i="3"/>
  <c r="AF378" i="3" s="1"/>
  <c r="AL112" i="2"/>
  <c r="AM112" i="2" s="1"/>
  <c r="AO263" i="1"/>
  <c r="AP263" i="1" s="1"/>
  <c r="AM263" i="1"/>
  <c r="AT262" i="1"/>
  <c r="AS262" i="1"/>
  <c r="AR262" i="1"/>
  <c r="N396" i="3"/>
  <c r="K396" i="3" s="1"/>
  <c r="D396" i="3"/>
  <c r="E147" i="2"/>
  <c r="AK112" i="2"/>
  <c r="U380" i="3"/>
  <c r="T380" i="3"/>
  <c r="AA378" i="3"/>
  <c r="AE113" i="2"/>
  <c r="AF113" i="2" s="1"/>
  <c r="V112" i="2"/>
  <c r="AB113" i="2"/>
  <c r="S112" i="2"/>
  <c r="G121" i="2"/>
  <c r="J121" i="2"/>
  <c r="K121" i="2" s="1"/>
  <c r="W112" i="2" l="1"/>
  <c r="AP112" i="2"/>
  <c r="AW271" i="1"/>
  <c r="AY271" i="1"/>
  <c r="AZ271" i="1" s="1"/>
  <c r="BB271" i="1" s="1"/>
  <c r="L121" i="2"/>
  <c r="M396" i="3"/>
  <c r="L396" i="3"/>
  <c r="V380" i="3"/>
  <c r="N397" i="3"/>
  <c r="K397" i="3" s="1"/>
  <c r="D397" i="3"/>
  <c r="AJ113" i="2"/>
  <c r="AI113" i="2"/>
  <c r="AO264" i="1"/>
  <c r="AP264" i="1" s="1"/>
  <c r="AM264" i="1"/>
  <c r="E148" i="2"/>
  <c r="AT263" i="1"/>
  <c r="AS263" i="1"/>
  <c r="AR263" i="1"/>
  <c r="AD379" i="3"/>
  <c r="AC379" i="3"/>
  <c r="R380" i="3"/>
  <c r="G122" i="2"/>
  <c r="J122" i="2"/>
  <c r="K122" i="2" s="1"/>
  <c r="U113" i="2"/>
  <c r="T113" i="2"/>
  <c r="AD114" i="2"/>
  <c r="AC114" i="2"/>
  <c r="W380" i="3" l="1"/>
  <c r="AI380" i="3"/>
  <c r="AW272" i="1"/>
  <c r="AY272" i="1"/>
  <c r="AZ272" i="1" s="1"/>
  <c r="BB272" i="1" s="1"/>
  <c r="AE379" i="3"/>
  <c r="AF379" i="3" s="1"/>
  <c r="AL113" i="2"/>
  <c r="AM113" i="2" s="1"/>
  <c r="L122" i="2"/>
  <c r="M397" i="3"/>
  <c r="L397" i="3"/>
  <c r="AE114" i="2"/>
  <c r="AF114" i="2" s="1"/>
  <c r="V113" i="2"/>
  <c r="AM265" i="1"/>
  <c r="AO265" i="1"/>
  <c r="AP265" i="1" s="1"/>
  <c r="AK113" i="2"/>
  <c r="AT264" i="1"/>
  <c r="AS264" i="1"/>
  <c r="AR264" i="1"/>
  <c r="N398" i="3"/>
  <c r="K398" i="3" s="1"/>
  <c r="D398" i="3"/>
  <c r="E149" i="2"/>
  <c r="U381" i="3"/>
  <c r="T381" i="3"/>
  <c r="AA379" i="3"/>
  <c r="S113" i="2"/>
  <c r="AB114" i="2"/>
  <c r="J123" i="2"/>
  <c r="K123" i="2" s="1"/>
  <c r="G123" i="2"/>
  <c r="W113" i="2" l="1"/>
  <c r="AP113" i="2"/>
  <c r="AW273" i="1"/>
  <c r="AY273" i="1"/>
  <c r="AZ273" i="1" s="1"/>
  <c r="BB273" i="1" s="1"/>
  <c r="L123" i="2"/>
  <c r="M398" i="3"/>
  <c r="L398" i="3"/>
  <c r="V381" i="3"/>
  <c r="N399" i="3"/>
  <c r="K399" i="3" s="1"/>
  <c r="D399" i="3"/>
  <c r="AJ114" i="2"/>
  <c r="AI114" i="2"/>
  <c r="E150" i="2"/>
  <c r="AT265" i="1"/>
  <c r="AS265" i="1"/>
  <c r="AR265" i="1"/>
  <c r="AM266" i="1"/>
  <c r="AO266" i="1"/>
  <c r="AP266" i="1" s="1"/>
  <c r="AD380" i="3"/>
  <c r="AC380" i="3"/>
  <c r="R381" i="3"/>
  <c r="G124" i="2"/>
  <c r="J124" i="2"/>
  <c r="K124" i="2" s="1"/>
  <c r="AD115" i="2"/>
  <c r="AC115" i="2"/>
  <c r="U114" i="2"/>
  <c r="T114" i="2"/>
  <c r="W381" i="3" l="1"/>
  <c r="AI381" i="3"/>
  <c r="AW274" i="1"/>
  <c r="AY274" i="1"/>
  <c r="AZ274" i="1" s="1"/>
  <c r="BB274" i="1" s="1"/>
  <c r="L124" i="2"/>
  <c r="M399" i="3"/>
  <c r="L399" i="3"/>
  <c r="AL114" i="2"/>
  <c r="AM114" i="2" s="1"/>
  <c r="AE380" i="3"/>
  <c r="E151" i="2"/>
  <c r="AO267" i="1"/>
  <c r="AP267" i="1" s="1"/>
  <c r="AM267" i="1"/>
  <c r="AK114" i="2"/>
  <c r="AT266" i="1"/>
  <c r="AR266" i="1"/>
  <c r="AS266" i="1"/>
  <c r="D400" i="3"/>
  <c r="N400" i="3"/>
  <c r="K400" i="3" s="1"/>
  <c r="AA380" i="3"/>
  <c r="AD381" i="3" s="1"/>
  <c r="U382" i="3"/>
  <c r="T382" i="3"/>
  <c r="AE115" i="2"/>
  <c r="AF115" i="2" s="1"/>
  <c r="V114" i="2"/>
  <c r="AB115" i="2"/>
  <c r="S114" i="2"/>
  <c r="G125" i="2"/>
  <c r="J125" i="2"/>
  <c r="K125" i="2" s="1"/>
  <c r="W114" i="2" l="1"/>
  <c r="AP114" i="2"/>
  <c r="F72" i="35"/>
  <c r="AF380" i="3"/>
  <c r="AW275" i="1"/>
  <c r="AY275" i="1"/>
  <c r="AZ275" i="1" s="1"/>
  <c r="BB275" i="1" s="1"/>
  <c r="L125" i="2"/>
  <c r="M400" i="3"/>
  <c r="L400" i="3"/>
  <c r="V382" i="3"/>
  <c r="AC381" i="3"/>
  <c r="AE381" i="3" s="1"/>
  <c r="AF381" i="3" s="1"/>
  <c r="AO268" i="1"/>
  <c r="AP268" i="1" s="1"/>
  <c r="AM268" i="1"/>
  <c r="AT267" i="1"/>
  <c r="AS267" i="1"/>
  <c r="AR267" i="1"/>
  <c r="AJ115" i="2"/>
  <c r="AI115" i="2"/>
  <c r="E152" i="2"/>
  <c r="N401" i="3"/>
  <c r="K401" i="3" s="1"/>
  <c r="D401" i="3"/>
  <c r="R382" i="3"/>
  <c r="G126" i="2"/>
  <c r="J126" i="2"/>
  <c r="K126" i="2" s="1"/>
  <c r="U115" i="2"/>
  <c r="T115" i="2"/>
  <c r="AD116" i="2"/>
  <c r="AC116" i="2"/>
  <c r="W382" i="3" l="1"/>
  <c r="AI382" i="3"/>
  <c r="AW276" i="1"/>
  <c r="AY276" i="1"/>
  <c r="AZ276" i="1" s="1"/>
  <c r="BB276" i="1" s="1"/>
  <c r="L126" i="2"/>
  <c r="M401" i="3"/>
  <c r="L401" i="3"/>
  <c r="AA381" i="3"/>
  <c r="AD382" i="3" s="1"/>
  <c r="AL115" i="2"/>
  <c r="AM115" i="2" s="1"/>
  <c r="AK115" i="2"/>
  <c r="N402" i="3"/>
  <c r="K402" i="3" s="1"/>
  <c r="D402" i="3"/>
  <c r="E153" i="2"/>
  <c r="AO269" i="1"/>
  <c r="AP269" i="1" s="1"/>
  <c r="AM269" i="1"/>
  <c r="AS268" i="1"/>
  <c r="AR268" i="1"/>
  <c r="AT268" i="1"/>
  <c r="U383" i="3"/>
  <c r="T383" i="3"/>
  <c r="V115" i="2"/>
  <c r="AE116" i="2"/>
  <c r="AF116" i="2" s="1"/>
  <c r="S115" i="2"/>
  <c r="AB116" i="2"/>
  <c r="J127" i="2"/>
  <c r="K127" i="2" s="1"/>
  <c r="G127" i="2"/>
  <c r="W115" i="2" l="1"/>
  <c r="AP115" i="2"/>
  <c r="AW277" i="1"/>
  <c r="AY277" i="1"/>
  <c r="AZ277" i="1" s="1"/>
  <c r="BB277" i="1" s="1"/>
  <c r="L127" i="2"/>
  <c r="M402" i="3"/>
  <c r="AC382" i="3"/>
  <c r="AA382" i="3" s="1"/>
  <c r="V383" i="3"/>
  <c r="AR269" i="1"/>
  <c r="AS269" i="1"/>
  <c r="AT269" i="1"/>
  <c r="N403" i="3"/>
  <c r="K403" i="3" s="1"/>
  <c r="D403" i="3"/>
  <c r="E154" i="2"/>
  <c r="AO270" i="1"/>
  <c r="AP270" i="1" s="1"/>
  <c r="AM270" i="1"/>
  <c r="AJ116" i="2"/>
  <c r="AI116" i="2"/>
  <c r="R383" i="3"/>
  <c r="G128" i="2"/>
  <c r="J128" i="2"/>
  <c r="K128" i="2" s="1"/>
  <c r="AD117" i="2"/>
  <c r="AC117" i="2"/>
  <c r="U116" i="2"/>
  <c r="T116" i="2"/>
  <c r="W383" i="3" l="1"/>
  <c r="AI383" i="3"/>
  <c r="AW278" i="1"/>
  <c r="AY278" i="1"/>
  <c r="AZ278" i="1" s="1"/>
  <c r="BB278" i="1" s="1"/>
  <c r="L128" i="2"/>
  <c r="AE382" i="3"/>
  <c r="AF382" i="3" s="1"/>
  <c r="M403" i="3"/>
  <c r="C92" i="35" s="1"/>
  <c r="L403" i="3"/>
  <c r="AL116" i="2"/>
  <c r="AM116" i="2" s="1"/>
  <c r="E155" i="2"/>
  <c r="G92" i="35"/>
  <c r="D404" i="3"/>
  <c r="N404" i="3"/>
  <c r="K404" i="3" s="1"/>
  <c r="AK116" i="2"/>
  <c r="AO271" i="1"/>
  <c r="AP271" i="1" s="1"/>
  <c r="AM271" i="1"/>
  <c r="L402" i="3"/>
  <c r="AT270" i="1"/>
  <c r="AS270" i="1"/>
  <c r="AR270" i="1"/>
  <c r="D92" i="35"/>
  <c r="U384" i="3"/>
  <c r="T384" i="3"/>
  <c r="R384" i="3" s="1"/>
  <c r="AD383" i="3"/>
  <c r="AC383" i="3"/>
  <c r="AE117" i="2"/>
  <c r="AF117" i="2" s="1"/>
  <c r="V116" i="2"/>
  <c r="AB117" i="2"/>
  <c r="S116" i="2"/>
  <c r="G129" i="2"/>
  <c r="J129" i="2"/>
  <c r="K129" i="2" s="1"/>
  <c r="W116" i="2" l="1"/>
  <c r="AP116" i="2"/>
  <c r="AW279" i="1"/>
  <c r="AY279" i="1"/>
  <c r="AZ279" i="1" s="1"/>
  <c r="BB279" i="1" s="1"/>
  <c r="L129" i="2"/>
  <c r="M404" i="3"/>
  <c r="L404" i="3"/>
  <c r="AE383" i="3"/>
  <c r="AF383" i="3" s="1"/>
  <c r="D405" i="3"/>
  <c r="N405" i="3"/>
  <c r="K405" i="3" s="1"/>
  <c r="AT271" i="1"/>
  <c r="AS271" i="1"/>
  <c r="AR271" i="1"/>
  <c r="AA383" i="3"/>
  <c r="AC384" i="3" s="1"/>
  <c r="AA384" i="3" s="1"/>
  <c r="AJ117" i="2"/>
  <c r="AI117" i="2"/>
  <c r="AK117" i="2" s="1"/>
  <c r="E92" i="35"/>
  <c r="E156" i="2"/>
  <c r="AO272" i="1"/>
  <c r="AP272" i="1" s="1"/>
  <c r="AM272" i="1"/>
  <c r="U385" i="3"/>
  <c r="T385" i="3"/>
  <c r="V384" i="3"/>
  <c r="G130" i="2"/>
  <c r="J130" i="2"/>
  <c r="K130" i="2" s="1"/>
  <c r="U117" i="2"/>
  <c r="T117" i="2"/>
  <c r="AD118" i="2"/>
  <c r="AC118" i="2"/>
  <c r="W384" i="3" l="1"/>
  <c r="AI384" i="3"/>
  <c r="AW280" i="1"/>
  <c r="AY280" i="1"/>
  <c r="AZ280" i="1" s="1"/>
  <c r="BB280" i="1" s="1"/>
  <c r="L130" i="2"/>
  <c r="V385" i="3"/>
  <c r="M405" i="3"/>
  <c r="L405" i="3"/>
  <c r="V117" i="2"/>
  <c r="AD384" i="3"/>
  <c r="AE384" i="3" s="1"/>
  <c r="AF384" i="3" s="1"/>
  <c r="AE118" i="2"/>
  <c r="AF118" i="2" s="1"/>
  <c r="E157" i="2"/>
  <c r="AM273" i="1"/>
  <c r="AO273" i="1"/>
  <c r="AP273" i="1" s="1"/>
  <c r="AT272" i="1"/>
  <c r="AS272" i="1"/>
  <c r="AR272" i="1"/>
  <c r="AJ118" i="2"/>
  <c r="AI118" i="2"/>
  <c r="AL117" i="2"/>
  <c r="AM117" i="2" s="1"/>
  <c r="D406" i="3"/>
  <c r="N406" i="3"/>
  <c r="K406" i="3" s="1"/>
  <c r="R385" i="3"/>
  <c r="AD385" i="3"/>
  <c r="AC385" i="3"/>
  <c r="S117" i="2"/>
  <c r="AB118" i="2"/>
  <c r="G131" i="2"/>
  <c r="J131" i="2"/>
  <c r="K131" i="2" s="1"/>
  <c r="W385" i="3" l="1"/>
  <c r="AI385" i="3"/>
  <c r="W117" i="2"/>
  <c r="AP117" i="2"/>
  <c r="AW281" i="1"/>
  <c r="AY281" i="1"/>
  <c r="AZ281" i="1" s="1"/>
  <c r="BB281" i="1" s="1"/>
  <c r="L131" i="2"/>
  <c r="L406" i="3"/>
  <c r="M406" i="3"/>
  <c r="AL118" i="2"/>
  <c r="AM118" i="2" s="1"/>
  <c r="AE385" i="3"/>
  <c r="AF385" i="3" s="1"/>
  <c r="AK118" i="2"/>
  <c r="AJ119" i="2" s="1"/>
  <c r="AS273" i="1"/>
  <c r="AT273" i="1"/>
  <c r="AR273" i="1"/>
  <c r="AM274" i="1"/>
  <c r="AO274" i="1"/>
  <c r="AP274" i="1" s="1"/>
  <c r="E158" i="2"/>
  <c r="D407" i="3"/>
  <c r="N407" i="3"/>
  <c r="K407" i="3" s="1"/>
  <c r="AA385" i="3"/>
  <c r="U386" i="3"/>
  <c r="T386" i="3"/>
  <c r="U118" i="2"/>
  <c r="T118" i="2"/>
  <c r="J132" i="2"/>
  <c r="K132" i="2" s="1"/>
  <c r="G132" i="2"/>
  <c r="AD119" i="2"/>
  <c r="AC119" i="2"/>
  <c r="AW282" i="1" l="1"/>
  <c r="AY282" i="1"/>
  <c r="AZ282" i="1" s="1"/>
  <c r="BB282" i="1" s="1"/>
  <c r="L132" i="2"/>
  <c r="M407" i="3"/>
  <c r="L407" i="3"/>
  <c r="V386" i="3"/>
  <c r="AE119" i="2"/>
  <c r="AF119" i="2" s="1"/>
  <c r="AI119" i="2"/>
  <c r="AL119" i="2" s="1"/>
  <c r="AM119" i="2" s="1"/>
  <c r="V118" i="2"/>
  <c r="AT274" i="1"/>
  <c r="AS274" i="1"/>
  <c r="AR274" i="1"/>
  <c r="AM275" i="1"/>
  <c r="AO275" i="1"/>
  <c r="AP275" i="1" s="1"/>
  <c r="D408" i="3"/>
  <c r="N408" i="3"/>
  <c r="K408" i="3" s="1"/>
  <c r="E159" i="2"/>
  <c r="R386" i="3"/>
  <c r="AD386" i="3"/>
  <c r="AC386" i="3"/>
  <c r="AB119" i="2"/>
  <c r="S118" i="2"/>
  <c r="G133" i="2"/>
  <c r="J133" i="2"/>
  <c r="K133" i="2" s="1"/>
  <c r="W386" i="3" l="1"/>
  <c r="AI386" i="3"/>
  <c r="W118" i="2"/>
  <c r="AP118" i="2"/>
  <c r="AW283" i="1"/>
  <c r="AY283" i="1"/>
  <c r="AZ283" i="1" s="1"/>
  <c r="BB283" i="1" s="1"/>
  <c r="L133" i="2"/>
  <c r="AE386" i="3"/>
  <c r="AF386" i="3" s="1"/>
  <c r="M408" i="3"/>
  <c r="L408" i="3"/>
  <c r="AK119" i="2"/>
  <c r="AJ120" i="2" s="1"/>
  <c r="AT275" i="1"/>
  <c r="AS275" i="1"/>
  <c r="AR275" i="1"/>
  <c r="AO276" i="1"/>
  <c r="AP276" i="1" s="1"/>
  <c r="AM276" i="1"/>
  <c r="E160" i="2"/>
  <c r="N409" i="3"/>
  <c r="K409" i="3" s="1"/>
  <c r="D409" i="3"/>
  <c r="U387" i="3"/>
  <c r="T387" i="3"/>
  <c r="AA386" i="3"/>
  <c r="G134" i="2"/>
  <c r="J134" i="2"/>
  <c r="K134" i="2" s="1"/>
  <c r="U119" i="2"/>
  <c r="T119" i="2"/>
  <c r="AD120" i="2"/>
  <c r="AC120" i="2"/>
  <c r="AW284" i="1" l="1"/>
  <c r="AY284" i="1"/>
  <c r="AZ284" i="1" s="1"/>
  <c r="BB284" i="1" s="1"/>
  <c r="L134" i="2"/>
  <c r="M409" i="3"/>
  <c r="L409" i="3"/>
  <c r="AI120" i="2"/>
  <c r="AL120" i="2" s="1"/>
  <c r="AM120" i="2" s="1"/>
  <c r="V387" i="3"/>
  <c r="AE120" i="2"/>
  <c r="AF120" i="2" s="1"/>
  <c r="V119" i="2"/>
  <c r="AS276" i="1"/>
  <c r="AR276" i="1"/>
  <c r="AT276" i="1"/>
  <c r="E161" i="2"/>
  <c r="AO277" i="1"/>
  <c r="AP277" i="1" s="1"/>
  <c r="AM277" i="1"/>
  <c r="D410" i="3"/>
  <c r="N410" i="3"/>
  <c r="K410" i="3" s="1"/>
  <c r="R387" i="3"/>
  <c r="AD387" i="3"/>
  <c r="AC387" i="3"/>
  <c r="S119" i="2"/>
  <c r="AB120" i="2"/>
  <c r="G135" i="2"/>
  <c r="J135" i="2"/>
  <c r="K135" i="2" s="1"/>
  <c r="W387" i="3" l="1"/>
  <c r="AI387" i="3"/>
  <c r="W119" i="2"/>
  <c r="AP119" i="2"/>
  <c r="AW285" i="1"/>
  <c r="AY285" i="1"/>
  <c r="AZ285" i="1" s="1"/>
  <c r="BB285" i="1" s="1"/>
  <c r="L135" i="2"/>
  <c r="M410" i="3"/>
  <c r="L410" i="3"/>
  <c r="AK120" i="2"/>
  <c r="AJ121" i="2" s="1"/>
  <c r="AE387" i="3"/>
  <c r="AF387" i="3" s="1"/>
  <c r="AR277" i="1"/>
  <c r="AS277" i="1"/>
  <c r="AT277" i="1"/>
  <c r="E162" i="2"/>
  <c r="AO278" i="1"/>
  <c r="AP278" i="1" s="1"/>
  <c r="AM278" i="1"/>
  <c r="AI121" i="2"/>
  <c r="D411" i="3"/>
  <c r="N411" i="3"/>
  <c r="K411" i="3" s="1"/>
  <c r="AA387" i="3"/>
  <c r="U388" i="3"/>
  <c r="T388" i="3"/>
  <c r="J136" i="2"/>
  <c r="K136" i="2" s="1"/>
  <c r="G136" i="2"/>
  <c r="AD121" i="2"/>
  <c r="AC121" i="2"/>
  <c r="U120" i="2"/>
  <c r="T120" i="2"/>
  <c r="AW286" i="1" l="1"/>
  <c r="AY286" i="1"/>
  <c r="AZ286" i="1" s="1"/>
  <c r="BB286" i="1" s="1"/>
  <c r="L136" i="2"/>
  <c r="M411" i="3"/>
  <c r="L411" i="3"/>
  <c r="AL121" i="2"/>
  <c r="AM121" i="2" s="1"/>
  <c r="AE121" i="2"/>
  <c r="AF121" i="2" s="1"/>
  <c r="V120" i="2"/>
  <c r="E163" i="2"/>
  <c r="AK121" i="2"/>
  <c r="AT278" i="1"/>
  <c r="AS278" i="1"/>
  <c r="AR278" i="1"/>
  <c r="D412" i="3"/>
  <c r="N412" i="3"/>
  <c r="K412" i="3" s="1"/>
  <c r="AO279" i="1"/>
  <c r="AP279" i="1" s="1"/>
  <c r="AM279" i="1"/>
  <c r="V388" i="3"/>
  <c r="R388" i="3"/>
  <c r="AD388" i="3"/>
  <c r="AC388" i="3"/>
  <c r="AB121" i="2"/>
  <c r="S120" i="2"/>
  <c r="G137" i="2"/>
  <c r="J137" i="2"/>
  <c r="K137" i="2" s="1"/>
  <c r="W388" i="3" l="1"/>
  <c r="AI388" i="3"/>
  <c r="W120" i="2"/>
  <c r="AP120" i="2"/>
  <c r="AE388" i="3"/>
  <c r="AF388" i="3" s="1"/>
  <c r="AW287" i="1"/>
  <c r="AY287" i="1"/>
  <c r="AZ287" i="1" s="1"/>
  <c r="BB287" i="1" s="1"/>
  <c r="L137" i="2"/>
  <c r="L412" i="3"/>
  <c r="M412" i="3"/>
  <c r="AJ122" i="2"/>
  <c r="AI122" i="2"/>
  <c r="N413" i="3"/>
  <c r="K413" i="3" s="1"/>
  <c r="D413" i="3"/>
  <c r="AO280" i="1"/>
  <c r="AP280" i="1" s="1"/>
  <c r="AM280" i="1"/>
  <c r="E164" i="2"/>
  <c r="AT279" i="1"/>
  <c r="AS279" i="1"/>
  <c r="AR279" i="1"/>
  <c r="AA388" i="3"/>
  <c r="U389" i="3"/>
  <c r="T389" i="3"/>
  <c r="G138" i="2"/>
  <c r="J138" i="2"/>
  <c r="K138" i="2" s="1"/>
  <c r="U121" i="2"/>
  <c r="T121" i="2"/>
  <c r="AD122" i="2"/>
  <c r="AC122" i="2"/>
  <c r="AL122" i="2" l="1"/>
  <c r="AM122" i="2" s="1"/>
  <c r="AW288" i="1"/>
  <c r="AY288" i="1"/>
  <c r="AZ288" i="1" s="1"/>
  <c r="BB288" i="1" s="1"/>
  <c r="L138" i="2"/>
  <c r="M413" i="3"/>
  <c r="L413" i="3"/>
  <c r="V389" i="3"/>
  <c r="V121" i="2"/>
  <c r="AE122" i="2"/>
  <c r="AF122" i="2" s="1"/>
  <c r="AT280" i="1"/>
  <c r="AS280" i="1"/>
  <c r="AR280" i="1"/>
  <c r="D414" i="3"/>
  <c r="N414" i="3"/>
  <c r="K414" i="3" s="1"/>
  <c r="AM281" i="1"/>
  <c r="AO281" i="1"/>
  <c r="AP281" i="1" s="1"/>
  <c r="E165" i="2"/>
  <c r="AK122" i="2"/>
  <c r="R389" i="3"/>
  <c r="AD389" i="3"/>
  <c r="AC389" i="3"/>
  <c r="S121" i="2"/>
  <c r="AB122" i="2"/>
  <c r="G139" i="2"/>
  <c r="J139" i="2"/>
  <c r="K139" i="2" s="1"/>
  <c r="W389" i="3" l="1"/>
  <c r="AI389" i="3"/>
  <c r="W121" i="2"/>
  <c r="AP121" i="2"/>
  <c r="AW289" i="1"/>
  <c r="AY289" i="1"/>
  <c r="AZ289" i="1" s="1"/>
  <c r="BB289" i="1" s="1"/>
  <c r="L139" i="2"/>
  <c r="M414" i="3"/>
  <c r="N415" i="3"/>
  <c r="K415" i="3" s="1"/>
  <c r="D415" i="3"/>
  <c r="AM282" i="1"/>
  <c r="AO282" i="1"/>
  <c r="AP282" i="1" s="1"/>
  <c r="AE389" i="3"/>
  <c r="AF389" i="3" s="1"/>
  <c r="AJ123" i="2"/>
  <c r="AI123" i="2"/>
  <c r="AT281" i="1"/>
  <c r="AS281" i="1"/>
  <c r="AR281" i="1"/>
  <c r="E166" i="2"/>
  <c r="AA389" i="3"/>
  <c r="U390" i="3"/>
  <c r="T390" i="3"/>
  <c r="J140" i="2"/>
  <c r="K140" i="2" s="1"/>
  <c r="G140" i="2"/>
  <c r="AD123" i="2"/>
  <c r="AC123" i="2"/>
  <c r="U122" i="2"/>
  <c r="T122" i="2"/>
  <c r="AW290" i="1" l="1"/>
  <c r="AY290" i="1"/>
  <c r="AZ290" i="1" s="1"/>
  <c r="BB290" i="1" s="1"/>
  <c r="AL123" i="2"/>
  <c r="AM123" i="2" s="1"/>
  <c r="L140" i="2"/>
  <c r="L415" i="3"/>
  <c r="M415" i="3"/>
  <c r="C93" i="35" s="1"/>
  <c r="AE123" i="2"/>
  <c r="AF123" i="2" s="1"/>
  <c r="V390" i="3"/>
  <c r="AK123" i="2"/>
  <c r="AI124" i="2" s="1"/>
  <c r="D93" i="35"/>
  <c r="E167" i="2"/>
  <c r="AM283" i="1"/>
  <c r="AO283" i="1"/>
  <c r="AP283" i="1" s="1"/>
  <c r="D416" i="3"/>
  <c r="N416" i="3"/>
  <c r="K416" i="3" s="1"/>
  <c r="G93" i="35"/>
  <c r="AT282" i="1"/>
  <c r="AR282" i="1"/>
  <c r="AS282" i="1"/>
  <c r="L414" i="3"/>
  <c r="R390" i="3"/>
  <c r="AD390" i="3"/>
  <c r="AC390" i="3"/>
  <c r="V122" i="2"/>
  <c r="AB123" i="2"/>
  <c r="S122" i="2"/>
  <c r="G141" i="2"/>
  <c r="J141" i="2"/>
  <c r="K141" i="2" s="1"/>
  <c r="W390" i="3" l="1"/>
  <c r="AI390" i="3"/>
  <c r="W122" i="2"/>
  <c r="AP122" i="2"/>
  <c r="AW291" i="1"/>
  <c r="AY291" i="1"/>
  <c r="AZ291" i="1" s="1"/>
  <c r="BB291" i="1" s="1"/>
  <c r="AJ124" i="2"/>
  <c r="AL124" i="2" s="1"/>
  <c r="AM124" i="2" s="1"/>
  <c r="L141" i="2"/>
  <c r="M416" i="3"/>
  <c r="L416" i="3"/>
  <c r="E93" i="35"/>
  <c r="AK124" i="2"/>
  <c r="AJ125" i="2" s="1"/>
  <c r="AE390" i="3"/>
  <c r="AF390" i="3" s="1"/>
  <c r="N417" i="3"/>
  <c r="K417" i="3" s="1"/>
  <c r="D417" i="3"/>
  <c r="AT283" i="1"/>
  <c r="AS283" i="1"/>
  <c r="AR283" i="1"/>
  <c r="AO284" i="1"/>
  <c r="AP284" i="1" s="1"/>
  <c r="AM284" i="1"/>
  <c r="E168" i="2"/>
  <c r="AA390" i="3"/>
  <c r="U391" i="3"/>
  <c r="T391" i="3"/>
  <c r="G142" i="2"/>
  <c r="J142" i="2"/>
  <c r="K142" i="2" s="1"/>
  <c r="U123" i="2"/>
  <c r="T123" i="2"/>
  <c r="AD124" i="2"/>
  <c r="AC124" i="2"/>
  <c r="AW292" i="1" l="1"/>
  <c r="AY292" i="1"/>
  <c r="AZ292" i="1" s="1"/>
  <c r="BB292" i="1" s="1"/>
  <c r="L142" i="2"/>
  <c r="M417" i="3"/>
  <c r="L417" i="3"/>
  <c r="AI125" i="2"/>
  <c r="AL125" i="2" s="1"/>
  <c r="AM125" i="2" s="1"/>
  <c r="V123" i="2"/>
  <c r="AE124" i="2"/>
  <c r="AF124" i="2" s="1"/>
  <c r="D418" i="3"/>
  <c r="N418" i="3"/>
  <c r="K418" i="3" s="1"/>
  <c r="E169" i="2"/>
  <c r="AO285" i="1"/>
  <c r="AP285" i="1" s="1"/>
  <c r="AM285" i="1"/>
  <c r="V391" i="3"/>
  <c r="AS284" i="1"/>
  <c r="AT284" i="1"/>
  <c r="AR284" i="1"/>
  <c r="AD391" i="3"/>
  <c r="AC391" i="3"/>
  <c r="R391" i="3"/>
  <c r="S123" i="2"/>
  <c r="AB124" i="2"/>
  <c r="G143" i="2"/>
  <c r="J143" i="2"/>
  <c r="K143" i="2" s="1"/>
  <c r="W391" i="3" l="1"/>
  <c r="AI391" i="3"/>
  <c r="W123" i="2"/>
  <c r="AP123" i="2"/>
  <c r="AW293" i="1"/>
  <c r="AY293" i="1"/>
  <c r="AZ293" i="1" s="1"/>
  <c r="BB293" i="1" s="1"/>
  <c r="AK125" i="2"/>
  <c r="AJ126" i="2" s="1"/>
  <c r="L143" i="2"/>
  <c r="M418" i="3"/>
  <c r="L418" i="3"/>
  <c r="AE391" i="3"/>
  <c r="AF391" i="3" s="1"/>
  <c r="AR285" i="1"/>
  <c r="AS285" i="1"/>
  <c r="AT285" i="1"/>
  <c r="E170" i="2"/>
  <c r="AO286" i="1"/>
  <c r="AP286" i="1" s="1"/>
  <c r="AM286" i="1"/>
  <c r="D419" i="3"/>
  <c r="N419" i="3"/>
  <c r="K419" i="3" s="1"/>
  <c r="U392" i="3"/>
  <c r="T392" i="3"/>
  <c r="AA391" i="3"/>
  <c r="J144" i="2"/>
  <c r="K144" i="2" s="1"/>
  <c r="G144" i="2"/>
  <c r="AD125" i="2"/>
  <c r="AC125" i="2"/>
  <c r="U124" i="2"/>
  <c r="T124" i="2"/>
  <c r="AI126" i="2" l="1"/>
  <c r="AL126" i="2" s="1"/>
  <c r="AM126" i="2" s="1"/>
  <c r="AW294" i="1"/>
  <c r="AY294" i="1"/>
  <c r="AZ294" i="1" s="1"/>
  <c r="BB294" i="1" s="1"/>
  <c r="L144" i="2"/>
  <c r="M419" i="3"/>
  <c r="L419" i="3"/>
  <c r="V392" i="3"/>
  <c r="AE125" i="2"/>
  <c r="AF125" i="2" s="1"/>
  <c r="V124" i="2"/>
  <c r="E171" i="2"/>
  <c r="N420" i="3"/>
  <c r="K420" i="3" s="1"/>
  <c r="D420" i="3"/>
  <c r="AO287" i="1"/>
  <c r="AP287" i="1" s="1"/>
  <c r="AM287" i="1"/>
  <c r="AT286" i="1"/>
  <c r="AS286" i="1"/>
  <c r="AR286" i="1"/>
  <c r="AD392" i="3"/>
  <c r="AC392" i="3"/>
  <c r="R392" i="3"/>
  <c r="AB125" i="2"/>
  <c r="S124" i="2"/>
  <c r="G145" i="2"/>
  <c r="J145" i="2"/>
  <c r="K145" i="2" s="1"/>
  <c r="W392" i="3" l="1"/>
  <c r="AI392" i="3"/>
  <c r="W124" i="2"/>
  <c r="AP124" i="2"/>
  <c r="AK126" i="2"/>
  <c r="AI127" i="2" s="1"/>
  <c r="AW295" i="1"/>
  <c r="AY295" i="1"/>
  <c r="AZ295" i="1" s="1"/>
  <c r="BB295" i="1" s="1"/>
  <c r="AE392" i="3"/>
  <c r="AF392" i="3" s="1"/>
  <c r="L145" i="2"/>
  <c r="M420" i="3"/>
  <c r="L420" i="3"/>
  <c r="AT287" i="1"/>
  <c r="AS287" i="1"/>
  <c r="AR287" i="1"/>
  <c r="N421" i="3"/>
  <c r="K421" i="3" s="1"/>
  <c r="D421" i="3"/>
  <c r="AJ127" i="2"/>
  <c r="E172" i="2"/>
  <c r="AO288" i="1"/>
  <c r="AP288" i="1" s="1"/>
  <c r="AM288" i="1"/>
  <c r="U393" i="3"/>
  <c r="T393" i="3"/>
  <c r="AA392" i="3"/>
  <c r="G146" i="2"/>
  <c r="J146" i="2"/>
  <c r="K146" i="2" s="1"/>
  <c r="U125" i="2"/>
  <c r="T125" i="2"/>
  <c r="AD126" i="2"/>
  <c r="AC126" i="2"/>
  <c r="AL127" i="2" l="1"/>
  <c r="AM127" i="2" s="1"/>
  <c r="AW296" i="1"/>
  <c r="AY296" i="1"/>
  <c r="AZ296" i="1" s="1"/>
  <c r="BB296" i="1" s="1"/>
  <c r="V393" i="3"/>
  <c r="L146" i="2"/>
  <c r="M421" i="3"/>
  <c r="L421" i="3"/>
  <c r="AE126" i="2"/>
  <c r="AF126" i="2" s="1"/>
  <c r="V125" i="2"/>
  <c r="AK127" i="2"/>
  <c r="D422" i="3"/>
  <c r="N422" i="3"/>
  <c r="K422" i="3" s="1"/>
  <c r="AT288" i="1"/>
  <c r="AS288" i="1"/>
  <c r="AR288" i="1"/>
  <c r="AM289" i="1"/>
  <c r="AO289" i="1"/>
  <c r="AP289" i="1" s="1"/>
  <c r="E173" i="2"/>
  <c r="AD393" i="3"/>
  <c r="AC393" i="3"/>
  <c r="R393" i="3"/>
  <c r="S125" i="2"/>
  <c r="AB126" i="2"/>
  <c r="G147" i="2"/>
  <c r="J147" i="2"/>
  <c r="K147" i="2" s="1"/>
  <c r="W393" i="3" l="1"/>
  <c r="AI393" i="3"/>
  <c r="W125" i="2"/>
  <c r="AP125" i="2"/>
  <c r="AE393" i="3"/>
  <c r="AF393" i="3" s="1"/>
  <c r="AW297" i="1"/>
  <c r="AY297" i="1"/>
  <c r="AZ297" i="1" s="1"/>
  <c r="BB297" i="1" s="1"/>
  <c r="L147" i="2"/>
  <c r="M422" i="3"/>
  <c r="L422" i="3"/>
  <c r="AT289" i="1"/>
  <c r="AS289" i="1"/>
  <c r="AR289" i="1"/>
  <c r="E174" i="2"/>
  <c r="N423" i="3"/>
  <c r="K423" i="3" s="1"/>
  <c r="D423" i="3"/>
  <c r="AM290" i="1"/>
  <c r="AO290" i="1"/>
  <c r="AP290" i="1" s="1"/>
  <c r="AJ128" i="2"/>
  <c r="AI128" i="2"/>
  <c r="U394" i="3"/>
  <c r="T394" i="3"/>
  <c r="AA393" i="3"/>
  <c r="J148" i="2"/>
  <c r="K148" i="2" s="1"/>
  <c r="G148" i="2"/>
  <c r="AD127" i="2"/>
  <c r="AC127" i="2"/>
  <c r="U126" i="2"/>
  <c r="T126" i="2"/>
  <c r="V394" i="3" l="1"/>
  <c r="AL128" i="2"/>
  <c r="AM128" i="2" s="1"/>
  <c r="AW298" i="1"/>
  <c r="AY298" i="1"/>
  <c r="AZ298" i="1" s="1"/>
  <c r="BB298" i="1" s="1"/>
  <c r="L148" i="2"/>
  <c r="M423" i="3"/>
  <c r="L423" i="3"/>
  <c r="V126" i="2"/>
  <c r="AE127" i="2"/>
  <c r="AF127" i="2" s="1"/>
  <c r="N424" i="3"/>
  <c r="K424" i="3" s="1"/>
  <c r="D424" i="3"/>
  <c r="AO291" i="1"/>
  <c r="AP291" i="1" s="1"/>
  <c r="AM291" i="1"/>
  <c r="AK128" i="2"/>
  <c r="E175" i="2"/>
  <c r="AT290" i="1"/>
  <c r="AR290" i="1"/>
  <c r="AS290" i="1"/>
  <c r="AD394" i="3"/>
  <c r="AC394" i="3"/>
  <c r="R394" i="3"/>
  <c r="S126" i="2"/>
  <c r="AB127" i="2"/>
  <c r="G149" i="2"/>
  <c r="J149" i="2"/>
  <c r="K149" i="2" s="1"/>
  <c r="W394" i="3" l="1"/>
  <c r="AI394" i="3"/>
  <c r="W126" i="2"/>
  <c r="AP126" i="2"/>
  <c r="AW299" i="1"/>
  <c r="AY299" i="1"/>
  <c r="AZ299" i="1" s="1"/>
  <c r="BB299" i="1" s="1"/>
  <c r="L149" i="2"/>
  <c r="M424" i="3"/>
  <c r="L424" i="3"/>
  <c r="AE394" i="3"/>
  <c r="AF394" i="3" s="1"/>
  <c r="AJ129" i="2"/>
  <c r="AI129" i="2"/>
  <c r="AO292" i="1"/>
  <c r="AP292" i="1" s="1"/>
  <c r="AM292" i="1"/>
  <c r="AT291" i="1"/>
  <c r="AS291" i="1"/>
  <c r="AR291" i="1"/>
  <c r="N425" i="3"/>
  <c r="K425" i="3" s="1"/>
  <c r="D425" i="3"/>
  <c r="E176" i="2"/>
  <c r="AA394" i="3"/>
  <c r="AD395" i="3" s="1"/>
  <c r="U395" i="3"/>
  <c r="T395" i="3"/>
  <c r="U127" i="2"/>
  <c r="T127" i="2"/>
  <c r="G150" i="2"/>
  <c r="J150" i="2"/>
  <c r="K150" i="2" s="1"/>
  <c r="AD128" i="2"/>
  <c r="AC128" i="2"/>
  <c r="AE128" i="2" l="1"/>
  <c r="AF128" i="2" s="1"/>
  <c r="AW300" i="1"/>
  <c r="AY300" i="1"/>
  <c r="AZ300" i="1" s="1"/>
  <c r="BB300" i="1" s="1"/>
  <c r="L150" i="2"/>
  <c r="M425" i="3"/>
  <c r="L425" i="3"/>
  <c r="V395" i="3"/>
  <c r="AL129" i="2"/>
  <c r="AM129" i="2" s="1"/>
  <c r="AC395" i="3"/>
  <c r="AE395" i="3" s="1"/>
  <c r="AF395" i="3" s="1"/>
  <c r="V127" i="2"/>
  <c r="AM293" i="1"/>
  <c r="AO293" i="1"/>
  <c r="AP293" i="1" s="1"/>
  <c r="E177" i="2"/>
  <c r="AT292" i="1"/>
  <c r="AS292" i="1"/>
  <c r="AR292" i="1"/>
  <c r="D426" i="3"/>
  <c r="N426" i="3"/>
  <c r="K426" i="3" s="1"/>
  <c r="AK129" i="2"/>
  <c r="R395" i="3"/>
  <c r="G151" i="2"/>
  <c r="J151" i="2"/>
  <c r="K151" i="2" s="1"/>
  <c r="AB128" i="2"/>
  <c r="S127" i="2"/>
  <c r="W395" i="3" l="1"/>
  <c r="AI395" i="3"/>
  <c r="W127" i="2"/>
  <c r="AP127" i="2"/>
  <c r="AW301" i="1"/>
  <c r="AY301" i="1"/>
  <c r="AZ301" i="1" s="1"/>
  <c r="BB301" i="1" s="1"/>
  <c r="L151" i="2"/>
  <c r="M426" i="3"/>
  <c r="AA395" i="3"/>
  <c r="AD396" i="3" s="1"/>
  <c r="E178" i="2"/>
  <c r="D427" i="3"/>
  <c r="N427" i="3"/>
  <c r="K427" i="3" s="1"/>
  <c r="AS293" i="1"/>
  <c r="AR293" i="1"/>
  <c r="AT293" i="1"/>
  <c r="AJ130" i="2"/>
  <c r="AI130" i="2"/>
  <c r="AO294" i="1"/>
  <c r="AP294" i="1" s="1"/>
  <c r="AM294" i="1"/>
  <c r="U396" i="3"/>
  <c r="T396" i="3"/>
  <c r="U128" i="2"/>
  <c r="T128" i="2"/>
  <c r="AD129" i="2"/>
  <c r="AC129" i="2"/>
  <c r="J152" i="2"/>
  <c r="K152" i="2" s="1"/>
  <c r="G152" i="2"/>
  <c r="AW302" i="1" l="1"/>
  <c r="AY302" i="1"/>
  <c r="AZ302" i="1" s="1"/>
  <c r="BB302" i="1" s="1"/>
  <c r="L152" i="2"/>
  <c r="M427" i="3"/>
  <c r="C94" i="35" s="1"/>
  <c r="L427" i="3"/>
  <c r="AE129" i="2"/>
  <c r="AF129" i="2" s="1"/>
  <c r="AL130" i="2"/>
  <c r="AM130" i="2" s="1"/>
  <c r="AC396" i="3"/>
  <c r="AE396" i="3" s="1"/>
  <c r="AF396" i="3" s="1"/>
  <c r="D94" i="35"/>
  <c r="V128" i="2"/>
  <c r="AK130" i="2"/>
  <c r="AJ131" i="2" s="1"/>
  <c r="AO295" i="1"/>
  <c r="AP295" i="1" s="1"/>
  <c r="AM295" i="1"/>
  <c r="AT294" i="1"/>
  <c r="AS294" i="1"/>
  <c r="AR294" i="1"/>
  <c r="L426" i="3"/>
  <c r="D428" i="3"/>
  <c r="N428" i="3"/>
  <c r="K428" i="3" s="1"/>
  <c r="G94" i="35"/>
  <c r="V396" i="3"/>
  <c r="E179" i="2"/>
  <c r="R396" i="3"/>
  <c r="G153" i="2"/>
  <c r="J153" i="2"/>
  <c r="K153" i="2" s="1"/>
  <c r="S128" i="2"/>
  <c r="AB129" i="2"/>
  <c r="W396" i="3" l="1"/>
  <c r="AI396" i="3"/>
  <c r="W128" i="2"/>
  <c r="AP128" i="2"/>
  <c r="AW303" i="1"/>
  <c r="AY303" i="1"/>
  <c r="AZ303" i="1" s="1"/>
  <c r="BB303" i="1" s="1"/>
  <c r="L153" i="2"/>
  <c r="M428" i="3"/>
  <c r="L428" i="3"/>
  <c r="AI131" i="2"/>
  <c r="AK131" i="2" s="1"/>
  <c r="AA396" i="3"/>
  <c r="AD397" i="3" s="1"/>
  <c r="E94" i="35"/>
  <c r="N429" i="3"/>
  <c r="K429" i="3" s="1"/>
  <c r="D429" i="3"/>
  <c r="AO296" i="1"/>
  <c r="AP296" i="1" s="1"/>
  <c r="AM296" i="1"/>
  <c r="E180" i="2"/>
  <c r="AT295" i="1"/>
  <c r="AS295" i="1"/>
  <c r="AR295" i="1"/>
  <c r="U397" i="3"/>
  <c r="T397" i="3"/>
  <c r="AD130" i="2"/>
  <c r="AC130" i="2"/>
  <c r="U129" i="2"/>
  <c r="T129" i="2"/>
  <c r="G154" i="2"/>
  <c r="J154" i="2"/>
  <c r="K154" i="2" s="1"/>
  <c r="AE130" i="2" l="1"/>
  <c r="AF130" i="2" s="1"/>
  <c r="AW304" i="1"/>
  <c r="AY304" i="1"/>
  <c r="AZ304" i="1" s="1"/>
  <c r="BB304" i="1" s="1"/>
  <c r="AC397" i="3"/>
  <c r="AE397" i="3" s="1"/>
  <c r="AF397" i="3" s="1"/>
  <c r="V397" i="3"/>
  <c r="AL131" i="2"/>
  <c r="AM131" i="2" s="1"/>
  <c r="L154" i="2"/>
  <c r="M429" i="3"/>
  <c r="L429" i="3"/>
  <c r="V129" i="2"/>
  <c r="E181" i="2"/>
  <c r="AO297" i="1"/>
  <c r="AP297" i="1" s="1"/>
  <c r="AM297" i="1"/>
  <c r="AJ132" i="2"/>
  <c r="AI132" i="2"/>
  <c r="AT296" i="1"/>
  <c r="AS296" i="1"/>
  <c r="AR296" i="1"/>
  <c r="N430" i="3"/>
  <c r="K430" i="3" s="1"/>
  <c r="D430" i="3"/>
  <c r="R397" i="3"/>
  <c r="AB130" i="2"/>
  <c r="S129" i="2"/>
  <c r="G155" i="2"/>
  <c r="J155" i="2"/>
  <c r="K155" i="2" s="1"/>
  <c r="W397" i="3" l="1"/>
  <c r="AI397" i="3"/>
  <c r="W129" i="2"/>
  <c r="AP129" i="2"/>
  <c r="AW305" i="1"/>
  <c r="AY305" i="1"/>
  <c r="AZ305" i="1" s="1"/>
  <c r="BB305" i="1" s="1"/>
  <c r="AA397" i="3"/>
  <c r="AD398" i="3" s="1"/>
  <c r="L155" i="2"/>
  <c r="M430" i="3"/>
  <c r="L430" i="3"/>
  <c r="AL132" i="2"/>
  <c r="AM132" i="2" s="1"/>
  <c r="AK132" i="2"/>
  <c r="AO298" i="1"/>
  <c r="AP298" i="1" s="1"/>
  <c r="AM298" i="1"/>
  <c r="AT297" i="1"/>
  <c r="AS297" i="1"/>
  <c r="AR297" i="1"/>
  <c r="D431" i="3"/>
  <c r="N431" i="3"/>
  <c r="K431" i="3" s="1"/>
  <c r="E182" i="2"/>
  <c r="U398" i="3"/>
  <c r="T398" i="3"/>
  <c r="J156" i="2"/>
  <c r="K156" i="2" s="1"/>
  <c r="G156" i="2"/>
  <c r="U130" i="2"/>
  <c r="T130" i="2"/>
  <c r="AD131" i="2"/>
  <c r="AC131" i="2"/>
  <c r="AC398" i="3" l="1"/>
  <c r="AE398" i="3" s="1"/>
  <c r="AF398" i="3" s="1"/>
  <c r="AW306" i="1"/>
  <c r="AY306" i="1"/>
  <c r="AZ306" i="1" s="1"/>
  <c r="BB306" i="1" s="1"/>
  <c r="AE131" i="2"/>
  <c r="AF131" i="2" s="1"/>
  <c r="L156" i="2"/>
  <c r="M431" i="3"/>
  <c r="L431" i="3"/>
  <c r="V130" i="2"/>
  <c r="V398" i="3"/>
  <c r="D432" i="3"/>
  <c r="N432" i="3"/>
  <c r="K432" i="3" s="1"/>
  <c r="AO299" i="1"/>
  <c r="AP299" i="1" s="1"/>
  <c r="AM299" i="1"/>
  <c r="AT298" i="1"/>
  <c r="AS298" i="1"/>
  <c r="AR298" i="1"/>
  <c r="E183" i="2"/>
  <c r="AJ133" i="2"/>
  <c r="AI133" i="2"/>
  <c r="R398" i="3"/>
  <c r="S130" i="2"/>
  <c r="AB131" i="2"/>
  <c r="G157" i="2"/>
  <c r="J157" i="2"/>
  <c r="K157" i="2" s="1"/>
  <c r="W398" i="3" l="1"/>
  <c r="AI398" i="3"/>
  <c r="AP130" i="2"/>
  <c r="W130" i="2"/>
  <c r="AA398" i="3"/>
  <c r="AD399" i="3" s="1"/>
  <c r="AW307" i="1"/>
  <c r="AY307" i="1"/>
  <c r="AZ307" i="1" s="1"/>
  <c r="BB307" i="1" s="1"/>
  <c r="L157" i="2"/>
  <c r="L432" i="3"/>
  <c r="M432" i="3"/>
  <c r="AL133" i="2"/>
  <c r="AM133" i="2" s="1"/>
  <c r="AT299" i="1"/>
  <c r="AS299" i="1"/>
  <c r="AR299" i="1"/>
  <c r="AK133" i="2"/>
  <c r="AO300" i="1"/>
  <c r="AP300" i="1" s="1"/>
  <c r="AM300" i="1"/>
  <c r="E184" i="2"/>
  <c r="D433" i="3"/>
  <c r="N433" i="3"/>
  <c r="K433" i="3" s="1"/>
  <c r="U399" i="3"/>
  <c r="T399" i="3"/>
  <c r="AD132" i="2"/>
  <c r="AC132" i="2"/>
  <c r="U131" i="2"/>
  <c r="T131" i="2"/>
  <c r="G158" i="2"/>
  <c r="J158" i="2"/>
  <c r="K158" i="2" s="1"/>
  <c r="AC399" i="3" l="1"/>
  <c r="AE399" i="3" s="1"/>
  <c r="AF399" i="3" s="1"/>
  <c r="AW308" i="1"/>
  <c r="AY308" i="1"/>
  <c r="AZ308" i="1" s="1"/>
  <c r="BB308" i="1" s="1"/>
  <c r="AE132" i="2"/>
  <c r="AF132" i="2" s="1"/>
  <c r="L158" i="2"/>
  <c r="M433" i="3"/>
  <c r="L433" i="3"/>
  <c r="V131" i="2"/>
  <c r="AT300" i="1"/>
  <c r="AS300" i="1"/>
  <c r="AR300" i="1"/>
  <c r="AO301" i="1"/>
  <c r="AP301" i="1" s="1"/>
  <c r="AM301" i="1"/>
  <c r="AJ134" i="2"/>
  <c r="AI134" i="2"/>
  <c r="E185" i="2"/>
  <c r="V399" i="3"/>
  <c r="D434" i="3"/>
  <c r="N434" i="3"/>
  <c r="K434" i="3" s="1"/>
  <c r="R399" i="3"/>
  <c r="G159" i="2"/>
  <c r="J159" i="2"/>
  <c r="K159" i="2" s="1"/>
  <c r="S131" i="2"/>
  <c r="AB132" i="2"/>
  <c r="W399" i="3" l="1"/>
  <c r="AI399" i="3"/>
  <c r="W131" i="2"/>
  <c r="AP131" i="2"/>
  <c r="AA399" i="3"/>
  <c r="AD400" i="3" s="1"/>
  <c r="AW309" i="1"/>
  <c r="AY309" i="1"/>
  <c r="AZ309" i="1" s="1"/>
  <c r="BB309" i="1" s="1"/>
  <c r="AL134" i="2"/>
  <c r="AM134" i="2" s="1"/>
  <c r="L159" i="2"/>
  <c r="L434" i="3"/>
  <c r="M434" i="3"/>
  <c r="AO302" i="1"/>
  <c r="AP302" i="1" s="1"/>
  <c r="AM302" i="1"/>
  <c r="AT301" i="1"/>
  <c r="AS301" i="1"/>
  <c r="AR301" i="1"/>
  <c r="AK134" i="2"/>
  <c r="N435" i="3"/>
  <c r="K435" i="3" s="1"/>
  <c r="D435" i="3"/>
  <c r="E186" i="2"/>
  <c r="U400" i="3"/>
  <c r="T400" i="3"/>
  <c r="AD133" i="2"/>
  <c r="AC133" i="2"/>
  <c r="U132" i="2"/>
  <c r="T132" i="2"/>
  <c r="J160" i="2"/>
  <c r="K160" i="2" s="1"/>
  <c r="G160" i="2"/>
  <c r="AC400" i="3" l="1"/>
  <c r="AE400" i="3" s="1"/>
  <c r="AF400" i="3" s="1"/>
  <c r="AW310" i="1"/>
  <c r="AY310" i="1"/>
  <c r="AZ310" i="1" s="1"/>
  <c r="BB310" i="1" s="1"/>
  <c r="L160" i="2"/>
  <c r="M435" i="3"/>
  <c r="L435" i="3"/>
  <c r="V400" i="3"/>
  <c r="V132" i="2"/>
  <c r="AE133" i="2"/>
  <c r="AF133" i="2" s="1"/>
  <c r="N436" i="3"/>
  <c r="K436" i="3" s="1"/>
  <c r="D436" i="3"/>
  <c r="AO303" i="1"/>
  <c r="AP303" i="1" s="1"/>
  <c r="AM303" i="1"/>
  <c r="AJ135" i="2"/>
  <c r="AI135" i="2"/>
  <c r="E187" i="2"/>
  <c r="AT302" i="1"/>
  <c r="AS302" i="1"/>
  <c r="AR302" i="1"/>
  <c r="R400" i="3"/>
  <c r="G161" i="2"/>
  <c r="J161" i="2"/>
  <c r="K161" i="2" s="1"/>
  <c r="AB133" i="2"/>
  <c r="S132" i="2"/>
  <c r="W400" i="3" l="1"/>
  <c r="AI400" i="3"/>
  <c r="W132" i="2"/>
  <c r="AP132" i="2"/>
  <c r="AA400" i="3"/>
  <c r="AD401" i="3" s="1"/>
  <c r="AW311" i="1"/>
  <c r="AY311" i="1"/>
  <c r="AZ311" i="1" s="1"/>
  <c r="BB311" i="1" s="1"/>
  <c r="L161" i="2"/>
  <c r="M436" i="3"/>
  <c r="L436" i="3"/>
  <c r="AL135" i="2"/>
  <c r="AM135" i="2" s="1"/>
  <c r="AK135" i="2"/>
  <c r="AT303" i="1"/>
  <c r="AS303" i="1"/>
  <c r="AR303" i="1"/>
  <c r="D437" i="3"/>
  <c r="N437" i="3"/>
  <c r="K437" i="3" s="1"/>
  <c r="AO304" i="1"/>
  <c r="AP304" i="1" s="1"/>
  <c r="AM304" i="1"/>
  <c r="E188" i="2"/>
  <c r="U401" i="3"/>
  <c r="T401" i="3"/>
  <c r="G162" i="2"/>
  <c r="J162" i="2"/>
  <c r="K162" i="2" s="1"/>
  <c r="U133" i="2"/>
  <c r="T133" i="2"/>
  <c r="AD134" i="2"/>
  <c r="AC134" i="2"/>
  <c r="AC401" i="3" l="1"/>
  <c r="AA401" i="3" s="1"/>
  <c r="AW312" i="1"/>
  <c r="AY312" i="1"/>
  <c r="AZ312" i="1" s="1"/>
  <c r="BB312" i="1" s="1"/>
  <c r="V401" i="3"/>
  <c r="L162" i="2"/>
  <c r="L437" i="3"/>
  <c r="M437" i="3"/>
  <c r="V133" i="2"/>
  <c r="AT304" i="1"/>
  <c r="AS304" i="1"/>
  <c r="AR304" i="1"/>
  <c r="D438" i="3"/>
  <c r="N438" i="3"/>
  <c r="K438" i="3" s="1"/>
  <c r="E189" i="2"/>
  <c r="AO305" i="1"/>
  <c r="AP305" i="1" s="1"/>
  <c r="AM305" i="1"/>
  <c r="AE134" i="2"/>
  <c r="AF134" i="2" s="1"/>
  <c r="AJ136" i="2"/>
  <c r="AI136" i="2"/>
  <c r="R401" i="3"/>
  <c r="AB134" i="2"/>
  <c r="S133" i="2"/>
  <c r="G163" i="2"/>
  <c r="J163" i="2"/>
  <c r="K163" i="2" s="1"/>
  <c r="W401" i="3" l="1"/>
  <c r="AI401" i="3"/>
  <c r="W133" i="2"/>
  <c r="AP133" i="2"/>
  <c r="AE401" i="3"/>
  <c r="AF401" i="3" s="1"/>
  <c r="AW313" i="1"/>
  <c r="AY313" i="1"/>
  <c r="AZ313" i="1" s="1"/>
  <c r="BB313" i="1" s="1"/>
  <c r="L163" i="2"/>
  <c r="M438" i="3"/>
  <c r="L438" i="3"/>
  <c r="AL136" i="2"/>
  <c r="AM136" i="2" s="1"/>
  <c r="E190" i="2"/>
  <c r="N439" i="3"/>
  <c r="K439" i="3" s="1"/>
  <c r="D439" i="3"/>
  <c r="AO306" i="1"/>
  <c r="AP306" i="1" s="1"/>
  <c r="AM306" i="1"/>
  <c r="AK136" i="2"/>
  <c r="AT305" i="1"/>
  <c r="AS305" i="1"/>
  <c r="AR305" i="1"/>
  <c r="AD402" i="3"/>
  <c r="AC402" i="3"/>
  <c r="U402" i="3"/>
  <c r="T402" i="3"/>
  <c r="J164" i="2"/>
  <c r="K164" i="2" s="1"/>
  <c r="G164" i="2"/>
  <c r="U134" i="2"/>
  <c r="T134" i="2"/>
  <c r="AD135" i="2"/>
  <c r="AC135" i="2"/>
  <c r="AE402" i="3" l="1"/>
  <c r="AF402" i="3" s="1"/>
  <c r="AW314" i="1"/>
  <c r="AY314" i="1"/>
  <c r="AZ314" i="1" s="1"/>
  <c r="BB314" i="1" s="1"/>
  <c r="L164" i="2"/>
  <c r="M439" i="3"/>
  <c r="C95" i="35" s="1"/>
  <c r="V402" i="3"/>
  <c r="AE135" i="2"/>
  <c r="AF135" i="2" s="1"/>
  <c r="V134" i="2"/>
  <c r="AT306" i="1"/>
  <c r="AS306" i="1"/>
  <c r="AR306" i="1"/>
  <c r="AJ137" i="2"/>
  <c r="AI137" i="2"/>
  <c r="AO307" i="1"/>
  <c r="AP307" i="1" s="1"/>
  <c r="AM307" i="1"/>
  <c r="G95" i="35"/>
  <c r="N440" i="3"/>
  <c r="K440" i="3" s="1"/>
  <c r="D440" i="3"/>
  <c r="D95" i="35"/>
  <c r="E191" i="2"/>
  <c r="R402" i="3"/>
  <c r="AA402" i="3"/>
  <c r="S134" i="2"/>
  <c r="AB135" i="2"/>
  <c r="G165" i="2"/>
  <c r="J165" i="2"/>
  <c r="K165" i="2" s="1"/>
  <c r="W402" i="3" l="1"/>
  <c r="AI402" i="3"/>
  <c r="W134" i="2"/>
  <c r="AP134" i="2"/>
  <c r="AW315" i="1"/>
  <c r="AY315" i="1"/>
  <c r="AZ315" i="1" s="1"/>
  <c r="BB315" i="1" s="1"/>
  <c r="L165" i="2"/>
  <c r="M440" i="3"/>
  <c r="L440" i="3"/>
  <c r="AL137" i="2"/>
  <c r="AM137" i="2" s="1"/>
  <c r="AO308" i="1"/>
  <c r="AP308" i="1" s="1"/>
  <c r="AM308" i="1"/>
  <c r="E192" i="2"/>
  <c r="L439" i="3"/>
  <c r="E95" i="35"/>
  <c r="D441" i="3"/>
  <c r="N441" i="3"/>
  <c r="K441" i="3" s="1"/>
  <c r="AT307" i="1"/>
  <c r="AS307" i="1"/>
  <c r="AR307" i="1"/>
  <c r="AK137" i="2"/>
  <c r="AD403" i="3"/>
  <c r="AC403" i="3"/>
  <c r="U403" i="3"/>
  <c r="T403" i="3"/>
  <c r="G166" i="2"/>
  <c r="J166" i="2"/>
  <c r="K166" i="2" s="1"/>
  <c r="AD136" i="2"/>
  <c r="AC136" i="2"/>
  <c r="U135" i="2"/>
  <c r="T135" i="2"/>
  <c r="V403" i="3" l="1"/>
  <c r="AW316" i="1"/>
  <c r="AY316" i="1"/>
  <c r="AZ316" i="1" s="1"/>
  <c r="BB316" i="1" s="1"/>
  <c r="AE136" i="2"/>
  <c r="AF136" i="2" s="1"/>
  <c r="L166" i="2"/>
  <c r="M441" i="3"/>
  <c r="L441" i="3"/>
  <c r="AJ138" i="2"/>
  <c r="AI138" i="2"/>
  <c r="E193" i="2"/>
  <c r="N442" i="3"/>
  <c r="K442" i="3" s="1"/>
  <c r="D442" i="3"/>
  <c r="AO309" i="1"/>
  <c r="AP309" i="1" s="1"/>
  <c r="AM309" i="1"/>
  <c r="AE403" i="3"/>
  <c r="AF403" i="3" s="1"/>
  <c r="AT308" i="1"/>
  <c r="AS308" i="1"/>
  <c r="AR308" i="1"/>
  <c r="R403" i="3"/>
  <c r="AA403" i="3"/>
  <c r="V135" i="2"/>
  <c r="G167" i="2"/>
  <c r="J167" i="2"/>
  <c r="K167" i="2" s="1"/>
  <c r="S135" i="2"/>
  <c r="AB136" i="2"/>
  <c r="W403" i="3" l="1"/>
  <c r="AI403" i="3"/>
  <c r="W135" i="2"/>
  <c r="AP135" i="2"/>
  <c r="AW317" i="1"/>
  <c r="AY317" i="1"/>
  <c r="AZ317" i="1" s="1"/>
  <c r="BB317" i="1" s="1"/>
  <c r="L167" i="2"/>
  <c r="M442" i="3"/>
  <c r="L442" i="3"/>
  <c r="AL138" i="2"/>
  <c r="AM138" i="2" s="1"/>
  <c r="N443" i="3"/>
  <c r="K443" i="3" s="1"/>
  <c r="D443" i="3"/>
  <c r="AT309" i="1"/>
  <c r="AS309" i="1"/>
  <c r="AR309" i="1"/>
  <c r="E194" i="2"/>
  <c r="AO310" i="1"/>
  <c r="AP310" i="1" s="1"/>
  <c r="AM310" i="1"/>
  <c r="AK138" i="2"/>
  <c r="AD404" i="3"/>
  <c r="AC404" i="3"/>
  <c r="AA404" i="3" s="1"/>
  <c r="U404" i="3"/>
  <c r="T404" i="3"/>
  <c r="J168" i="2"/>
  <c r="K168" i="2" s="1"/>
  <c r="G168" i="2"/>
  <c r="AD137" i="2"/>
  <c r="AC137" i="2"/>
  <c r="U136" i="2"/>
  <c r="T136" i="2"/>
  <c r="AW318" i="1" l="1"/>
  <c r="AY318" i="1"/>
  <c r="AZ318" i="1" s="1"/>
  <c r="BB318" i="1" s="1"/>
  <c r="V136" i="2"/>
  <c r="L168" i="2"/>
  <c r="M443" i="3"/>
  <c r="L443" i="3"/>
  <c r="V404" i="3"/>
  <c r="AE137" i="2"/>
  <c r="AF137" i="2" s="1"/>
  <c r="E195" i="2"/>
  <c r="AJ139" i="2"/>
  <c r="AI139" i="2"/>
  <c r="D444" i="3"/>
  <c r="N444" i="3"/>
  <c r="K444" i="3" s="1"/>
  <c r="AT310" i="1"/>
  <c r="AS310" i="1"/>
  <c r="AR310" i="1"/>
  <c r="AO311" i="1"/>
  <c r="AP311" i="1" s="1"/>
  <c r="AM311" i="1"/>
  <c r="R404" i="3"/>
  <c r="AE404" i="3"/>
  <c r="AF404" i="3" s="1"/>
  <c r="AD405" i="3"/>
  <c r="AC405" i="3"/>
  <c r="AB137" i="2"/>
  <c r="S136" i="2"/>
  <c r="G169" i="2"/>
  <c r="J169" i="2"/>
  <c r="K169" i="2" s="1"/>
  <c r="W404" i="3" l="1"/>
  <c r="AI404" i="3"/>
  <c r="W136" i="2"/>
  <c r="AP136" i="2"/>
  <c r="AW319" i="1"/>
  <c r="AY319" i="1"/>
  <c r="AZ319" i="1" s="1"/>
  <c r="BB319" i="1" s="1"/>
  <c r="AE405" i="3"/>
  <c r="AF405" i="3" s="1"/>
  <c r="L169" i="2"/>
  <c r="M444" i="3"/>
  <c r="L444" i="3"/>
  <c r="AL139" i="2"/>
  <c r="AM139" i="2" s="1"/>
  <c r="N445" i="3"/>
  <c r="K445" i="3" s="1"/>
  <c r="D445" i="3"/>
  <c r="AT311" i="1"/>
  <c r="AS311" i="1"/>
  <c r="AR311" i="1"/>
  <c r="AK139" i="2"/>
  <c r="E196" i="2"/>
  <c r="AO312" i="1"/>
  <c r="AP312" i="1" s="1"/>
  <c r="AM312" i="1"/>
  <c r="AA405" i="3"/>
  <c r="U405" i="3"/>
  <c r="T405" i="3"/>
  <c r="G170" i="2"/>
  <c r="J170" i="2"/>
  <c r="K170" i="2" s="1"/>
  <c r="U137" i="2"/>
  <c r="T137" i="2"/>
  <c r="AD138" i="2"/>
  <c r="AC138" i="2"/>
  <c r="AW320" i="1" l="1"/>
  <c r="AY320" i="1"/>
  <c r="AZ320" i="1" s="1"/>
  <c r="BB320" i="1" s="1"/>
  <c r="L170" i="2"/>
  <c r="M445" i="3"/>
  <c r="L445" i="3"/>
  <c r="V137" i="2"/>
  <c r="V405" i="3"/>
  <c r="AE138" i="2"/>
  <c r="AF138" i="2" s="1"/>
  <c r="E197" i="2"/>
  <c r="AO313" i="1"/>
  <c r="AP313" i="1" s="1"/>
  <c r="AM313" i="1"/>
  <c r="N446" i="3"/>
  <c r="K446" i="3" s="1"/>
  <c r="D446" i="3"/>
  <c r="AJ140" i="2"/>
  <c r="AI140" i="2"/>
  <c r="AK140" i="2" s="1"/>
  <c r="AT312" i="1"/>
  <c r="AS312" i="1"/>
  <c r="AR312" i="1"/>
  <c r="AD406" i="3"/>
  <c r="AC406" i="3"/>
  <c r="AA406" i="3" s="1"/>
  <c r="R405" i="3"/>
  <c r="AB138" i="2"/>
  <c r="S137" i="2"/>
  <c r="G171" i="2"/>
  <c r="J171" i="2"/>
  <c r="K171" i="2" s="1"/>
  <c r="W405" i="3" l="1"/>
  <c r="AI405" i="3"/>
  <c r="W137" i="2"/>
  <c r="AP137" i="2"/>
  <c r="AW321" i="1"/>
  <c r="AY321" i="1"/>
  <c r="AZ321" i="1" s="1"/>
  <c r="BB321" i="1" s="1"/>
  <c r="L171" i="2"/>
  <c r="M446" i="3"/>
  <c r="L446" i="3"/>
  <c r="AO314" i="1"/>
  <c r="AP314" i="1" s="1"/>
  <c r="AM314" i="1"/>
  <c r="D447" i="3"/>
  <c r="N447" i="3"/>
  <c r="K447" i="3" s="1"/>
  <c r="AT313" i="1"/>
  <c r="AS313" i="1"/>
  <c r="AR313" i="1"/>
  <c r="E198" i="2"/>
  <c r="AJ141" i="2"/>
  <c r="AI141" i="2"/>
  <c r="AL140" i="2"/>
  <c r="AM140" i="2" s="1"/>
  <c r="AD407" i="3"/>
  <c r="AC407" i="3"/>
  <c r="U406" i="3"/>
  <c r="T406" i="3"/>
  <c r="R406" i="3" s="1"/>
  <c r="AE406" i="3"/>
  <c r="AF406" i="3" s="1"/>
  <c r="J172" i="2"/>
  <c r="K172" i="2" s="1"/>
  <c r="G172" i="2"/>
  <c r="U138" i="2"/>
  <c r="T138" i="2"/>
  <c r="AD139" i="2"/>
  <c r="AC139" i="2"/>
  <c r="AB139" i="2" s="1"/>
  <c r="AW322" i="1" l="1"/>
  <c r="AY322" i="1"/>
  <c r="AZ322" i="1" s="1"/>
  <c r="BB322" i="1" s="1"/>
  <c r="L172" i="2"/>
  <c r="M447" i="3"/>
  <c r="L447" i="3"/>
  <c r="AL141" i="2"/>
  <c r="AM141" i="2" s="1"/>
  <c r="AE407" i="3"/>
  <c r="AF407" i="3" s="1"/>
  <c r="N448" i="3"/>
  <c r="K448" i="3" s="1"/>
  <c r="D448" i="3"/>
  <c r="E199" i="2"/>
  <c r="AK141" i="2"/>
  <c r="AO315" i="1"/>
  <c r="AP315" i="1" s="1"/>
  <c r="AM315" i="1"/>
  <c r="V138" i="2"/>
  <c r="AT314" i="1"/>
  <c r="AS314" i="1"/>
  <c r="AR314" i="1"/>
  <c r="U407" i="3"/>
  <c r="T407" i="3"/>
  <c r="V406" i="3"/>
  <c r="AA407" i="3"/>
  <c r="AE139" i="2"/>
  <c r="AF139" i="2" s="1"/>
  <c r="S138" i="2"/>
  <c r="G173" i="2"/>
  <c r="J173" i="2"/>
  <c r="K173" i="2" s="1"/>
  <c r="AD140" i="2"/>
  <c r="AC140" i="2"/>
  <c r="W406" i="3" l="1"/>
  <c r="AI406" i="3"/>
  <c r="W138" i="2"/>
  <c r="AP138" i="2"/>
  <c r="AW323" i="1"/>
  <c r="AY323" i="1"/>
  <c r="AZ323" i="1" s="1"/>
  <c r="BB323" i="1" s="1"/>
  <c r="L173" i="2"/>
  <c r="M448" i="3"/>
  <c r="L448" i="3"/>
  <c r="V407" i="3"/>
  <c r="AE140" i="2"/>
  <c r="AF140" i="2" s="1"/>
  <c r="AJ142" i="2"/>
  <c r="AI142" i="2"/>
  <c r="AT315" i="1"/>
  <c r="AS315" i="1"/>
  <c r="AR315" i="1"/>
  <c r="E200" i="2"/>
  <c r="D449" i="3"/>
  <c r="N449" i="3"/>
  <c r="K449" i="3" s="1"/>
  <c r="AO316" i="1"/>
  <c r="AP316" i="1" s="1"/>
  <c r="AM316" i="1"/>
  <c r="R407" i="3"/>
  <c r="AD408" i="3"/>
  <c r="AC408" i="3"/>
  <c r="G174" i="2"/>
  <c r="J174" i="2"/>
  <c r="K174" i="2" s="1"/>
  <c r="U139" i="2"/>
  <c r="T139" i="2"/>
  <c r="AB140" i="2"/>
  <c r="W407" i="3" l="1"/>
  <c r="AI407" i="3"/>
  <c r="AL142" i="2"/>
  <c r="AM142" i="2" s="1"/>
  <c r="AW324" i="1"/>
  <c r="AY324" i="1"/>
  <c r="AZ324" i="1" s="1"/>
  <c r="BB324" i="1" s="1"/>
  <c r="L174" i="2"/>
  <c r="AE408" i="3"/>
  <c r="AF408" i="3" s="1"/>
  <c r="M449" i="3"/>
  <c r="L449" i="3"/>
  <c r="V139" i="2"/>
  <c r="AO317" i="1"/>
  <c r="AP317" i="1" s="1"/>
  <c r="AM317" i="1"/>
  <c r="E201" i="2"/>
  <c r="AT316" i="1"/>
  <c r="AS316" i="1"/>
  <c r="AR316" i="1"/>
  <c r="AK142" i="2"/>
  <c r="N450" i="3"/>
  <c r="K450" i="3" s="1"/>
  <c r="D450" i="3"/>
  <c r="AA408" i="3"/>
  <c r="U408" i="3"/>
  <c r="T408" i="3"/>
  <c r="S139" i="2"/>
  <c r="AD141" i="2"/>
  <c r="AC141" i="2"/>
  <c r="G175" i="2"/>
  <c r="J175" i="2"/>
  <c r="K175" i="2" s="1"/>
  <c r="W139" i="2" l="1"/>
  <c r="AP139" i="2"/>
  <c r="AW325" i="1"/>
  <c r="AY325" i="1"/>
  <c r="AZ325" i="1" s="1"/>
  <c r="BB325" i="1" s="1"/>
  <c r="L175" i="2"/>
  <c r="M450" i="3"/>
  <c r="AE141" i="2"/>
  <c r="AF141" i="2" s="1"/>
  <c r="V408" i="3"/>
  <c r="AJ143" i="2"/>
  <c r="AI143" i="2"/>
  <c r="D451" i="3"/>
  <c r="N451" i="3"/>
  <c r="K451" i="3" s="1"/>
  <c r="AO318" i="1"/>
  <c r="AP318" i="1" s="1"/>
  <c r="AM318" i="1"/>
  <c r="E202" i="2"/>
  <c r="AT317" i="1"/>
  <c r="AS317" i="1"/>
  <c r="AR317" i="1"/>
  <c r="R408" i="3"/>
  <c r="AD409" i="3"/>
  <c r="AC409" i="3"/>
  <c r="AB141" i="2"/>
  <c r="J176" i="2"/>
  <c r="K176" i="2" s="1"/>
  <c r="G176" i="2"/>
  <c r="U140" i="2"/>
  <c r="T140" i="2"/>
  <c r="AL143" i="2" l="1"/>
  <c r="AM143" i="2" s="1"/>
  <c r="W408" i="3"/>
  <c r="AI408" i="3"/>
  <c r="AW326" i="1"/>
  <c r="AY326" i="1"/>
  <c r="AZ326" i="1" s="1"/>
  <c r="BB326" i="1" s="1"/>
  <c r="L176" i="2"/>
  <c r="M451" i="3"/>
  <c r="C96" i="35" s="1"/>
  <c r="L451" i="3"/>
  <c r="AE409" i="3"/>
  <c r="AF409" i="3" s="1"/>
  <c r="D96" i="35"/>
  <c r="AO319" i="1"/>
  <c r="AP319" i="1" s="1"/>
  <c r="AM319" i="1"/>
  <c r="AT318" i="1"/>
  <c r="AS318" i="1"/>
  <c r="AR318" i="1"/>
  <c r="L450" i="3"/>
  <c r="E203" i="2"/>
  <c r="N452" i="3"/>
  <c r="K452" i="3" s="1"/>
  <c r="G96" i="35"/>
  <c r="D452" i="3"/>
  <c r="V140" i="2"/>
  <c r="AK143" i="2"/>
  <c r="AA409" i="3"/>
  <c r="U409" i="3"/>
  <c r="T409" i="3"/>
  <c r="G177" i="2"/>
  <c r="J177" i="2"/>
  <c r="K177" i="2" s="1"/>
  <c r="S140" i="2"/>
  <c r="AD142" i="2"/>
  <c r="AC142" i="2"/>
  <c r="W140" i="2" l="1"/>
  <c r="AP140" i="2"/>
  <c r="AW327" i="1"/>
  <c r="AY327" i="1"/>
  <c r="AZ327" i="1" s="1"/>
  <c r="BB327" i="1" s="1"/>
  <c r="L177" i="2"/>
  <c r="M452" i="3"/>
  <c r="L452" i="3"/>
  <c r="AE142" i="2"/>
  <c r="AF142" i="2" s="1"/>
  <c r="V409" i="3"/>
  <c r="E96" i="35"/>
  <c r="AO320" i="1"/>
  <c r="AP320" i="1" s="1"/>
  <c r="AM320" i="1"/>
  <c r="AJ144" i="2"/>
  <c r="AI144" i="2"/>
  <c r="D453" i="3"/>
  <c r="N453" i="3"/>
  <c r="K453" i="3" s="1"/>
  <c r="E204" i="2"/>
  <c r="AT319" i="1"/>
  <c r="AS319" i="1"/>
  <c r="AR319" i="1"/>
  <c r="R409" i="3"/>
  <c r="AD410" i="3"/>
  <c r="AC410" i="3"/>
  <c r="U141" i="2"/>
  <c r="T141" i="2"/>
  <c r="AB142" i="2"/>
  <c r="G178" i="2"/>
  <c r="J178" i="2"/>
  <c r="K178" i="2" s="1"/>
  <c r="W409" i="3" l="1"/>
  <c r="AI409" i="3"/>
  <c r="AL144" i="2"/>
  <c r="AM144" i="2" s="1"/>
  <c r="AW328" i="1"/>
  <c r="AY328" i="1"/>
  <c r="AZ328" i="1" s="1"/>
  <c r="BB328" i="1" s="1"/>
  <c r="L178" i="2"/>
  <c r="L453" i="3"/>
  <c r="M453" i="3"/>
  <c r="AE410" i="3"/>
  <c r="AF410" i="3" s="1"/>
  <c r="V141" i="2"/>
  <c r="N454" i="3"/>
  <c r="K454" i="3" s="1"/>
  <c r="D454" i="3"/>
  <c r="AO321" i="1"/>
  <c r="AP321" i="1" s="1"/>
  <c r="AM321" i="1"/>
  <c r="AK144" i="2"/>
  <c r="E205" i="2"/>
  <c r="AT320" i="1"/>
  <c r="AS320" i="1"/>
  <c r="AR320" i="1"/>
  <c r="AA410" i="3"/>
  <c r="U410" i="3"/>
  <c r="T410" i="3"/>
  <c r="AD143" i="2"/>
  <c r="AC143" i="2"/>
  <c r="G179" i="2"/>
  <c r="J179" i="2"/>
  <c r="K179" i="2" s="1"/>
  <c r="S141" i="2"/>
  <c r="W141" i="2" l="1"/>
  <c r="AP141" i="2"/>
  <c r="AW329" i="1"/>
  <c r="AY329" i="1"/>
  <c r="AZ329" i="1" s="1"/>
  <c r="BB329" i="1" s="1"/>
  <c r="L179" i="2"/>
  <c r="M454" i="3"/>
  <c r="L454" i="3"/>
  <c r="V410" i="3"/>
  <c r="E206" i="2"/>
  <c r="AJ145" i="2"/>
  <c r="AI145" i="2"/>
  <c r="AT321" i="1"/>
  <c r="AS321" i="1"/>
  <c r="AR321" i="1"/>
  <c r="AO322" i="1"/>
  <c r="AP322" i="1" s="1"/>
  <c r="AM322" i="1"/>
  <c r="AE143" i="2"/>
  <c r="AF143" i="2" s="1"/>
  <c r="N455" i="3"/>
  <c r="K455" i="3" s="1"/>
  <c r="D455" i="3"/>
  <c r="R410" i="3"/>
  <c r="AD411" i="3"/>
  <c r="AC411" i="3"/>
  <c r="J180" i="2"/>
  <c r="K180" i="2" s="1"/>
  <c r="G180" i="2"/>
  <c r="U142" i="2"/>
  <c r="T142" i="2"/>
  <c r="AB143" i="2"/>
  <c r="W410" i="3" l="1"/>
  <c r="AI410" i="3"/>
  <c r="V142" i="2"/>
  <c r="AE411" i="3"/>
  <c r="AF411" i="3" s="1"/>
  <c r="AW330" i="1"/>
  <c r="AY330" i="1"/>
  <c r="AZ330" i="1" s="1"/>
  <c r="BB330" i="1" s="1"/>
  <c r="L180" i="2"/>
  <c r="M455" i="3"/>
  <c r="L455" i="3"/>
  <c r="D456" i="3"/>
  <c r="N456" i="3"/>
  <c r="K456" i="3" s="1"/>
  <c r="AL145" i="2"/>
  <c r="AM145" i="2" s="1"/>
  <c r="AK145" i="2"/>
  <c r="AO323" i="1"/>
  <c r="AP323" i="1" s="1"/>
  <c r="AM323" i="1"/>
  <c r="AT322" i="1"/>
  <c r="AS322" i="1"/>
  <c r="AR322" i="1"/>
  <c r="E207" i="2"/>
  <c r="AA411" i="3"/>
  <c r="U411" i="3"/>
  <c r="T411" i="3"/>
  <c r="AD144" i="2"/>
  <c r="AC144" i="2"/>
  <c r="AE144" i="2" s="1"/>
  <c r="AF144" i="2" s="1"/>
  <c r="S142" i="2"/>
  <c r="G181" i="2"/>
  <c r="J181" i="2"/>
  <c r="K181" i="2" s="1"/>
  <c r="W142" i="2" l="1"/>
  <c r="AP142" i="2"/>
  <c r="AW331" i="1"/>
  <c r="AY331" i="1"/>
  <c r="AZ331" i="1" s="1"/>
  <c r="BB331" i="1" s="1"/>
  <c r="L181" i="2"/>
  <c r="M456" i="3"/>
  <c r="L456" i="3"/>
  <c r="AO324" i="1"/>
  <c r="AP324" i="1" s="1"/>
  <c r="AM324" i="1"/>
  <c r="AT323" i="1"/>
  <c r="AS323" i="1"/>
  <c r="AR323" i="1"/>
  <c r="AJ146" i="2"/>
  <c r="AI146" i="2"/>
  <c r="E208" i="2"/>
  <c r="V411" i="3"/>
  <c r="D457" i="3"/>
  <c r="N457" i="3"/>
  <c r="K457" i="3" s="1"/>
  <c r="AD412" i="3"/>
  <c r="AC412" i="3"/>
  <c r="R411" i="3"/>
  <c r="U143" i="2"/>
  <c r="T143" i="2"/>
  <c r="G182" i="2"/>
  <c r="J182" i="2"/>
  <c r="K182" i="2" s="1"/>
  <c r="AB144" i="2"/>
  <c r="W411" i="3" l="1"/>
  <c r="AI411" i="3"/>
  <c r="AL146" i="2"/>
  <c r="AM146" i="2" s="1"/>
  <c r="AW332" i="1"/>
  <c r="AY332" i="1"/>
  <c r="AZ332" i="1" s="1"/>
  <c r="BB332" i="1" s="1"/>
  <c r="L182" i="2"/>
  <c r="M457" i="3"/>
  <c r="L457" i="3"/>
  <c r="V143" i="2"/>
  <c r="AK146" i="2"/>
  <c r="E209" i="2"/>
  <c r="AO325" i="1"/>
  <c r="AP325" i="1" s="1"/>
  <c r="AM325" i="1"/>
  <c r="D458" i="3"/>
  <c r="N458" i="3"/>
  <c r="K458" i="3" s="1"/>
  <c r="AE412" i="3"/>
  <c r="AF412" i="3" s="1"/>
  <c r="AT324" i="1"/>
  <c r="AS324" i="1"/>
  <c r="AR324" i="1"/>
  <c r="AA412" i="3"/>
  <c r="U412" i="3"/>
  <c r="T412" i="3"/>
  <c r="G183" i="2"/>
  <c r="J183" i="2"/>
  <c r="K183" i="2" s="1"/>
  <c r="AD145" i="2"/>
  <c r="AC145" i="2"/>
  <c r="S143" i="2"/>
  <c r="W143" i="2" l="1"/>
  <c r="AP143" i="2"/>
  <c r="AW333" i="1"/>
  <c r="AY333" i="1"/>
  <c r="AZ333" i="1" s="1"/>
  <c r="BB333" i="1" s="1"/>
  <c r="L183" i="2"/>
  <c r="M458" i="3"/>
  <c r="L458" i="3"/>
  <c r="V412" i="3"/>
  <c r="AE145" i="2"/>
  <c r="AF145" i="2" s="1"/>
  <c r="D459" i="3"/>
  <c r="N459" i="3"/>
  <c r="K459" i="3" s="1"/>
  <c r="AO326" i="1"/>
  <c r="AP326" i="1" s="1"/>
  <c r="AM326" i="1"/>
  <c r="AT325" i="1"/>
  <c r="AS325" i="1"/>
  <c r="AR325" i="1"/>
  <c r="E210" i="2"/>
  <c r="AJ147" i="2"/>
  <c r="AI147" i="2"/>
  <c r="R412" i="3"/>
  <c r="AD413" i="3"/>
  <c r="AC413" i="3"/>
  <c r="AB145" i="2"/>
  <c r="U144" i="2"/>
  <c r="T144" i="2"/>
  <c r="J184" i="2"/>
  <c r="K184" i="2" s="1"/>
  <c r="G184" i="2"/>
  <c r="W412" i="3" l="1"/>
  <c r="AI412" i="3"/>
  <c r="AL147" i="2"/>
  <c r="AM147" i="2" s="1"/>
  <c r="AW334" i="1"/>
  <c r="AY334" i="1"/>
  <c r="AZ334" i="1" s="1"/>
  <c r="BB334" i="1" s="1"/>
  <c r="L184" i="2"/>
  <c r="M459" i="3"/>
  <c r="L459" i="3"/>
  <c r="AE413" i="3"/>
  <c r="AF413" i="3" s="1"/>
  <c r="V144" i="2"/>
  <c r="E211" i="2"/>
  <c r="AK147" i="2"/>
  <c r="AO327" i="1"/>
  <c r="AP327" i="1" s="1"/>
  <c r="AM327" i="1"/>
  <c r="AT326" i="1"/>
  <c r="AS326" i="1"/>
  <c r="AR326" i="1"/>
  <c r="D460" i="3"/>
  <c r="N460" i="3"/>
  <c r="K460" i="3" s="1"/>
  <c r="AA413" i="3"/>
  <c r="U413" i="3"/>
  <c r="T413" i="3"/>
  <c r="S144" i="2"/>
  <c r="G185" i="2"/>
  <c r="J185" i="2"/>
  <c r="K185" i="2" s="1"/>
  <c r="AD146" i="2"/>
  <c r="AC146" i="2"/>
  <c r="W144" i="2" l="1"/>
  <c r="AP144" i="2"/>
  <c r="AW335" i="1"/>
  <c r="AY335" i="1"/>
  <c r="AZ335" i="1" s="1"/>
  <c r="BB335" i="1" s="1"/>
  <c r="L185" i="2"/>
  <c r="M460" i="3"/>
  <c r="L460" i="3"/>
  <c r="AE146" i="2"/>
  <c r="AF146" i="2" s="1"/>
  <c r="V413" i="3"/>
  <c r="AO328" i="1"/>
  <c r="AP328" i="1" s="1"/>
  <c r="AM328" i="1"/>
  <c r="E212" i="2"/>
  <c r="AT327" i="1"/>
  <c r="AS327" i="1"/>
  <c r="AR327" i="1"/>
  <c r="AJ148" i="2"/>
  <c r="AI148" i="2"/>
  <c r="N461" i="3"/>
  <c r="K461" i="3" s="1"/>
  <c r="D461" i="3"/>
  <c r="R413" i="3"/>
  <c r="AD414" i="3"/>
  <c r="AC414" i="3"/>
  <c r="G186" i="2"/>
  <c r="J186" i="2"/>
  <c r="K186" i="2" s="1"/>
  <c r="AB146" i="2"/>
  <c r="U145" i="2"/>
  <c r="T145" i="2"/>
  <c r="W413" i="3" l="1"/>
  <c r="AI413" i="3"/>
  <c r="AL148" i="2"/>
  <c r="AM148" i="2" s="1"/>
  <c r="V145" i="2"/>
  <c r="AW336" i="1"/>
  <c r="AY336" i="1"/>
  <c r="AZ336" i="1" s="1"/>
  <c r="BB336" i="1" s="1"/>
  <c r="L186" i="2"/>
  <c r="AE414" i="3"/>
  <c r="AF414" i="3" s="1"/>
  <c r="M461" i="3"/>
  <c r="L461" i="3"/>
  <c r="AK148" i="2"/>
  <c r="AJ149" i="2" s="1"/>
  <c r="N462" i="3"/>
  <c r="K462" i="3" s="1"/>
  <c r="D462" i="3"/>
  <c r="E213" i="2"/>
  <c r="AO329" i="1"/>
  <c r="AP329" i="1" s="1"/>
  <c r="AM329" i="1"/>
  <c r="AT328" i="1"/>
  <c r="AS328" i="1"/>
  <c r="AR328" i="1"/>
  <c r="U414" i="3"/>
  <c r="T414" i="3"/>
  <c r="AA414" i="3"/>
  <c r="G187" i="2"/>
  <c r="J187" i="2"/>
  <c r="K187" i="2" s="1"/>
  <c r="S145" i="2"/>
  <c r="AD147" i="2"/>
  <c r="AC147" i="2"/>
  <c r="W145" i="2" l="1"/>
  <c r="AP145" i="2"/>
  <c r="AW337" i="1"/>
  <c r="AY337" i="1"/>
  <c r="AZ337" i="1" s="1"/>
  <c r="BB337" i="1" s="1"/>
  <c r="AI149" i="2"/>
  <c r="AL149" i="2" s="1"/>
  <c r="AM149" i="2" s="1"/>
  <c r="L187" i="2"/>
  <c r="M462" i="3"/>
  <c r="V414" i="3"/>
  <c r="E214" i="2"/>
  <c r="D463" i="3"/>
  <c r="N463" i="3"/>
  <c r="K463" i="3" s="1"/>
  <c r="AT329" i="1"/>
  <c r="AS329" i="1"/>
  <c r="AR329" i="1"/>
  <c r="AE147" i="2"/>
  <c r="AF147" i="2" s="1"/>
  <c r="AO330" i="1"/>
  <c r="AP330" i="1" s="1"/>
  <c r="AM330" i="1"/>
  <c r="AD415" i="3"/>
  <c r="AC415" i="3"/>
  <c r="R414" i="3"/>
  <c r="J188" i="2"/>
  <c r="K188" i="2" s="1"/>
  <c r="G188" i="2"/>
  <c r="AB147" i="2"/>
  <c r="U146" i="2"/>
  <c r="T146" i="2"/>
  <c r="W414" i="3" l="1"/>
  <c r="AI414" i="3"/>
  <c r="AK149" i="2"/>
  <c r="AJ150" i="2" s="1"/>
  <c r="AW338" i="1"/>
  <c r="AY338" i="1"/>
  <c r="AZ338" i="1" s="1"/>
  <c r="BB338" i="1" s="1"/>
  <c r="L188" i="2"/>
  <c r="L463" i="3"/>
  <c r="M463" i="3"/>
  <c r="C97" i="35" s="1"/>
  <c r="V146" i="2"/>
  <c r="L462" i="3"/>
  <c r="AI150" i="2"/>
  <c r="AO331" i="1"/>
  <c r="AP331" i="1" s="1"/>
  <c r="AM331" i="1"/>
  <c r="AT330" i="1"/>
  <c r="AS330" i="1"/>
  <c r="AR330" i="1"/>
  <c r="G97" i="35"/>
  <c r="N464" i="3"/>
  <c r="K464" i="3" s="1"/>
  <c r="D464" i="3"/>
  <c r="AE415" i="3"/>
  <c r="AF415" i="3" s="1"/>
  <c r="D97" i="35"/>
  <c r="E215" i="2"/>
  <c r="AA415" i="3"/>
  <c r="U415" i="3"/>
  <c r="T415" i="3"/>
  <c r="S146" i="2"/>
  <c r="AD148" i="2"/>
  <c r="AC148" i="2"/>
  <c r="G189" i="2"/>
  <c r="J189" i="2"/>
  <c r="K189" i="2" s="1"/>
  <c r="W146" i="2" l="1"/>
  <c r="AP146" i="2"/>
  <c r="AL150" i="2"/>
  <c r="AM150" i="2" s="1"/>
  <c r="AW339" i="1"/>
  <c r="AY339" i="1"/>
  <c r="AZ339" i="1" s="1"/>
  <c r="BB339" i="1" s="1"/>
  <c r="L189" i="2"/>
  <c r="L464" i="3"/>
  <c r="M464" i="3"/>
  <c r="V415" i="3"/>
  <c r="AE148" i="2"/>
  <c r="AF148" i="2" s="1"/>
  <c r="AK150" i="2"/>
  <c r="AI151" i="2" s="1"/>
  <c r="AT331" i="1"/>
  <c r="AS331" i="1"/>
  <c r="AR331" i="1"/>
  <c r="AO332" i="1"/>
  <c r="AP332" i="1" s="1"/>
  <c r="AM332" i="1"/>
  <c r="D465" i="3"/>
  <c r="N465" i="3"/>
  <c r="K465" i="3" s="1"/>
  <c r="E97" i="35"/>
  <c r="E216" i="2"/>
  <c r="R415" i="3"/>
  <c r="AD416" i="3"/>
  <c r="AC416" i="3"/>
  <c r="AB148" i="2"/>
  <c r="G190" i="2"/>
  <c r="J190" i="2"/>
  <c r="K190" i="2" s="1"/>
  <c r="U147" i="2"/>
  <c r="T147" i="2"/>
  <c r="W415" i="3" l="1"/>
  <c r="AI415" i="3"/>
  <c r="AE416" i="3"/>
  <c r="AF416" i="3" s="1"/>
  <c r="AW340" i="1"/>
  <c r="AY340" i="1"/>
  <c r="AZ340" i="1" s="1"/>
  <c r="BB340" i="1" s="1"/>
  <c r="L190" i="2"/>
  <c r="M465" i="3"/>
  <c r="L465" i="3"/>
  <c r="AJ151" i="2"/>
  <c r="AL151" i="2" s="1"/>
  <c r="AM151" i="2" s="1"/>
  <c r="V147" i="2"/>
  <c r="AK151" i="2"/>
  <c r="AJ152" i="2" s="1"/>
  <c r="N466" i="3"/>
  <c r="K466" i="3" s="1"/>
  <c r="D466" i="3"/>
  <c r="E217" i="2"/>
  <c r="AO333" i="1"/>
  <c r="AP333" i="1" s="1"/>
  <c r="AM333" i="1"/>
  <c r="AT332" i="1"/>
  <c r="AS332" i="1"/>
  <c r="AR332" i="1"/>
  <c r="U416" i="3"/>
  <c r="T416" i="3"/>
  <c r="AA416" i="3"/>
  <c r="G191" i="2"/>
  <c r="J191" i="2"/>
  <c r="K191" i="2" s="1"/>
  <c r="S147" i="2"/>
  <c r="AD149" i="2"/>
  <c r="AC149" i="2"/>
  <c r="W147" i="2" l="1"/>
  <c r="AP147" i="2"/>
  <c r="AE149" i="2"/>
  <c r="AF149" i="2" s="1"/>
  <c r="AW341" i="1"/>
  <c r="AY341" i="1"/>
  <c r="AZ341" i="1" s="1"/>
  <c r="BB341" i="1" s="1"/>
  <c r="L191" i="2"/>
  <c r="M466" i="3"/>
  <c r="L466" i="3"/>
  <c r="AI152" i="2"/>
  <c r="AK152" i="2" s="1"/>
  <c r="AJ153" i="2" s="1"/>
  <c r="V416" i="3"/>
  <c r="AO334" i="1"/>
  <c r="AP334" i="1" s="1"/>
  <c r="AM334" i="1"/>
  <c r="AT333" i="1"/>
  <c r="AS333" i="1"/>
  <c r="AR333" i="1"/>
  <c r="E218" i="2"/>
  <c r="N467" i="3"/>
  <c r="K467" i="3" s="1"/>
  <c r="D467" i="3"/>
  <c r="R416" i="3"/>
  <c r="AD417" i="3"/>
  <c r="AC417" i="3"/>
  <c r="J192" i="2"/>
  <c r="K192" i="2" s="1"/>
  <c r="G192" i="2"/>
  <c r="AB149" i="2"/>
  <c r="U148" i="2"/>
  <c r="T148" i="2"/>
  <c r="W416" i="3" l="1"/>
  <c r="AI416" i="3"/>
  <c r="AW342" i="1"/>
  <c r="AY342" i="1"/>
  <c r="AZ342" i="1" s="1"/>
  <c r="BB342" i="1" s="1"/>
  <c r="AI153" i="2"/>
  <c r="AL153" i="2" s="1"/>
  <c r="AM153" i="2" s="1"/>
  <c r="AL152" i="2"/>
  <c r="AM152" i="2" s="1"/>
  <c r="L192" i="2"/>
  <c r="M467" i="3"/>
  <c r="L467" i="3"/>
  <c r="V148" i="2"/>
  <c r="D468" i="3"/>
  <c r="N468" i="3"/>
  <c r="K468" i="3" s="1"/>
  <c r="AO335" i="1"/>
  <c r="AP335" i="1" s="1"/>
  <c r="AM335" i="1"/>
  <c r="AE417" i="3"/>
  <c r="AF417" i="3" s="1"/>
  <c r="E219" i="2"/>
  <c r="AT334" i="1"/>
  <c r="AS334" i="1"/>
  <c r="AR334" i="1"/>
  <c r="AA417" i="3"/>
  <c r="U417" i="3"/>
  <c r="T417" i="3"/>
  <c r="AD150" i="2"/>
  <c r="AC150" i="2"/>
  <c r="G193" i="2"/>
  <c r="J193" i="2"/>
  <c r="K193" i="2" s="1"/>
  <c r="S148" i="2"/>
  <c r="W148" i="2" l="1"/>
  <c r="AP148" i="2"/>
  <c r="AK153" i="2"/>
  <c r="AJ154" i="2" s="1"/>
  <c r="AW343" i="1"/>
  <c r="AY343" i="1"/>
  <c r="AZ343" i="1" s="1"/>
  <c r="BB343" i="1" s="1"/>
  <c r="L193" i="2"/>
  <c r="M468" i="3"/>
  <c r="L468" i="3"/>
  <c r="E220" i="2"/>
  <c r="AO336" i="1"/>
  <c r="AP336" i="1" s="1"/>
  <c r="AM336" i="1"/>
  <c r="AT335" i="1"/>
  <c r="AS335" i="1"/>
  <c r="AR335" i="1"/>
  <c r="D469" i="3"/>
  <c r="N469" i="3"/>
  <c r="K469" i="3" s="1"/>
  <c r="V417" i="3"/>
  <c r="AD418" i="3"/>
  <c r="AC418" i="3"/>
  <c r="R417" i="3"/>
  <c r="AE150" i="2"/>
  <c r="AF150" i="2" s="1"/>
  <c r="G194" i="2"/>
  <c r="J194" i="2"/>
  <c r="K194" i="2" s="1"/>
  <c r="U149" i="2"/>
  <c r="T149" i="2"/>
  <c r="AB150" i="2"/>
  <c r="AI154" i="2" l="1"/>
  <c r="AL154" i="2" s="1"/>
  <c r="AM154" i="2" s="1"/>
  <c r="W417" i="3"/>
  <c r="AI417" i="3"/>
  <c r="V149" i="2"/>
  <c r="AW344" i="1"/>
  <c r="AY344" i="1"/>
  <c r="AZ344" i="1" s="1"/>
  <c r="BB344" i="1" s="1"/>
  <c r="L194" i="2"/>
  <c r="M469" i="3"/>
  <c r="L469" i="3"/>
  <c r="D470" i="3"/>
  <c r="N470" i="3"/>
  <c r="K470" i="3" s="1"/>
  <c r="AK154" i="2"/>
  <c r="AO337" i="1"/>
  <c r="AP337" i="1" s="1"/>
  <c r="AM337" i="1"/>
  <c r="AT336" i="1"/>
  <c r="AS336" i="1"/>
  <c r="AR336" i="1"/>
  <c r="E221" i="2"/>
  <c r="AE418" i="3"/>
  <c r="AF418" i="3" s="1"/>
  <c r="AA418" i="3"/>
  <c r="U418" i="3"/>
  <c r="T418" i="3"/>
  <c r="AD151" i="2"/>
  <c r="AC151" i="2"/>
  <c r="S149" i="2"/>
  <c r="G195" i="2"/>
  <c r="J195" i="2"/>
  <c r="K195" i="2" s="1"/>
  <c r="W149" i="2" l="1"/>
  <c r="AP149" i="2"/>
  <c r="AE151" i="2"/>
  <c r="AF151" i="2" s="1"/>
  <c r="AW345" i="1"/>
  <c r="AY345" i="1"/>
  <c r="AZ345" i="1" s="1"/>
  <c r="BB345" i="1" s="1"/>
  <c r="L195" i="2"/>
  <c r="M470" i="3"/>
  <c r="L470" i="3"/>
  <c r="AO338" i="1"/>
  <c r="AP338" i="1" s="1"/>
  <c r="AM338" i="1"/>
  <c r="AT337" i="1"/>
  <c r="AS337" i="1"/>
  <c r="AR337" i="1"/>
  <c r="AJ155" i="2"/>
  <c r="AI155" i="2"/>
  <c r="E222" i="2"/>
  <c r="D471" i="3"/>
  <c r="N471" i="3"/>
  <c r="K471" i="3" s="1"/>
  <c r="V418" i="3"/>
  <c r="R418" i="3"/>
  <c r="AD419" i="3"/>
  <c r="AC419" i="3"/>
  <c r="U150" i="2"/>
  <c r="T150" i="2"/>
  <c r="J196" i="2"/>
  <c r="K196" i="2" s="1"/>
  <c r="G196" i="2"/>
  <c r="AB151" i="2"/>
  <c r="W418" i="3" l="1"/>
  <c r="AI418" i="3"/>
  <c r="AW346" i="1"/>
  <c r="AY346" i="1"/>
  <c r="AZ346" i="1" s="1"/>
  <c r="BB346" i="1" s="1"/>
  <c r="L196" i="2"/>
  <c r="M471" i="3"/>
  <c r="L471" i="3"/>
  <c r="AE419" i="3"/>
  <c r="AF419" i="3" s="1"/>
  <c r="V150" i="2"/>
  <c r="AL155" i="2"/>
  <c r="AM155" i="2" s="1"/>
  <c r="AK155" i="2"/>
  <c r="D472" i="3"/>
  <c r="N472" i="3"/>
  <c r="K472" i="3" s="1"/>
  <c r="AO339" i="1"/>
  <c r="AP339" i="1" s="1"/>
  <c r="AM339" i="1"/>
  <c r="E223" i="2"/>
  <c r="AT338" i="1"/>
  <c r="AS338" i="1"/>
  <c r="AR338" i="1"/>
  <c r="AA419" i="3"/>
  <c r="U419" i="3"/>
  <c r="T419" i="3"/>
  <c r="AD152" i="2"/>
  <c r="AC152" i="2"/>
  <c r="G197" i="2"/>
  <c r="J197" i="2"/>
  <c r="K197" i="2" s="1"/>
  <c r="S150" i="2"/>
  <c r="W150" i="2" l="1"/>
  <c r="AP150" i="2"/>
  <c r="AW347" i="1"/>
  <c r="AY347" i="1"/>
  <c r="AZ347" i="1" s="1"/>
  <c r="BB347" i="1" s="1"/>
  <c r="L197" i="2"/>
  <c r="V419" i="3"/>
  <c r="M472" i="3"/>
  <c r="L472" i="3"/>
  <c r="AO340" i="1"/>
  <c r="AP340" i="1" s="1"/>
  <c r="AM340" i="1"/>
  <c r="E224" i="2"/>
  <c r="AT339" i="1"/>
  <c r="AS339" i="1"/>
  <c r="AR339" i="1"/>
  <c r="D473" i="3"/>
  <c r="N473" i="3"/>
  <c r="K473" i="3" s="1"/>
  <c r="AE152" i="2"/>
  <c r="AF152" i="2" s="1"/>
  <c r="AJ156" i="2"/>
  <c r="AI156" i="2"/>
  <c r="R419" i="3"/>
  <c r="AD420" i="3"/>
  <c r="AC420" i="3"/>
  <c r="G198" i="2"/>
  <c r="J198" i="2"/>
  <c r="K198" i="2" s="1"/>
  <c r="U151" i="2"/>
  <c r="T151" i="2"/>
  <c r="AB152" i="2"/>
  <c r="W419" i="3" l="1"/>
  <c r="AI419" i="3"/>
  <c r="AW348" i="1"/>
  <c r="AY348" i="1"/>
  <c r="AZ348" i="1" s="1"/>
  <c r="BB348" i="1" s="1"/>
  <c r="L198" i="2"/>
  <c r="M473" i="3"/>
  <c r="L473" i="3"/>
  <c r="AE420" i="3"/>
  <c r="AF420" i="3" s="1"/>
  <c r="AL156" i="2"/>
  <c r="AM156" i="2" s="1"/>
  <c r="D474" i="3"/>
  <c r="N474" i="3"/>
  <c r="K474" i="3" s="1"/>
  <c r="E225" i="2"/>
  <c r="AK156" i="2"/>
  <c r="AO341" i="1"/>
  <c r="AP341" i="1" s="1"/>
  <c r="AM341" i="1"/>
  <c r="V151" i="2"/>
  <c r="AT340" i="1"/>
  <c r="AS340" i="1"/>
  <c r="AR340" i="1"/>
  <c r="AA420" i="3"/>
  <c r="U420" i="3"/>
  <c r="T420" i="3"/>
  <c r="S151" i="2"/>
  <c r="AD153" i="2"/>
  <c r="AC153" i="2"/>
  <c r="G199" i="2"/>
  <c r="J199" i="2"/>
  <c r="K199" i="2" s="1"/>
  <c r="W151" i="2" l="1"/>
  <c r="AP151" i="2"/>
  <c r="V420" i="3"/>
  <c r="AW349" i="1"/>
  <c r="AY349" i="1"/>
  <c r="AZ349" i="1" s="1"/>
  <c r="BB349" i="1" s="1"/>
  <c r="L199" i="2"/>
  <c r="M474" i="3"/>
  <c r="AE153" i="2"/>
  <c r="AF153" i="2" s="1"/>
  <c r="AJ157" i="2"/>
  <c r="AI157" i="2"/>
  <c r="E226" i="2"/>
  <c r="AO342" i="1"/>
  <c r="AP342" i="1" s="1"/>
  <c r="AM342" i="1"/>
  <c r="AT341" i="1"/>
  <c r="AS341" i="1"/>
  <c r="AR341" i="1"/>
  <c r="D475" i="3"/>
  <c r="N475" i="3"/>
  <c r="K475" i="3" s="1"/>
  <c r="R420" i="3"/>
  <c r="AD421" i="3"/>
  <c r="AC421" i="3"/>
  <c r="AB153" i="2"/>
  <c r="J200" i="2"/>
  <c r="K200" i="2" s="1"/>
  <c r="G200" i="2"/>
  <c r="U152" i="2"/>
  <c r="T152" i="2"/>
  <c r="W420" i="3" l="1"/>
  <c r="AI420" i="3"/>
  <c r="AL157" i="2"/>
  <c r="AM157" i="2" s="1"/>
  <c r="AW350" i="1"/>
  <c r="AY350" i="1"/>
  <c r="AZ350" i="1" s="1"/>
  <c r="BB350" i="1" s="1"/>
  <c r="AE421" i="3"/>
  <c r="AF421" i="3" s="1"/>
  <c r="L200" i="2"/>
  <c r="M475" i="3"/>
  <c r="C98" i="35" s="1"/>
  <c r="L475" i="3"/>
  <c r="AT342" i="1"/>
  <c r="AS342" i="1"/>
  <c r="AR342" i="1"/>
  <c r="AO343" i="1"/>
  <c r="AP343" i="1" s="1"/>
  <c r="AM343" i="1"/>
  <c r="G98" i="35"/>
  <c r="D476" i="3"/>
  <c r="N476" i="3"/>
  <c r="K476" i="3" s="1"/>
  <c r="D98" i="35"/>
  <c r="E227" i="2"/>
  <c r="L474" i="3"/>
  <c r="AK157" i="2"/>
  <c r="U421" i="3"/>
  <c r="T421" i="3"/>
  <c r="AA421" i="3"/>
  <c r="V152" i="2"/>
  <c r="G201" i="2"/>
  <c r="J201" i="2"/>
  <c r="K201" i="2" s="1"/>
  <c r="S152" i="2"/>
  <c r="AD154" i="2"/>
  <c r="AC154" i="2"/>
  <c r="W152" i="2" l="1"/>
  <c r="AP152" i="2"/>
  <c r="AE154" i="2"/>
  <c r="AF154" i="2" s="1"/>
  <c r="AW351" i="1"/>
  <c r="AY351" i="1"/>
  <c r="AZ351" i="1" s="1"/>
  <c r="BB351" i="1" s="1"/>
  <c r="L201" i="2"/>
  <c r="E98" i="35"/>
  <c r="V421" i="3"/>
  <c r="M476" i="3"/>
  <c r="L476" i="3"/>
  <c r="N477" i="3"/>
  <c r="K477" i="3" s="1"/>
  <c r="D477" i="3"/>
  <c r="AJ158" i="2"/>
  <c r="AI158" i="2"/>
  <c r="AO344" i="1"/>
  <c r="AP344" i="1" s="1"/>
  <c r="AM344" i="1"/>
  <c r="AT343" i="1"/>
  <c r="AS343" i="1"/>
  <c r="AR343" i="1"/>
  <c r="E228" i="2"/>
  <c r="R421" i="3"/>
  <c r="AD422" i="3"/>
  <c r="AC422" i="3"/>
  <c r="U153" i="2"/>
  <c r="T153" i="2"/>
  <c r="AB154" i="2"/>
  <c r="G202" i="2"/>
  <c r="J202" i="2"/>
  <c r="K202" i="2" s="1"/>
  <c r="W421" i="3" l="1"/>
  <c r="AI421" i="3"/>
  <c r="AW352" i="1"/>
  <c r="AY352" i="1"/>
  <c r="AZ352" i="1" s="1"/>
  <c r="BB352" i="1" s="1"/>
  <c r="L202" i="2"/>
  <c r="M477" i="3"/>
  <c r="L477" i="3"/>
  <c r="AL158" i="2"/>
  <c r="AM158" i="2" s="1"/>
  <c r="AE422" i="3"/>
  <c r="AF422" i="3" s="1"/>
  <c r="V153" i="2"/>
  <c r="AT344" i="1"/>
  <c r="AS344" i="1"/>
  <c r="AR344" i="1"/>
  <c r="AO345" i="1"/>
  <c r="AP345" i="1" s="1"/>
  <c r="AM345" i="1"/>
  <c r="E229" i="2"/>
  <c r="AK158" i="2"/>
  <c r="D478" i="3"/>
  <c r="N478" i="3"/>
  <c r="K478" i="3" s="1"/>
  <c r="AA422" i="3"/>
  <c r="U422" i="3"/>
  <c r="T422" i="3"/>
  <c r="AD155" i="2"/>
  <c r="AC155" i="2"/>
  <c r="AB155" i="2" s="1"/>
  <c r="G203" i="2"/>
  <c r="J203" i="2"/>
  <c r="K203" i="2" s="1"/>
  <c r="S153" i="2"/>
  <c r="W153" i="2" l="1"/>
  <c r="AP153" i="2"/>
  <c r="AW353" i="1"/>
  <c r="AY353" i="1"/>
  <c r="AZ353" i="1" s="1"/>
  <c r="BB353" i="1" s="1"/>
  <c r="L203" i="2"/>
  <c r="V422" i="3"/>
  <c r="M478" i="3"/>
  <c r="L478" i="3"/>
  <c r="AJ159" i="2"/>
  <c r="AI159" i="2"/>
  <c r="E230" i="2"/>
  <c r="AO346" i="1"/>
  <c r="AP346" i="1" s="1"/>
  <c r="AM346" i="1"/>
  <c r="AT345" i="1"/>
  <c r="AS345" i="1"/>
  <c r="AR345" i="1"/>
  <c r="D479" i="3"/>
  <c r="N479" i="3"/>
  <c r="K479" i="3" s="1"/>
  <c r="R422" i="3"/>
  <c r="AD423" i="3"/>
  <c r="AC423" i="3"/>
  <c r="AD156" i="2"/>
  <c r="AC156" i="2"/>
  <c r="J204" i="2"/>
  <c r="K204" i="2" s="1"/>
  <c r="G204" i="2"/>
  <c r="AE155" i="2"/>
  <c r="AF155" i="2" s="1"/>
  <c r="U154" i="2"/>
  <c r="T154" i="2"/>
  <c r="W422" i="3" l="1"/>
  <c r="AI422" i="3"/>
  <c r="AL159" i="2"/>
  <c r="AM159" i="2" s="1"/>
  <c r="AW354" i="1"/>
  <c r="AY354" i="1"/>
  <c r="AZ354" i="1" s="1"/>
  <c r="BB354" i="1" s="1"/>
  <c r="L204" i="2"/>
  <c r="L479" i="3"/>
  <c r="M479" i="3"/>
  <c r="AE423" i="3"/>
  <c r="AF423" i="3" s="1"/>
  <c r="AE156" i="2"/>
  <c r="AF156" i="2" s="1"/>
  <c r="AO347" i="1"/>
  <c r="AP347" i="1" s="1"/>
  <c r="AM347" i="1"/>
  <c r="AT346" i="1"/>
  <c r="AS346" i="1"/>
  <c r="AR346" i="1"/>
  <c r="E231" i="2"/>
  <c r="N480" i="3"/>
  <c r="K480" i="3" s="1"/>
  <c r="D480" i="3"/>
  <c r="V154" i="2"/>
  <c r="AK159" i="2"/>
  <c r="AA423" i="3"/>
  <c r="U423" i="3"/>
  <c r="T423" i="3"/>
  <c r="S154" i="2"/>
  <c r="U155" i="2" s="1"/>
  <c r="G205" i="2"/>
  <c r="J205" i="2"/>
  <c r="K205" i="2" s="1"/>
  <c r="AB156" i="2"/>
  <c r="W154" i="2" l="1"/>
  <c r="AP154" i="2"/>
  <c r="AW355" i="1"/>
  <c r="AY355" i="1"/>
  <c r="AZ355" i="1" s="1"/>
  <c r="BB355" i="1" s="1"/>
  <c r="L205" i="2"/>
  <c r="V423" i="3"/>
  <c r="L480" i="3"/>
  <c r="M480" i="3"/>
  <c r="T155" i="2"/>
  <c r="V155" i="2" s="1"/>
  <c r="E232" i="2"/>
  <c r="AJ160" i="2"/>
  <c r="AI160" i="2"/>
  <c r="AO348" i="1"/>
  <c r="AP348" i="1" s="1"/>
  <c r="AM348" i="1"/>
  <c r="D481" i="3"/>
  <c r="N481" i="3"/>
  <c r="K481" i="3" s="1"/>
  <c r="AT347" i="1"/>
  <c r="AS347" i="1"/>
  <c r="AR347" i="1"/>
  <c r="R423" i="3"/>
  <c r="AD424" i="3"/>
  <c r="AC424" i="3"/>
  <c r="G206" i="2"/>
  <c r="J206" i="2"/>
  <c r="K206" i="2" s="1"/>
  <c r="AD157" i="2"/>
  <c r="AC157" i="2"/>
  <c r="W423" i="3" l="1"/>
  <c r="AI423" i="3"/>
  <c r="W155" i="2"/>
  <c r="AP155" i="2"/>
  <c r="AW356" i="1"/>
  <c r="AY356" i="1"/>
  <c r="AZ356" i="1" s="1"/>
  <c r="BB356" i="1" s="1"/>
  <c r="AL160" i="2"/>
  <c r="AM160" i="2" s="1"/>
  <c r="S155" i="2"/>
  <c r="U156" i="2" s="1"/>
  <c r="L206" i="2"/>
  <c r="M481" i="3"/>
  <c r="L481" i="3"/>
  <c r="AE157" i="2"/>
  <c r="AF157" i="2" s="1"/>
  <c r="AT348" i="1"/>
  <c r="AS348" i="1"/>
  <c r="AR348" i="1"/>
  <c r="AO349" i="1"/>
  <c r="AP349" i="1" s="1"/>
  <c r="AM349" i="1"/>
  <c r="AK160" i="2"/>
  <c r="E233" i="2"/>
  <c r="AE424" i="3"/>
  <c r="AF424" i="3" s="1"/>
  <c r="D482" i="3"/>
  <c r="N482" i="3"/>
  <c r="K482" i="3" s="1"/>
  <c r="AA424" i="3"/>
  <c r="U424" i="3"/>
  <c r="T424" i="3"/>
  <c r="AB157" i="2"/>
  <c r="G207" i="2"/>
  <c r="J207" i="2"/>
  <c r="K207" i="2" s="1"/>
  <c r="T156" i="2" l="1"/>
  <c r="V156" i="2" s="1"/>
  <c r="AW357" i="1"/>
  <c r="AY357" i="1"/>
  <c r="AZ357" i="1" s="1"/>
  <c r="BB357" i="1" s="1"/>
  <c r="L207" i="2"/>
  <c r="M482" i="3"/>
  <c r="L482" i="3"/>
  <c r="AJ161" i="2"/>
  <c r="AI161" i="2"/>
  <c r="E234" i="2"/>
  <c r="AO350" i="1"/>
  <c r="AP350" i="1" s="1"/>
  <c r="AM350" i="1"/>
  <c r="D483" i="3"/>
  <c r="N483" i="3"/>
  <c r="K483" i="3" s="1"/>
  <c r="AT349" i="1"/>
  <c r="AS349" i="1"/>
  <c r="AR349" i="1"/>
  <c r="V424" i="3"/>
  <c r="R424" i="3"/>
  <c r="AD425" i="3"/>
  <c r="AC425" i="3"/>
  <c r="J208" i="2"/>
  <c r="K208" i="2" s="1"/>
  <c r="G208" i="2"/>
  <c r="AD158" i="2"/>
  <c r="AC158" i="2"/>
  <c r="W424" i="3" l="1"/>
  <c r="AI424" i="3"/>
  <c r="S156" i="2"/>
  <c r="T157" i="2" s="1"/>
  <c r="W156" i="2"/>
  <c r="AP156" i="2"/>
  <c r="AL161" i="2"/>
  <c r="AM161" i="2" s="1"/>
  <c r="AW358" i="1"/>
  <c r="AY358" i="1"/>
  <c r="AZ358" i="1" s="1"/>
  <c r="BB358" i="1" s="1"/>
  <c r="AE158" i="2"/>
  <c r="AF158" i="2" s="1"/>
  <c r="L208" i="2"/>
  <c r="M483" i="3"/>
  <c r="L483" i="3"/>
  <c r="AE425" i="3"/>
  <c r="AF425" i="3" s="1"/>
  <c r="AT350" i="1"/>
  <c r="AS350" i="1"/>
  <c r="AR350" i="1"/>
  <c r="D484" i="3"/>
  <c r="N484" i="3"/>
  <c r="K484" i="3" s="1"/>
  <c r="AO351" i="1"/>
  <c r="AP351" i="1" s="1"/>
  <c r="AM351" i="1"/>
  <c r="E235" i="2"/>
  <c r="AK161" i="2"/>
  <c r="AA425" i="3"/>
  <c r="U425" i="3"/>
  <c r="T425" i="3"/>
  <c r="G209" i="2"/>
  <c r="J209" i="2"/>
  <c r="K209" i="2" s="1"/>
  <c r="AB158" i="2"/>
  <c r="U157" i="2" l="1"/>
  <c r="AW359" i="1"/>
  <c r="AY359" i="1"/>
  <c r="AZ359" i="1" s="1"/>
  <c r="BB359" i="1" s="1"/>
  <c r="L209" i="2"/>
  <c r="M484" i="3"/>
  <c r="L484" i="3"/>
  <c r="V425" i="3"/>
  <c r="V157" i="2"/>
  <c r="AO352" i="1"/>
  <c r="AP352" i="1" s="1"/>
  <c r="AM352" i="1"/>
  <c r="D485" i="3"/>
  <c r="N485" i="3"/>
  <c r="K485" i="3" s="1"/>
  <c r="AT351" i="1"/>
  <c r="AS351" i="1"/>
  <c r="AR351" i="1"/>
  <c r="AJ162" i="2"/>
  <c r="AI162" i="2"/>
  <c r="E236" i="2"/>
  <c r="R425" i="3"/>
  <c r="AD426" i="3"/>
  <c r="AC426" i="3"/>
  <c r="S157" i="2"/>
  <c r="AD159" i="2"/>
  <c r="AC159" i="2"/>
  <c r="G210" i="2"/>
  <c r="J210" i="2"/>
  <c r="K210" i="2" s="1"/>
  <c r="W425" i="3" l="1"/>
  <c r="AI425" i="3"/>
  <c r="W157" i="2"/>
  <c r="AP157" i="2"/>
  <c r="AW360" i="1"/>
  <c r="AY360" i="1"/>
  <c r="AZ360" i="1" s="1"/>
  <c r="BB360" i="1" s="1"/>
  <c r="L210" i="2"/>
  <c r="AE426" i="3"/>
  <c r="AF426" i="3" s="1"/>
  <c r="M485" i="3"/>
  <c r="L485" i="3"/>
  <c r="AL162" i="2"/>
  <c r="AM162" i="2" s="1"/>
  <c r="AE159" i="2"/>
  <c r="AF159" i="2" s="1"/>
  <c r="AK162" i="2"/>
  <c r="AJ163" i="2" s="1"/>
  <c r="E237" i="2"/>
  <c r="D486" i="3"/>
  <c r="N486" i="3"/>
  <c r="K486" i="3" s="1"/>
  <c r="AO353" i="1"/>
  <c r="AP353" i="1" s="1"/>
  <c r="AM353" i="1"/>
  <c r="AT352" i="1"/>
  <c r="AS352" i="1"/>
  <c r="AR352" i="1"/>
  <c r="U426" i="3"/>
  <c r="T426" i="3"/>
  <c r="R426" i="3" s="1"/>
  <c r="AA426" i="3"/>
  <c r="AB159" i="2"/>
  <c r="G211" i="2"/>
  <c r="J211" i="2"/>
  <c r="K211" i="2" s="1"/>
  <c r="U158" i="2"/>
  <c r="T158" i="2"/>
  <c r="AW361" i="1" l="1"/>
  <c r="AY361" i="1"/>
  <c r="AZ361" i="1" s="1"/>
  <c r="BB361" i="1" s="1"/>
  <c r="V158" i="2"/>
  <c r="L211" i="2"/>
  <c r="M486" i="3"/>
  <c r="AI163" i="2"/>
  <c r="AK163" i="2" s="1"/>
  <c r="AJ164" i="2" s="1"/>
  <c r="AO354" i="1"/>
  <c r="AP354" i="1" s="1"/>
  <c r="AM354" i="1"/>
  <c r="AT353" i="1"/>
  <c r="AS353" i="1"/>
  <c r="AR353" i="1"/>
  <c r="N487" i="3"/>
  <c r="K487" i="3" s="1"/>
  <c r="D487" i="3"/>
  <c r="E238" i="2"/>
  <c r="AD427" i="3"/>
  <c r="AC427" i="3"/>
  <c r="V426" i="3"/>
  <c r="U427" i="3"/>
  <c r="T427" i="3"/>
  <c r="S158" i="2"/>
  <c r="J212" i="2"/>
  <c r="K212" i="2" s="1"/>
  <c r="G212" i="2"/>
  <c r="AD160" i="2"/>
  <c r="AC160" i="2"/>
  <c r="W426" i="3" l="1"/>
  <c r="AI426" i="3"/>
  <c r="W158" i="2"/>
  <c r="AP158" i="2"/>
  <c r="AW362" i="1"/>
  <c r="AY362" i="1"/>
  <c r="AZ362" i="1" s="1"/>
  <c r="BB362" i="1" s="1"/>
  <c r="L212" i="2"/>
  <c r="M487" i="3"/>
  <c r="C99" i="35" s="1"/>
  <c r="L487" i="3"/>
  <c r="AL163" i="2"/>
  <c r="AM163" i="2" s="1"/>
  <c r="AE160" i="2"/>
  <c r="AF160" i="2" s="1"/>
  <c r="AE427" i="3"/>
  <c r="AF427" i="3" s="1"/>
  <c r="AI164" i="2"/>
  <c r="AL164" i="2" s="1"/>
  <c r="AM164" i="2" s="1"/>
  <c r="E239" i="2"/>
  <c r="AO355" i="1"/>
  <c r="AP355" i="1" s="1"/>
  <c r="AM355" i="1"/>
  <c r="N488" i="3"/>
  <c r="K488" i="3" s="1"/>
  <c r="D488" i="3"/>
  <c r="G99" i="35"/>
  <c r="AT354" i="1"/>
  <c r="AS354" i="1"/>
  <c r="AR354" i="1"/>
  <c r="D99" i="35"/>
  <c r="L486" i="3"/>
  <c r="V427" i="3"/>
  <c r="R427" i="3"/>
  <c r="AA427" i="3"/>
  <c r="G213" i="2"/>
  <c r="J213" i="2"/>
  <c r="K213" i="2" s="1"/>
  <c r="AB160" i="2"/>
  <c r="U159" i="2"/>
  <c r="T159" i="2"/>
  <c r="W427" i="3" l="1"/>
  <c r="AI427" i="3"/>
  <c r="AW363" i="1"/>
  <c r="AY363" i="1"/>
  <c r="AZ363" i="1" s="1"/>
  <c r="BB363" i="1" s="1"/>
  <c r="L213" i="2"/>
  <c r="M488" i="3"/>
  <c r="L488" i="3"/>
  <c r="AK164" i="2"/>
  <c r="AI165" i="2" s="1"/>
  <c r="V159" i="2"/>
  <c r="E99" i="35"/>
  <c r="AO356" i="1"/>
  <c r="AP356" i="1" s="1"/>
  <c r="AM356" i="1"/>
  <c r="AT355" i="1"/>
  <c r="AS355" i="1"/>
  <c r="AR355" i="1"/>
  <c r="D489" i="3"/>
  <c r="N489" i="3"/>
  <c r="K489" i="3" s="1"/>
  <c r="E240" i="2"/>
  <c r="AD428" i="3"/>
  <c r="AC428" i="3"/>
  <c r="U428" i="3"/>
  <c r="T428" i="3"/>
  <c r="AD161" i="2"/>
  <c r="AC161" i="2"/>
  <c r="AE161" i="2" s="1"/>
  <c r="AF161" i="2" s="1"/>
  <c r="S159" i="2"/>
  <c r="G214" i="2"/>
  <c r="J214" i="2"/>
  <c r="K214" i="2" s="1"/>
  <c r="W159" i="2" l="1"/>
  <c r="AP159" i="2"/>
  <c r="AJ165" i="2"/>
  <c r="AL165" i="2" s="1"/>
  <c r="AM165" i="2" s="1"/>
  <c r="AW364" i="1"/>
  <c r="AY364" i="1"/>
  <c r="AZ364" i="1" s="1"/>
  <c r="BB364" i="1" s="1"/>
  <c r="L214" i="2"/>
  <c r="M489" i="3"/>
  <c r="L489" i="3"/>
  <c r="AE428" i="3"/>
  <c r="AF428" i="3" s="1"/>
  <c r="AO357" i="1"/>
  <c r="AP357" i="1" s="1"/>
  <c r="AM357" i="1"/>
  <c r="E241" i="2"/>
  <c r="AT356" i="1"/>
  <c r="AS356" i="1"/>
  <c r="AR356" i="1"/>
  <c r="V428" i="3"/>
  <c r="N490" i="3"/>
  <c r="K490" i="3" s="1"/>
  <c r="D490" i="3"/>
  <c r="AK165" i="2"/>
  <c r="R428" i="3"/>
  <c r="AA428" i="3"/>
  <c r="U160" i="2"/>
  <c r="T160" i="2"/>
  <c r="AB161" i="2"/>
  <c r="G215" i="2"/>
  <c r="J215" i="2"/>
  <c r="K215" i="2" s="1"/>
  <c r="W428" i="3" l="1"/>
  <c r="AI428" i="3"/>
  <c r="V160" i="2"/>
  <c r="AW365" i="1"/>
  <c r="AY365" i="1"/>
  <c r="AZ365" i="1" s="1"/>
  <c r="BB365" i="1" s="1"/>
  <c r="L215" i="2"/>
  <c r="M490" i="3"/>
  <c r="L490" i="3"/>
  <c r="E242" i="2"/>
  <c r="AJ166" i="2"/>
  <c r="AI166" i="2"/>
  <c r="D491" i="3"/>
  <c r="N491" i="3"/>
  <c r="K491" i="3" s="1"/>
  <c r="AO358" i="1"/>
  <c r="AP358" i="1" s="1"/>
  <c r="AM358" i="1"/>
  <c r="AT357" i="1"/>
  <c r="AS357" i="1"/>
  <c r="AR357" i="1"/>
  <c r="AD429" i="3"/>
  <c r="AC429" i="3"/>
  <c r="U429" i="3"/>
  <c r="T429" i="3"/>
  <c r="R429" i="3" s="1"/>
  <c r="S160" i="2"/>
  <c r="U161" i="2" s="1"/>
  <c r="J216" i="2"/>
  <c r="K216" i="2" s="1"/>
  <c r="G216" i="2"/>
  <c r="AD162" i="2"/>
  <c r="AC162" i="2"/>
  <c r="W160" i="2" l="1"/>
  <c r="AP160" i="2"/>
  <c r="AE429" i="3"/>
  <c r="AF429" i="3" s="1"/>
  <c r="AE162" i="2"/>
  <c r="AF162" i="2" s="1"/>
  <c r="AL166" i="2"/>
  <c r="AM166" i="2" s="1"/>
  <c r="AW366" i="1"/>
  <c r="AY366" i="1"/>
  <c r="AZ366" i="1" s="1"/>
  <c r="BB366" i="1" s="1"/>
  <c r="L216" i="2"/>
  <c r="M491" i="3"/>
  <c r="L491" i="3"/>
  <c r="T161" i="2"/>
  <c r="V161" i="2" s="1"/>
  <c r="AT358" i="1"/>
  <c r="AS358" i="1"/>
  <c r="AR358" i="1"/>
  <c r="AK166" i="2"/>
  <c r="D492" i="3"/>
  <c r="N492" i="3"/>
  <c r="K492" i="3" s="1"/>
  <c r="V429" i="3"/>
  <c r="AO359" i="1"/>
  <c r="AP359" i="1" s="1"/>
  <c r="AM359" i="1"/>
  <c r="E243" i="2"/>
  <c r="AA429" i="3"/>
  <c r="U430" i="3"/>
  <c r="T430" i="3"/>
  <c r="AB162" i="2"/>
  <c r="G217" i="2"/>
  <c r="J217" i="2"/>
  <c r="K217" i="2" s="1"/>
  <c r="W429" i="3" l="1"/>
  <c r="AI429" i="3"/>
  <c r="W161" i="2"/>
  <c r="AP161" i="2"/>
  <c r="AW367" i="1"/>
  <c r="AY367" i="1"/>
  <c r="AZ367" i="1" s="1"/>
  <c r="BB367" i="1" s="1"/>
  <c r="L217" i="2"/>
  <c r="M492" i="3"/>
  <c r="L492" i="3"/>
  <c r="S161" i="2"/>
  <c r="U162" i="2" s="1"/>
  <c r="AT359" i="1"/>
  <c r="AS359" i="1"/>
  <c r="AR359" i="1"/>
  <c r="D493" i="3"/>
  <c r="N493" i="3"/>
  <c r="K493" i="3" s="1"/>
  <c r="AJ167" i="2"/>
  <c r="AI167" i="2"/>
  <c r="E244" i="2"/>
  <c r="V430" i="3"/>
  <c r="AO360" i="1"/>
  <c r="AP360" i="1" s="1"/>
  <c r="AM360" i="1"/>
  <c r="R430" i="3"/>
  <c r="AD430" i="3"/>
  <c r="AC430" i="3"/>
  <c r="G218" i="2"/>
  <c r="J218" i="2"/>
  <c r="K218" i="2" s="1"/>
  <c r="AD163" i="2"/>
  <c r="AC163" i="2"/>
  <c r="W430" i="3" l="1"/>
  <c r="AI430" i="3"/>
  <c r="AL167" i="2"/>
  <c r="AM167" i="2" s="1"/>
  <c r="AW368" i="1"/>
  <c r="AY368" i="1"/>
  <c r="AZ368" i="1" s="1"/>
  <c r="BB368" i="1" s="1"/>
  <c r="T162" i="2"/>
  <c r="V162" i="2" s="1"/>
  <c r="L218" i="2"/>
  <c r="AE430" i="3"/>
  <c r="AF430" i="3" s="1"/>
  <c r="L493" i="3"/>
  <c r="M493" i="3"/>
  <c r="AE163" i="2"/>
  <c r="AF163" i="2" s="1"/>
  <c r="AK167" i="2"/>
  <c r="AO361" i="1"/>
  <c r="AP361" i="1" s="1"/>
  <c r="AM361" i="1"/>
  <c r="AT360" i="1"/>
  <c r="AS360" i="1"/>
  <c r="AR360" i="1"/>
  <c r="N494" i="3"/>
  <c r="K494" i="3" s="1"/>
  <c r="D494" i="3"/>
  <c r="E245" i="2"/>
  <c r="U431" i="3"/>
  <c r="T431" i="3"/>
  <c r="AA430" i="3"/>
  <c r="J219" i="2"/>
  <c r="K219" i="2" s="1"/>
  <c r="G219" i="2"/>
  <c r="AB163" i="2"/>
  <c r="W162" i="2" l="1"/>
  <c r="AP162" i="2"/>
  <c r="S162" i="2"/>
  <c r="U163" i="2" s="1"/>
  <c r="AW369" i="1"/>
  <c r="AY369" i="1"/>
  <c r="AZ369" i="1" s="1"/>
  <c r="BB369" i="1" s="1"/>
  <c r="L219" i="2"/>
  <c r="L494" i="3"/>
  <c r="M494" i="3"/>
  <c r="V431" i="3"/>
  <c r="AO362" i="1"/>
  <c r="AP362" i="1" s="1"/>
  <c r="AM362" i="1"/>
  <c r="D495" i="3"/>
  <c r="N495" i="3"/>
  <c r="K495" i="3" s="1"/>
  <c r="E246" i="2"/>
  <c r="AT361" i="1"/>
  <c r="AS361" i="1"/>
  <c r="AR361" i="1"/>
  <c r="AJ168" i="2"/>
  <c r="AI168" i="2"/>
  <c r="AD431" i="3"/>
  <c r="AC431" i="3"/>
  <c r="R431" i="3"/>
  <c r="AD164" i="2"/>
  <c r="AC164" i="2"/>
  <c r="G220" i="2"/>
  <c r="J220" i="2"/>
  <c r="K220" i="2" s="1"/>
  <c r="W431" i="3" l="1"/>
  <c r="AI431" i="3"/>
  <c r="AL168" i="2"/>
  <c r="AM168" i="2" s="1"/>
  <c r="T163" i="2"/>
  <c r="S163" i="2" s="1"/>
  <c r="U164" i="2" s="1"/>
  <c r="AW370" i="1"/>
  <c r="AY370" i="1"/>
  <c r="AZ370" i="1" s="1"/>
  <c r="BB370" i="1" s="1"/>
  <c r="L220" i="2"/>
  <c r="M495" i="3"/>
  <c r="L495" i="3"/>
  <c r="AE431" i="3"/>
  <c r="AF431" i="3" s="1"/>
  <c r="E247" i="2"/>
  <c r="D496" i="3"/>
  <c r="N496" i="3"/>
  <c r="K496" i="3" s="1"/>
  <c r="AK168" i="2"/>
  <c r="AO363" i="1"/>
  <c r="AP363" i="1" s="1"/>
  <c r="AM363" i="1"/>
  <c r="AT362" i="1"/>
  <c r="AS362" i="1"/>
  <c r="AR362" i="1"/>
  <c r="AA431" i="3"/>
  <c r="U432" i="3"/>
  <c r="T432" i="3"/>
  <c r="AE164" i="2"/>
  <c r="AF164" i="2" s="1"/>
  <c r="AB164" i="2"/>
  <c r="G221" i="2"/>
  <c r="J221" i="2"/>
  <c r="K221" i="2" s="1"/>
  <c r="V163" i="2" l="1"/>
  <c r="T164" i="2"/>
  <c r="V164" i="2" s="1"/>
  <c r="AW371" i="1"/>
  <c r="AY371" i="1"/>
  <c r="AZ371" i="1" s="1"/>
  <c r="BB371" i="1" s="1"/>
  <c r="L221" i="2"/>
  <c r="M496" i="3"/>
  <c r="L496" i="3"/>
  <c r="V432" i="3"/>
  <c r="AO364" i="1"/>
  <c r="AP364" i="1" s="1"/>
  <c r="AM364" i="1"/>
  <c r="AJ169" i="2"/>
  <c r="AI169" i="2"/>
  <c r="D497" i="3"/>
  <c r="N497" i="3"/>
  <c r="K497" i="3" s="1"/>
  <c r="E248" i="2"/>
  <c r="AT363" i="1"/>
  <c r="AS363" i="1"/>
  <c r="AR363" i="1"/>
  <c r="R432" i="3"/>
  <c r="AD432" i="3"/>
  <c r="AC432" i="3"/>
  <c r="AD165" i="2"/>
  <c r="AC165" i="2"/>
  <c r="G222" i="2"/>
  <c r="J222" i="2"/>
  <c r="K222" i="2" s="1"/>
  <c r="W432" i="3" l="1"/>
  <c r="AI432" i="3"/>
  <c r="W164" i="2"/>
  <c r="AP164" i="2"/>
  <c r="W163" i="2"/>
  <c r="AP163" i="2"/>
  <c r="S164" i="2"/>
  <c r="T165" i="2" s="1"/>
  <c r="S165" i="2" s="1"/>
  <c r="AW372" i="1"/>
  <c r="AY372" i="1"/>
  <c r="AZ372" i="1" s="1"/>
  <c r="BB372" i="1" s="1"/>
  <c r="L222" i="2"/>
  <c r="AE432" i="3"/>
  <c r="AF432" i="3" s="1"/>
  <c r="M497" i="3"/>
  <c r="L497" i="3"/>
  <c r="AE165" i="2"/>
  <c r="AF165" i="2" s="1"/>
  <c r="AL169" i="2"/>
  <c r="AM169" i="2" s="1"/>
  <c r="AK169" i="2"/>
  <c r="D498" i="3"/>
  <c r="N498" i="3"/>
  <c r="K498" i="3" s="1"/>
  <c r="AO365" i="1"/>
  <c r="AP365" i="1" s="1"/>
  <c r="AM365" i="1"/>
  <c r="E249" i="2"/>
  <c r="AT364" i="1"/>
  <c r="AS364" i="1"/>
  <c r="AR364" i="1"/>
  <c r="AA432" i="3"/>
  <c r="U433" i="3"/>
  <c r="T433" i="3"/>
  <c r="AB165" i="2"/>
  <c r="J223" i="2"/>
  <c r="K223" i="2" s="1"/>
  <c r="G223" i="2"/>
  <c r="U165" i="2" l="1"/>
  <c r="V165" i="2" s="1"/>
  <c r="AW373" i="1"/>
  <c r="AY373" i="1"/>
  <c r="AZ373" i="1" s="1"/>
  <c r="BB373" i="1" s="1"/>
  <c r="L223" i="2"/>
  <c r="M498" i="3"/>
  <c r="V433" i="3"/>
  <c r="E250" i="2"/>
  <c r="AT365" i="1"/>
  <c r="AS365" i="1"/>
  <c r="AR365" i="1"/>
  <c r="D499" i="3"/>
  <c r="N499" i="3"/>
  <c r="K499" i="3" s="1"/>
  <c r="AO366" i="1"/>
  <c r="AP366" i="1" s="1"/>
  <c r="AM366" i="1"/>
  <c r="AJ170" i="2"/>
  <c r="AI170" i="2"/>
  <c r="R433" i="3"/>
  <c r="AD433" i="3"/>
  <c r="AC433" i="3"/>
  <c r="U166" i="2"/>
  <c r="T166" i="2"/>
  <c r="S166" i="2" s="1"/>
  <c r="AD166" i="2"/>
  <c r="AC166" i="2"/>
  <c r="G224" i="2"/>
  <c r="J224" i="2"/>
  <c r="K224" i="2" s="1"/>
  <c r="W433" i="3" l="1"/>
  <c r="AI433" i="3"/>
  <c r="W165" i="2"/>
  <c r="AP165" i="2"/>
  <c r="AE433" i="3"/>
  <c r="AF433" i="3" s="1"/>
  <c r="AL170" i="2"/>
  <c r="AM170" i="2" s="1"/>
  <c r="AW374" i="1"/>
  <c r="AY374" i="1"/>
  <c r="AZ374" i="1" s="1"/>
  <c r="BB374" i="1" s="1"/>
  <c r="L224" i="2"/>
  <c r="M499" i="3"/>
  <c r="C100" i="35" s="1"/>
  <c r="L499" i="3"/>
  <c r="AE166" i="2"/>
  <c r="AF166" i="2" s="1"/>
  <c r="D100" i="35"/>
  <c r="L498" i="3"/>
  <c r="AK170" i="2"/>
  <c r="AO367" i="1"/>
  <c r="AP367" i="1" s="1"/>
  <c r="AM367" i="1"/>
  <c r="AT366" i="1"/>
  <c r="AS366" i="1"/>
  <c r="AR366" i="1"/>
  <c r="N500" i="3"/>
  <c r="K500" i="3" s="1"/>
  <c r="D500" i="3"/>
  <c r="G100" i="35"/>
  <c r="E251" i="2"/>
  <c r="AA433" i="3"/>
  <c r="U434" i="3"/>
  <c r="T434" i="3"/>
  <c r="U167" i="2"/>
  <c r="T167" i="2"/>
  <c r="AB166" i="2"/>
  <c r="G225" i="2"/>
  <c r="J225" i="2"/>
  <c r="K225" i="2" s="1"/>
  <c r="V166" i="2"/>
  <c r="W166" i="2" l="1"/>
  <c r="AP166" i="2"/>
  <c r="AW375" i="1"/>
  <c r="AY375" i="1"/>
  <c r="AZ375" i="1" s="1"/>
  <c r="BB375" i="1" s="1"/>
  <c r="E100" i="35"/>
  <c r="L225" i="2"/>
  <c r="M500" i="3"/>
  <c r="L500" i="3"/>
  <c r="V167" i="2"/>
  <c r="E252" i="2"/>
  <c r="AO368" i="1"/>
  <c r="AP368" i="1" s="1"/>
  <c r="AM368" i="1"/>
  <c r="AT367" i="1"/>
  <c r="AS367" i="1"/>
  <c r="AR367" i="1"/>
  <c r="V434" i="3"/>
  <c r="AJ171" i="2"/>
  <c r="AI171" i="2"/>
  <c r="D501" i="3"/>
  <c r="N501" i="3"/>
  <c r="K501" i="3" s="1"/>
  <c r="AD434" i="3"/>
  <c r="AC434" i="3"/>
  <c r="R434" i="3"/>
  <c r="AD167" i="2"/>
  <c r="AC167" i="2"/>
  <c r="S167" i="2"/>
  <c r="G226" i="2"/>
  <c r="J226" i="2"/>
  <c r="K226" i="2" s="1"/>
  <c r="W434" i="3" l="1"/>
  <c r="AI434" i="3"/>
  <c r="AP167" i="2"/>
  <c r="W167" i="2"/>
  <c r="AL171" i="2"/>
  <c r="AM171" i="2" s="1"/>
  <c r="AW376" i="1"/>
  <c r="AY376" i="1"/>
  <c r="AZ376" i="1" s="1"/>
  <c r="BB376" i="1" s="1"/>
  <c r="L226" i="2"/>
  <c r="M501" i="3"/>
  <c r="L501" i="3"/>
  <c r="AE434" i="3"/>
  <c r="AF434" i="3" s="1"/>
  <c r="AE167" i="2"/>
  <c r="AF167" i="2" s="1"/>
  <c r="D502" i="3"/>
  <c r="N502" i="3"/>
  <c r="K502" i="3" s="1"/>
  <c r="AO369" i="1"/>
  <c r="AP369" i="1" s="1"/>
  <c r="AM369" i="1"/>
  <c r="AT368" i="1"/>
  <c r="AS368" i="1"/>
  <c r="AR368" i="1"/>
  <c r="E253" i="2"/>
  <c r="AK171" i="2"/>
  <c r="AA434" i="3"/>
  <c r="U435" i="3"/>
  <c r="T435" i="3"/>
  <c r="U168" i="2"/>
  <c r="T168" i="2"/>
  <c r="J227" i="2"/>
  <c r="K227" i="2" s="1"/>
  <c r="G227" i="2"/>
  <c r="AB167" i="2"/>
  <c r="AW377" i="1" l="1"/>
  <c r="AY377" i="1"/>
  <c r="AZ377" i="1" s="1"/>
  <c r="BB377" i="1" s="1"/>
  <c r="L227" i="2"/>
  <c r="L502" i="3"/>
  <c r="M502" i="3"/>
  <c r="V435" i="3"/>
  <c r="V168" i="2"/>
  <c r="AJ172" i="2"/>
  <c r="AI172" i="2"/>
  <c r="E254" i="2"/>
  <c r="AO370" i="1"/>
  <c r="AP370" i="1" s="1"/>
  <c r="AM370" i="1"/>
  <c r="AT369" i="1"/>
  <c r="AS369" i="1"/>
  <c r="AR369" i="1"/>
  <c r="N503" i="3"/>
  <c r="K503" i="3" s="1"/>
  <c r="D503" i="3"/>
  <c r="R435" i="3"/>
  <c r="AD435" i="3"/>
  <c r="AC435" i="3"/>
  <c r="AD168" i="2"/>
  <c r="AC168" i="2"/>
  <c r="S168" i="2"/>
  <c r="G228" i="2"/>
  <c r="J228" i="2"/>
  <c r="K228" i="2" s="1"/>
  <c r="W435" i="3" l="1"/>
  <c r="AI435" i="3"/>
  <c r="W168" i="2"/>
  <c r="AP168" i="2"/>
  <c r="AW378" i="1"/>
  <c r="AY378" i="1"/>
  <c r="AZ378" i="1" s="1"/>
  <c r="BB378" i="1" s="1"/>
  <c r="L228" i="2"/>
  <c r="M503" i="3"/>
  <c r="L503" i="3"/>
  <c r="AE435" i="3"/>
  <c r="AF435" i="3" s="1"/>
  <c r="AE168" i="2"/>
  <c r="AF168" i="2" s="1"/>
  <c r="AL172" i="2"/>
  <c r="AM172" i="2" s="1"/>
  <c r="AO371" i="1"/>
  <c r="AP371" i="1" s="1"/>
  <c r="AM371" i="1"/>
  <c r="N504" i="3"/>
  <c r="K504" i="3" s="1"/>
  <c r="D504" i="3"/>
  <c r="E255" i="2"/>
  <c r="AT370" i="1"/>
  <c r="AS370" i="1"/>
  <c r="AR370" i="1"/>
  <c r="AK172" i="2"/>
  <c r="U436" i="3"/>
  <c r="T436" i="3"/>
  <c r="AA435" i="3"/>
  <c r="U169" i="2"/>
  <c r="T169" i="2"/>
  <c r="S169" i="2" s="1"/>
  <c r="G229" i="2"/>
  <c r="J229" i="2"/>
  <c r="K229" i="2" s="1"/>
  <c r="AB168" i="2"/>
  <c r="AW379" i="1" l="1"/>
  <c r="AY379" i="1"/>
  <c r="AZ379" i="1" s="1"/>
  <c r="BB379" i="1" s="1"/>
  <c r="L229" i="2"/>
  <c r="M504" i="3"/>
  <c r="L504" i="3"/>
  <c r="V436" i="3"/>
  <c r="D505" i="3"/>
  <c r="N505" i="3"/>
  <c r="K505" i="3" s="1"/>
  <c r="AJ173" i="2"/>
  <c r="AI173" i="2"/>
  <c r="AO372" i="1"/>
  <c r="AP372" i="1" s="1"/>
  <c r="AM372" i="1"/>
  <c r="E256" i="2"/>
  <c r="AT371" i="1"/>
  <c r="AS371" i="1"/>
  <c r="AR371" i="1"/>
  <c r="AD436" i="3"/>
  <c r="AC436" i="3"/>
  <c r="R436" i="3"/>
  <c r="U170" i="2"/>
  <c r="T170" i="2"/>
  <c r="G230" i="2"/>
  <c r="J230" i="2"/>
  <c r="K230" i="2" s="1"/>
  <c r="V169" i="2"/>
  <c r="AD169" i="2"/>
  <c r="AC169" i="2"/>
  <c r="W436" i="3" l="1"/>
  <c r="AI436" i="3"/>
  <c r="W169" i="2"/>
  <c r="AP169" i="2"/>
  <c r="AW380" i="1"/>
  <c r="AY380" i="1"/>
  <c r="AZ380" i="1" s="1"/>
  <c r="BB380" i="1" s="1"/>
  <c r="L230" i="2"/>
  <c r="M505" i="3"/>
  <c r="L505" i="3"/>
  <c r="AE436" i="3"/>
  <c r="AF436" i="3" s="1"/>
  <c r="AL173" i="2"/>
  <c r="AM173" i="2" s="1"/>
  <c r="AE169" i="2"/>
  <c r="AF169" i="2" s="1"/>
  <c r="V170" i="2"/>
  <c r="E257" i="2"/>
  <c r="AO373" i="1"/>
  <c r="AP373" i="1" s="1"/>
  <c r="AM373" i="1"/>
  <c r="AT372" i="1"/>
  <c r="AS372" i="1"/>
  <c r="AR372" i="1"/>
  <c r="AK173" i="2"/>
  <c r="D506" i="3"/>
  <c r="N506" i="3"/>
  <c r="K506" i="3" s="1"/>
  <c r="U437" i="3"/>
  <c r="T437" i="3"/>
  <c r="AA436" i="3"/>
  <c r="AB169" i="2"/>
  <c r="J231" i="2"/>
  <c r="K231" i="2" s="1"/>
  <c r="G231" i="2"/>
  <c r="S170" i="2"/>
  <c r="W170" i="2" l="1"/>
  <c r="AP170" i="2"/>
  <c r="AW381" i="1"/>
  <c r="AY381" i="1"/>
  <c r="AZ381" i="1" s="1"/>
  <c r="BB381" i="1" s="1"/>
  <c r="L231" i="2"/>
  <c r="M506" i="3"/>
  <c r="L506" i="3"/>
  <c r="V437" i="3"/>
  <c r="AO374" i="1"/>
  <c r="AP374" i="1" s="1"/>
  <c r="AM374" i="1"/>
  <c r="AT373" i="1"/>
  <c r="AS373" i="1"/>
  <c r="AR373" i="1"/>
  <c r="AJ174" i="2"/>
  <c r="AI174" i="2"/>
  <c r="E258" i="2"/>
  <c r="N507" i="3"/>
  <c r="K507" i="3" s="1"/>
  <c r="D507" i="3"/>
  <c r="AD437" i="3"/>
  <c r="AC437" i="3"/>
  <c r="R437" i="3"/>
  <c r="U171" i="2"/>
  <c r="T171" i="2"/>
  <c r="AD170" i="2"/>
  <c r="AC170" i="2"/>
  <c r="G232" i="2"/>
  <c r="J232" i="2"/>
  <c r="K232" i="2" s="1"/>
  <c r="W437" i="3" l="1"/>
  <c r="AI437" i="3"/>
  <c r="AL174" i="2"/>
  <c r="AM174" i="2" s="1"/>
  <c r="AW382" i="1"/>
  <c r="AY382" i="1"/>
  <c r="AZ382" i="1" s="1"/>
  <c r="BB382" i="1" s="1"/>
  <c r="V171" i="2"/>
  <c r="L232" i="2"/>
  <c r="M507" i="3"/>
  <c r="L507" i="3"/>
  <c r="AE437" i="3"/>
  <c r="AF437" i="3" s="1"/>
  <c r="AE170" i="2"/>
  <c r="AF170" i="2" s="1"/>
  <c r="D508" i="3"/>
  <c r="N508" i="3"/>
  <c r="K508" i="3" s="1"/>
  <c r="AK174" i="2"/>
  <c r="AO375" i="1"/>
  <c r="AP375" i="1" s="1"/>
  <c r="AM375" i="1"/>
  <c r="E259" i="2"/>
  <c r="AT374" i="1"/>
  <c r="AS374" i="1"/>
  <c r="AR374" i="1"/>
  <c r="AA437" i="3"/>
  <c r="U438" i="3"/>
  <c r="T438" i="3"/>
  <c r="S171" i="2"/>
  <c r="G233" i="2"/>
  <c r="J233" i="2"/>
  <c r="K233" i="2" s="1"/>
  <c r="AB170" i="2"/>
  <c r="W171" i="2" l="1"/>
  <c r="AP171" i="2"/>
  <c r="AW383" i="1"/>
  <c r="AY383" i="1"/>
  <c r="AZ383" i="1" s="1"/>
  <c r="BB383" i="1" s="1"/>
  <c r="L233" i="2"/>
  <c r="M508" i="3"/>
  <c r="L508" i="3"/>
  <c r="V438" i="3"/>
  <c r="E260" i="2"/>
  <c r="AO376" i="1"/>
  <c r="AP376" i="1" s="1"/>
  <c r="AM376" i="1"/>
  <c r="AT375" i="1"/>
  <c r="AS375" i="1"/>
  <c r="AR375" i="1"/>
  <c r="AJ175" i="2"/>
  <c r="AI175" i="2"/>
  <c r="D509" i="3"/>
  <c r="N509" i="3"/>
  <c r="K509" i="3" s="1"/>
  <c r="R438" i="3"/>
  <c r="AD438" i="3"/>
  <c r="AC438" i="3"/>
  <c r="AA438" i="3" s="1"/>
  <c r="AD171" i="2"/>
  <c r="AC171" i="2"/>
  <c r="G234" i="2"/>
  <c r="J234" i="2"/>
  <c r="K234" i="2" s="1"/>
  <c r="U172" i="2"/>
  <c r="T172" i="2"/>
  <c r="W438" i="3" l="1"/>
  <c r="AI438" i="3"/>
  <c r="AW384" i="1"/>
  <c r="AY384" i="1"/>
  <c r="AZ384" i="1" s="1"/>
  <c r="BB384" i="1" s="1"/>
  <c r="L234" i="2"/>
  <c r="M509" i="3"/>
  <c r="L509" i="3"/>
  <c r="AL175" i="2"/>
  <c r="AM175" i="2" s="1"/>
  <c r="V172" i="2"/>
  <c r="AE171" i="2"/>
  <c r="AF171" i="2" s="1"/>
  <c r="AK175" i="2"/>
  <c r="AO377" i="1"/>
  <c r="AP377" i="1" s="1"/>
  <c r="AM377" i="1"/>
  <c r="N510" i="3"/>
  <c r="K510" i="3" s="1"/>
  <c r="D510" i="3"/>
  <c r="AT376" i="1"/>
  <c r="AS376" i="1"/>
  <c r="AR376" i="1"/>
  <c r="E261" i="2"/>
  <c r="AD439" i="3"/>
  <c r="AC439" i="3"/>
  <c r="AA439" i="3" s="1"/>
  <c r="U439" i="3"/>
  <c r="T439" i="3"/>
  <c r="AE438" i="3"/>
  <c r="AF438" i="3" s="1"/>
  <c r="J235" i="2"/>
  <c r="K235" i="2" s="1"/>
  <c r="G235" i="2"/>
  <c r="S172" i="2"/>
  <c r="AB171" i="2"/>
  <c r="W172" i="2" l="1"/>
  <c r="AP172" i="2"/>
  <c r="AW385" i="1"/>
  <c r="AY385" i="1"/>
  <c r="AZ385" i="1" s="1"/>
  <c r="BB385" i="1" s="1"/>
  <c r="L235" i="2"/>
  <c r="M510" i="3"/>
  <c r="V439" i="3"/>
  <c r="D511" i="3"/>
  <c r="N511" i="3"/>
  <c r="K511" i="3" s="1"/>
  <c r="AO378" i="1"/>
  <c r="AP378" i="1" s="1"/>
  <c r="AM378" i="1"/>
  <c r="E262" i="2"/>
  <c r="AT377" i="1"/>
  <c r="AS377" i="1"/>
  <c r="AR377" i="1"/>
  <c r="AJ176" i="2"/>
  <c r="AI176" i="2"/>
  <c r="AE439" i="3"/>
  <c r="AF439" i="3" s="1"/>
  <c r="R439" i="3"/>
  <c r="AD440" i="3"/>
  <c r="AC440" i="3"/>
  <c r="AD172" i="2"/>
  <c r="AC172" i="2"/>
  <c r="AB172" i="2" s="1"/>
  <c r="U173" i="2"/>
  <c r="T173" i="2"/>
  <c r="G236" i="2"/>
  <c r="J236" i="2"/>
  <c r="K236" i="2" s="1"/>
  <c r="W439" i="3" l="1"/>
  <c r="AI439" i="3"/>
  <c r="AW386" i="1"/>
  <c r="AY386" i="1"/>
  <c r="AZ386" i="1" s="1"/>
  <c r="BB386" i="1" s="1"/>
  <c r="L236" i="2"/>
  <c r="M511" i="3"/>
  <c r="C101" i="35" s="1"/>
  <c r="L511" i="3"/>
  <c r="AE440" i="3"/>
  <c r="AF440" i="3" s="1"/>
  <c r="AL176" i="2"/>
  <c r="AM176" i="2" s="1"/>
  <c r="D101" i="35"/>
  <c r="E263" i="2"/>
  <c r="AO379" i="1"/>
  <c r="AP379" i="1" s="1"/>
  <c r="AM379" i="1"/>
  <c r="AT378" i="1"/>
  <c r="AS378" i="1"/>
  <c r="AR378" i="1"/>
  <c r="AK176" i="2"/>
  <c r="N512" i="3"/>
  <c r="K512" i="3" s="1"/>
  <c r="D512" i="3"/>
  <c r="G101" i="35"/>
  <c r="L510" i="3"/>
  <c r="U440" i="3"/>
  <c r="T440" i="3"/>
  <c r="AA440" i="3"/>
  <c r="V173" i="2"/>
  <c r="AD173" i="2"/>
  <c r="AC173" i="2"/>
  <c r="S173" i="2"/>
  <c r="G237" i="2"/>
  <c r="J237" i="2"/>
  <c r="K237" i="2" s="1"/>
  <c r="AE172" i="2"/>
  <c r="AF172" i="2" s="1"/>
  <c r="W173" i="2" l="1"/>
  <c r="AP173" i="2"/>
  <c r="AW387" i="1"/>
  <c r="AY387" i="1"/>
  <c r="AZ387" i="1" s="1"/>
  <c r="BB387" i="1" s="1"/>
  <c r="AE173" i="2"/>
  <c r="AF173" i="2" s="1"/>
  <c r="L237" i="2"/>
  <c r="L512" i="3"/>
  <c r="M512" i="3"/>
  <c r="E101" i="35"/>
  <c r="AJ177" i="2"/>
  <c r="AI177" i="2"/>
  <c r="AO380" i="1"/>
  <c r="AP380" i="1" s="1"/>
  <c r="AM380" i="1"/>
  <c r="AT379" i="1"/>
  <c r="AS379" i="1"/>
  <c r="AR379" i="1"/>
  <c r="N513" i="3"/>
  <c r="K513" i="3" s="1"/>
  <c r="D513" i="3"/>
  <c r="E264" i="2"/>
  <c r="V440" i="3"/>
  <c r="R440" i="3"/>
  <c r="AD441" i="3"/>
  <c r="AC441" i="3"/>
  <c r="U174" i="2"/>
  <c r="T174" i="2"/>
  <c r="AB173" i="2"/>
  <c r="G238" i="2"/>
  <c r="J238" i="2"/>
  <c r="K238" i="2" s="1"/>
  <c r="W440" i="3" l="1"/>
  <c r="AI440" i="3"/>
  <c r="AW388" i="1"/>
  <c r="AY388" i="1"/>
  <c r="AZ388" i="1" s="1"/>
  <c r="BB388" i="1" s="1"/>
  <c r="L238" i="2"/>
  <c r="M513" i="3"/>
  <c r="L513" i="3"/>
  <c r="V174" i="2"/>
  <c r="AL177" i="2"/>
  <c r="AM177" i="2" s="1"/>
  <c r="AO381" i="1"/>
  <c r="AP381" i="1" s="1"/>
  <c r="AM381" i="1"/>
  <c r="E265" i="2"/>
  <c r="AT380" i="1"/>
  <c r="AS380" i="1"/>
  <c r="AR380" i="1"/>
  <c r="D514" i="3"/>
  <c r="N514" i="3"/>
  <c r="K514" i="3" s="1"/>
  <c r="AE441" i="3"/>
  <c r="AF441" i="3" s="1"/>
  <c r="AK177" i="2"/>
  <c r="AA441" i="3"/>
  <c r="U441" i="3"/>
  <c r="T441" i="3"/>
  <c r="J239" i="2"/>
  <c r="K239" i="2" s="1"/>
  <c r="G239" i="2"/>
  <c r="S174" i="2"/>
  <c r="AD174" i="2"/>
  <c r="AC174" i="2"/>
  <c r="W174" i="2" l="1"/>
  <c r="AP174" i="2"/>
  <c r="AE174" i="2"/>
  <c r="AF174" i="2" s="1"/>
  <c r="AW389" i="1"/>
  <c r="AY389" i="1"/>
  <c r="AZ389" i="1" s="1"/>
  <c r="BB389" i="1" s="1"/>
  <c r="L239" i="2"/>
  <c r="L514" i="3"/>
  <c r="M514" i="3"/>
  <c r="D515" i="3"/>
  <c r="N515" i="3"/>
  <c r="K515" i="3" s="1"/>
  <c r="E266" i="2"/>
  <c r="AJ178" i="2"/>
  <c r="AI178" i="2"/>
  <c r="AO382" i="1"/>
  <c r="AP382" i="1" s="1"/>
  <c r="AM382" i="1"/>
  <c r="V441" i="3"/>
  <c r="AT381" i="1"/>
  <c r="AS381" i="1"/>
  <c r="AR381" i="1"/>
  <c r="R441" i="3"/>
  <c r="AD442" i="3"/>
  <c r="AC442" i="3"/>
  <c r="U175" i="2"/>
  <c r="T175" i="2"/>
  <c r="G240" i="2"/>
  <c r="J240" i="2"/>
  <c r="K240" i="2" s="1"/>
  <c r="AB174" i="2"/>
  <c r="V175" i="2" l="1"/>
  <c r="W175" i="2" s="1"/>
  <c r="W441" i="3"/>
  <c r="AI441" i="3"/>
  <c r="AW390" i="1"/>
  <c r="AY390" i="1"/>
  <c r="AZ390" i="1" s="1"/>
  <c r="BB390" i="1" s="1"/>
  <c r="L240" i="2"/>
  <c r="M515" i="3"/>
  <c r="L515" i="3"/>
  <c r="AE442" i="3"/>
  <c r="AF442" i="3" s="1"/>
  <c r="AL178" i="2"/>
  <c r="AM178" i="2" s="1"/>
  <c r="AT382" i="1"/>
  <c r="AS382" i="1"/>
  <c r="AR382" i="1"/>
  <c r="E267" i="2"/>
  <c r="AK178" i="2"/>
  <c r="AO383" i="1"/>
  <c r="AP383" i="1" s="1"/>
  <c r="AM383" i="1"/>
  <c r="N516" i="3"/>
  <c r="K516" i="3" s="1"/>
  <c r="D516" i="3"/>
  <c r="AA442" i="3"/>
  <c r="U442" i="3"/>
  <c r="T442" i="3"/>
  <c r="G241" i="2"/>
  <c r="J241" i="2"/>
  <c r="K241" i="2" s="1"/>
  <c r="AD175" i="2"/>
  <c r="AC175" i="2"/>
  <c r="S175" i="2"/>
  <c r="AP175" i="2" l="1"/>
  <c r="AW391" i="1"/>
  <c r="AY391" i="1"/>
  <c r="AZ391" i="1" s="1"/>
  <c r="BB391" i="1" s="1"/>
  <c r="L241" i="2"/>
  <c r="M516" i="3"/>
  <c r="L516" i="3"/>
  <c r="V442" i="3"/>
  <c r="AE175" i="2"/>
  <c r="AF175" i="2" s="1"/>
  <c r="AT383" i="1"/>
  <c r="AS383" i="1"/>
  <c r="AR383" i="1"/>
  <c r="E268" i="2"/>
  <c r="D517" i="3"/>
  <c r="N517" i="3"/>
  <c r="K517" i="3" s="1"/>
  <c r="AO384" i="1"/>
  <c r="AP384" i="1" s="1"/>
  <c r="AM384" i="1"/>
  <c r="AJ179" i="2"/>
  <c r="AI179" i="2"/>
  <c r="R442" i="3"/>
  <c r="AD443" i="3"/>
  <c r="AC443" i="3"/>
  <c r="U176" i="2"/>
  <c r="T176" i="2"/>
  <c r="G242" i="2"/>
  <c r="J242" i="2"/>
  <c r="K242" i="2" s="1"/>
  <c r="AB175" i="2"/>
  <c r="W442" i="3" l="1"/>
  <c r="AI442" i="3"/>
  <c r="AL179" i="2"/>
  <c r="AM179" i="2" s="1"/>
  <c r="AW392" i="1"/>
  <c r="AY392" i="1"/>
  <c r="AZ392" i="1" s="1"/>
  <c r="BB392" i="1" s="1"/>
  <c r="L242" i="2"/>
  <c r="AE443" i="3"/>
  <c r="AF443" i="3" s="1"/>
  <c r="M517" i="3"/>
  <c r="L517" i="3"/>
  <c r="V176" i="2"/>
  <c r="AT384" i="1"/>
  <c r="AS384" i="1"/>
  <c r="AR384" i="1"/>
  <c r="D518" i="3"/>
  <c r="N518" i="3"/>
  <c r="K518" i="3" s="1"/>
  <c r="E269" i="2"/>
  <c r="AK179" i="2"/>
  <c r="AO385" i="1"/>
  <c r="AP385" i="1" s="1"/>
  <c r="AM385" i="1"/>
  <c r="AA443" i="3"/>
  <c r="U443" i="3"/>
  <c r="T443" i="3"/>
  <c r="J243" i="2"/>
  <c r="K243" i="2" s="1"/>
  <c r="G243" i="2"/>
  <c r="AD176" i="2"/>
  <c r="AC176" i="2"/>
  <c r="S176" i="2"/>
  <c r="W176" i="2" l="1"/>
  <c r="AP176" i="2"/>
  <c r="AW393" i="1"/>
  <c r="AY393" i="1"/>
  <c r="AZ393" i="1" s="1"/>
  <c r="BB393" i="1" s="1"/>
  <c r="L243" i="2"/>
  <c r="M518" i="3"/>
  <c r="L518" i="3"/>
  <c r="AE176" i="2"/>
  <c r="AF176" i="2" s="1"/>
  <c r="V443" i="3"/>
  <c r="AT385" i="1"/>
  <c r="AS385" i="1"/>
  <c r="AR385" i="1"/>
  <c r="AJ180" i="2"/>
  <c r="AI180" i="2"/>
  <c r="E270" i="2"/>
  <c r="AO386" i="1"/>
  <c r="AP386" i="1" s="1"/>
  <c r="AM386" i="1"/>
  <c r="N519" i="3"/>
  <c r="K519" i="3" s="1"/>
  <c r="D519" i="3"/>
  <c r="R443" i="3"/>
  <c r="AD444" i="3"/>
  <c r="AC444" i="3"/>
  <c r="U177" i="2"/>
  <c r="T177" i="2"/>
  <c r="S177" i="2" s="1"/>
  <c r="G244" i="2"/>
  <c r="J244" i="2"/>
  <c r="K244" i="2" s="1"/>
  <c r="AB176" i="2"/>
  <c r="W443" i="3" l="1"/>
  <c r="AI443" i="3"/>
  <c r="AW394" i="1"/>
  <c r="AY394" i="1"/>
  <c r="AZ394" i="1" s="1"/>
  <c r="BB394" i="1" s="1"/>
  <c r="L244" i="2"/>
  <c r="M519" i="3"/>
  <c r="L519" i="3"/>
  <c r="AE444" i="3"/>
  <c r="AF444" i="3" s="1"/>
  <c r="AL180" i="2"/>
  <c r="AM180" i="2" s="1"/>
  <c r="E271" i="2"/>
  <c r="D520" i="3"/>
  <c r="N520" i="3"/>
  <c r="K520" i="3" s="1"/>
  <c r="AK180" i="2"/>
  <c r="AO387" i="1"/>
  <c r="AP387" i="1" s="1"/>
  <c r="AM387" i="1"/>
  <c r="AT386" i="1"/>
  <c r="AS386" i="1"/>
  <c r="AR386" i="1"/>
  <c r="AA444" i="3"/>
  <c r="U444" i="3"/>
  <c r="T444" i="3"/>
  <c r="U178" i="2"/>
  <c r="T178" i="2"/>
  <c r="G245" i="2"/>
  <c r="J245" i="2"/>
  <c r="K245" i="2" s="1"/>
  <c r="AD177" i="2"/>
  <c r="AC177" i="2"/>
  <c r="V177" i="2"/>
  <c r="W177" i="2" l="1"/>
  <c r="AP177" i="2"/>
  <c r="AE177" i="2"/>
  <c r="AF177" i="2" s="1"/>
  <c r="AW395" i="1"/>
  <c r="AY395" i="1"/>
  <c r="AZ395" i="1" s="1"/>
  <c r="BB395" i="1" s="1"/>
  <c r="L245" i="2"/>
  <c r="L520" i="3"/>
  <c r="M520" i="3"/>
  <c r="V444" i="3"/>
  <c r="AO388" i="1"/>
  <c r="AP388" i="1" s="1"/>
  <c r="AM388" i="1"/>
  <c r="AJ181" i="2"/>
  <c r="AI181" i="2"/>
  <c r="D521" i="3"/>
  <c r="N521" i="3"/>
  <c r="K521" i="3" s="1"/>
  <c r="AT387" i="1"/>
  <c r="AS387" i="1"/>
  <c r="AR387" i="1"/>
  <c r="E272" i="2"/>
  <c r="V178" i="2"/>
  <c r="R444" i="3"/>
  <c r="AD445" i="3"/>
  <c r="AC445" i="3"/>
  <c r="G246" i="2"/>
  <c r="J246" i="2"/>
  <c r="K246" i="2" s="1"/>
  <c r="AB177" i="2"/>
  <c r="S178" i="2"/>
  <c r="W444" i="3" l="1"/>
  <c r="AI444" i="3"/>
  <c r="W178" i="2"/>
  <c r="AP178" i="2"/>
  <c r="AW396" i="1"/>
  <c r="AY396" i="1"/>
  <c r="AZ396" i="1" s="1"/>
  <c r="BB396" i="1" s="1"/>
  <c r="AL181" i="2"/>
  <c r="AM181" i="2" s="1"/>
  <c r="L246" i="2"/>
  <c r="L521" i="3"/>
  <c r="M521" i="3"/>
  <c r="AE445" i="3"/>
  <c r="AF445" i="3" s="1"/>
  <c r="E273" i="2"/>
  <c r="N522" i="3"/>
  <c r="K522" i="3" s="1"/>
  <c r="D522" i="3"/>
  <c r="AK181" i="2"/>
  <c r="AO389" i="1"/>
  <c r="AP389" i="1" s="1"/>
  <c r="AM389" i="1"/>
  <c r="AT388" i="1"/>
  <c r="AS388" i="1"/>
  <c r="AR388" i="1"/>
  <c r="AA445" i="3"/>
  <c r="U445" i="3"/>
  <c r="T445" i="3"/>
  <c r="J247" i="2"/>
  <c r="K247" i="2" s="1"/>
  <c r="G247" i="2"/>
  <c r="U179" i="2"/>
  <c r="T179" i="2"/>
  <c r="AD178" i="2"/>
  <c r="AC178" i="2"/>
  <c r="AW397" i="1" l="1"/>
  <c r="AY397" i="1"/>
  <c r="AZ397" i="1" s="1"/>
  <c r="BB397" i="1" s="1"/>
  <c r="L247" i="2"/>
  <c r="M522" i="3"/>
  <c r="L522" i="3"/>
  <c r="V445" i="3"/>
  <c r="AO390" i="1"/>
  <c r="AP390" i="1" s="1"/>
  <c r="AM390" i="1"/>
  <c r="AT389" i="1"/>
  <c r="AS389" i="1"/>
  <c r="AR389" i="1"/>
  <c r="AJ182" i="2"/>
  <c r="AI182" i="2"/>
  <c r="N523" i="3"/>
  <c r="K523" i="3" s="1"/>
  <c r="D523" i="3"/>
  <c r="E274" i="2"/>
  <c r="AD446" i="3"/>
  <c r="AC446" i="3"/>
  <c r="R445" i="3"/>
  <c r="V179" i="2"/>
  <c r="AE178" i="2"/>
  <c r="AF178" i="2" s="1"/>
  <c r="S179" i="2"/>
  <c r="AB178" i="2"/>
  <c r="G248" i="2"/>
  <c r="J248" i="2"/>
  <c r="K248" i="2" s="1"/>
  <c r="W445" i="3" l="1"/>
  <c r="AI445" i="3"/>
  <c r="W179" i="2"/>
  <c r="AP179" i="2"/>
  <c r="AL182" i="2"/>
  <c r="AM182" i="2" s="1"/>
  <c r="AW398" i="1"/>
  <c r="AY398" i="1"/>
  <c r="AZ398" i="1" s="1"/>
  <c r="BB398" i="1" s="1"/>
  <c r="L248" i="2"/>
  <c r="M523" i="3"/>
  <c r="C102" i="35" s="1"/>
  <c r="AE446" i="3"/>
  <c r="AF446" i="3" s="1"/>
  <c r="AK182" i="2"/>
  <c r="E275" i="2"/>
  <c r="N524" i="3"/>
  <c r="K524" i="3" s="1"/>
  <c r="G102" i="35"/>
  <c r="D524" i="3"/>
  <c r="AO391" i="1"/>
  <c r="AP391" i="1" s="1"/>
  <c r="AM391" i="1"/>
  <c r="D102" i="35"/>
  <c r="AT390" i="1"/>
  <c r="AS390" i="1"/>
  <c r="AR390" i="1"/>
  <c r="U446" i="3"/>
  <c r="T446" i="3"/>
  <c r="AA446" i="3"/>
  <c r="U180" i="2"/>
  <c r="T180" i="2"/>
  <c r="AD179" i="2"/>
  <c r="AC179" i="2"/>
  <c r="G249" i="2"/>
  <c r="J249" i="2"/>
  <c r="K249" i="2" s="1"/>
  <c r="AW399" i="1" l="1"/>
  <c r="AY399" i="1"/>
  <c r="AZ399" i="1" s="1"/>
  <c r="BB399" i="1" s="1"/>
  <c r="L249" i="2"/>
  <c r="M524" i="3"/>
  <c r="L524" i="3"/>
  <c r="V446" i="3"/>
  <c r="AO392" i="1"/>
  <c r="AP392" i="1" s="1"/>
  <c r="AM392" i="1"/>
  <c r="AT391" i="1"/>
  <c r="AS391" i="1"/>
  <c r="AR391" i="1"/>
  <c r="N525" i="3"/>
  <c r="K525" i="3" s="1"/>
  <c r="D525" i="3"/>
  <c r="E276" i="2"/>
  <c r="E102" i="35"/>
  <c r="L523" i="3"/>
  <c r="AJ183" i="2"/>
  <c r="AI183" i="2"/>
  <c r="AD447" i="3"/>
  <c r="AC447" i="3"/>
  <c r="R446" i="3"/>
  <c r="AE179" i="2"/>
  <c r="AF179" i="2" s="1"/>
  <c r="V180" i="2"/>
  <c r="G250" i="2"/>
  <c r="J250" i="2"/>
  <c r="K250" i="2" s="1"/>
  <c r="AB179" i="2"/>
  <c r="S180" i="2"/>
  <c r="W446" i="3" l="1"/>
  <c r="AI446" i="3"/>
  <c r="W180" i="2"/>
  <c r="AP180" i="2"/>
  <c r="AW400" i="1"/>
  <c r="AY400" i="1"/>
  <c r="AZ400" i="1" s="1"/>
  <c r="BB400" i="1" s="1"/>
  <c r="L250" i="2"/>
  <c r="AE447" i="3"/>
  <c r="AF447" i="3" s="1"/>
  <c r="M525" i="3"/>
  <c r="L525" i="3"/>
  <c r="AL183" i="2"/>
  <c r="AM183" i="2" s="1"/>
  <c r="AA447" i="3"/>
  <c r="AD448" i="3" s="1"/>
  <c r="N526" i="3"/>
  <c r="K526" i="3" s="1"/>
  <c r="D526" i="3"/>
  <c r="AK183" i="2"/>
  <c r="AO393" i="1"/>
  <c r="AP393" i="1" s="1"/>
  <c r="AM393" i="1"/>
  <c r="E277" i="2"/>
  <c r="AT392" i="1"/>
  <c r="AS392" i="1"/>
  <c r="AR392" i="1"/>
  <c r="U447" i="3"/>
  <c r="T447" i="3"/>
  <c r="J251" i="2"/>
  <c r="K251" i="2" s="1"/>
  <c r="G251" i="2"/>
  <c r="U181" i="2"/>
  <c r="T181" i="2"/>
  <c r="AD180" i="2"/>
  <c r="AC180" i="2"/>
  <c r="AW401" i="1" l="1"/>
  <c r="AY401" i="1"/>
  <c r="AZ401" i="1" s="1"/>
  <c r="BB401" i="1" s="1"/>
  <c r="L251" i="2"/>
  <c r="M526" i="3"/>
  <c r="L526" i="3"/>
  <c r="AC448" i="3"/>
  <c r="AE448" i="3" s="1"/>
  <c r="AF448" i="3" s="1"/>
  <c r="AE180" i="2"/>
  <c r="AF180" i="2" s="1"/>
  <c r="V447" i="3"/>
  <c r="V181" i="2"/>
  <c r="E278" i="2"/>
  <c r="AT393" i="1"/>
  <c r="AS393" i="1"/>
  <c r="AR393" i="1"/>
  <c r="AO394" i="1"/>
  <c r="AP394" i="1" s="1"/>
  <c r="AM394" i="1"/>
  <c r="AJ184" i="2"/>
  <c r="AI184" i="2"/>
  <c r="N527" i="3"/>
  <c r="K527" i="3" s="1"/>
  <c r="D527" i="3"/>
  <c r="R447" i="3"/>
  <c r="S181" i="2"/>
  <c r="G252" i="2"/>
  <c r="J252" i="2"/>
  <c r="K252" i="2" s="1"/>
  <c r="AB180" i="2"/>
  <c r="W447" i="3" l="1"/>
  <c r="AI447" i="3"/>
  <c r="W181" i="2"/>
  <c r="AP181" i="2"/>
  <c r="AW402" i="1"/>
  <c r="AY402" i="1"/>
  <c r="AZ402" i="1" s="1"/>
  <c r="BB402" i="1" s="1"/>
  <c r="L252" i="2"/>
  <c r="AA448" i="3"/>
  <c r="AD449" i="3" s="1"/>
  <c r="M527" i="3"/>
  <c r="L527" i="3"/>
  <c r="AL184" i="2"/>
  <c r="AM184" i="2" s="1"/>
  <c r="AK184" i="2"/>
  <c r="AI185" i="2" s="1"/>
  <c r="AO395" i="1"/>
  <c r="AP395" i="1" s="1"/>
  <c r="AM395" i="1"/>
  <c r="N528" i="3"/>
  <c r="K528" i="3" s="1"/>
  <c r="D528" i="3"/>
  <c r="AT394" i="1"/>
  <c r="AS394" i="1"/>
  <c r="AR394" i="1"/>
  <c r="E279" i="2"/>
  <c r="U448" i="3"/>
  <c r="T448" i="3"/>
  <c r="G253" i="2"/>
  <c r="J253" i="2"/>
  <c r="K253" i="2" s="1"/>
  <c r="AD181" i="2"/>
  <c r="AC181" i="2"/>
  <c r="U182" i="2"/>
  <c r="T182" i="2"/>
  <c r="AC449" i="3" l="1"/>
  <c r="AA449" i="3" s="1"/>
  <c r="AW403" i="1"/>
  <c r="AY403" i="1"/>
  <c r="AZ403" i="1" s="1"/>
  <c r="BB403" i="1" s="1"/>
  <c r="L253" i="2"/>
  <c r="M528" i="3"/>
  <c r="L528" i="3"/>
  <c r="V448" i="3"/>
  <c r="AJ185" i="2"/>
  <c r="AL185" i="2" s="1"/>
  <c r="AM185" i="2" s="1"/>
  <c r="D529" i="3"/>
  <c r="N529" i="3"/>
  <c r="K529" i="3" s="1"/>
  <c r="AO396" i="1"/>
  <c r="AP396" i="1" s="1"/>
  <c r="AM396" i="1"/>
  <c r="AT395" i="1"/>
  <c r="AS395" i="1"/>
  <c r="AR395" i="1"/>
  <c r="E280" i="2"/>
  <c r="AK185" i="2"/>
  <c r="R448" i="3"/>
  <c r="AE181" i="2"/>
  <c r="AF181" i="2" s="1"/>
  <c r="V182" i="2"/>
  <c r="AB181" i="2"/>
  <c r="S182" i="2"/>
  <c r="G254" i="2"/>
  <c r="J254" i="2"/>
  <c r="K254" i="2" s="1"/>
  <c r="W448" i="3" l="1"/>
  <c r="AI448" i="3"/>
  <c r="W182" i="2"/>
  <c r="AP182" i="2"/>
  <c r="AE449" i="3"/>
  <c r="AF449" i="3" s="1"/>
  <c r="AW404" i="1"/>
  <c r="AY404" i="1"/>
  <c r="AZ404" i="1" s="1"/>
  <c r="BB404" i="1" s="1"/>
  <c r="L254" i="2"/>
  <c r="M529" i="3"/>
  <c r="L529" i="3"/>
  <c r="AO397" i="1"/>
  <c r="AP397" i="1" s="1"/>
  <c r="AM397" i="1"/>
  <c r="AT396" i="1"/>
  <c r="AS396" i="1"/>
  <c r="AR396" i="1"/>
  <c r="AJ186" i="2"/>
  <c r="AI186" i="2"/>
  <c r="E281" i="2"/>
  <c r="D530" i="3"/>
  <c r="N530" i="3"/>
  <c r="K530" i="3" s="1"/>
  <c r="AD450" i="3"/>
  <c r="AC450" i="3"/>
  <c r="U449" i="3"/>
  <c r="T449" i="3"/>
  <c r="J255" i="2"/>
  <c r="K255" i="2" s="1"/>
  <c r="G255" i="2"/>
  <c r="U183" i="2"/>
  <c r="T183" i="2"/>
  <c r="AD182" i="2"/>
  <c r="AC182" i="2"/>
  <c r="AL186" i="2" l="1"/>
  <c r="AM186" i="2" s="1"/>
  <c r="AW405" i="1"/>
  <c r="AY405" i="1"/>
  <c r="AZ405" i="1" s="1"/>
  <c r="BB405" i="1" s="1"/>
  <c r="L255" i="2"/>
  <c r="M530" i="3"/>
  <c r="L530" i="3"/>
  <c r="V449" i="3"/>
  <c r="AE182" i="2"/>
  <c r="AF182" i="2" s="1"/>
  <c r="AE450" i="3"/>
  <c r="AF450" i="3" s="1"/>
  <c r="V183" i="2"/>
  <c r="AK186" i="2"/>
  <c r="D531" i="3"/>
  <c r="N531" i="3"/>
  <c r="K531" i="3" s="1"/>
  <c r="E282" i="2"/>
  <c r="AO398" i="1"/>
  <c r="AP398" i="1" s="1"/>
  <c r="AM398" i="1"/>
  <c r="AT397" i="1"/>
  <c r="AS397" i="1"/>
  <c r="AR397" i="1"/>
  <c r="R449" i="3"/>
  <c r="AA450" i="3"/>
  <c r="S183" i="2"/>
  <c r="AB182" i="2"/>
  <c r="G256" i="2"/>
  <c r="J256" i="2"/>
  <c r="K256" i="2" s="1"/>
  <c r="W449" i="3" l="1"/>
  <c r="AI449" i="3"/>
  <c r="W183" i="2"/>
  <c r="AP183" i="2"/>
  <c r="AW406" i="1"/>
  <c r="AY406" i="1"/>
  <c r="AZ406" i="1" s="1"/>
  <c r="BB406" i="1" s="1"/>
  <c r="L256" i="2"/>
  <c r="M531" i="3"/>
  <c r="L531" i="3"/>
  <c r="AT398" i="1"/>
  <c r="AS398" i="1"/>
  <c r="AR398" i="1"/>
  <c r="E283" i="2"/>
  <c r="AO399" i="1"/>
  <c r="AP399" i="1" s="1"/>
  <c r="AM399" i="1"/>
  <c r="D532" i="3"/>
  <c r="N532" i="3"/>
  <c r="K532" i="3" s="1"/>
  <c r="AJ187" i="2"/>
  <c r="AI187" i="2"/>
  <c r="AD451" i="3"/>
  <c r="AC451" i="3"/>
  <c r="U450" i="3"/>
  <c r="T450" i="3"/>
  <c r="AD183" i="2"/>
  <c r="AC183" i="2"/>
  <c r="U184" i="2"/>
  <c r="T184" i="2"/>
  <c r="G257" i="2"/>
  <c r="J257" i="2"/>
  <c r="K257" i="2" s="1"/>
  <c r="AW407" i="1" l="1"/>
  <c r="AY407" i="1"/>
  <c r="AZ407" i="1" s="1"/>
  <c r="BB407" i="1" s="1"/>
  <c r="L257" i="2"/>
  <c r="M532" i="3"/>
  <c r="L532" i="3"/>
  <c r="AL187" i="2"/>
  <c r="AM187" i="2" s="1"/>
  <c r="V450" i="3"/>
  <c r="AT399" i="1"/>
  <c r="AS399" i="1"/>
  <c r="AR399" i="1"/>
  <c r="N533" i="3"/>
  <c r="K533" i="3" s="1"/>
  <c r="D533" i="3"/>
  <c r="AO400" i="1"/>
  <c r="AP400" i="1" s="1"/>
  <c r="AM400" i="1"/>
  <c r="E284" i="2"/>
  <c r="AK187" i="2"/>
  <c r="AE451" i="3"/>
  <c r="AF451" i="3" s="1"/>
  <c r="AA451" i="3"/>
  <c r="R450" i="3"/>
  <c r="V184" i="2"/>
  <c r="AE183" i="2"/>
  <c r="AF183" i="2" s="1"/>
  <c r="G258" i="2"/>
  <c r="J258" i="2"/>
  <c r="K258" i="2" s="1"/>
  <c r="S184" i="2"/>
  <c r="AB183" i="2"/>
  <c r="W450" i="3" l="1"/>
  <c r="AI450" i="3"/>
  <c r="W184" i="2"/>
  <c r="AP184" i="2"/>
  <c r="AW408" i="1"/>
  <c r="AY408" i="1"/>
  <c r="AZ408" i="1" s="1"/>
  <c r="BB408" i="1" s="1"/>
  <c r="L258" i="2"/>
  <c r="M533" i="3"/>
  <c r="L533" i="3"/>
  <c r="E285" i="2"/>
  <c r="AO401" i="1"/>
  <c r="AP401" i="1" s="1"/>
  <c r="AM401" i="1"/>
  <c r="D534" i="3"/>
  <c r="N534" i="3"/>
  <c r="K534" i="3" s="1"/>
  <c r="AT400" i="1"/>
  <c r="AS400" i="1"/>
  <c r="AR400" i="1"/>
  <c r="AJ188" i="2"/>
  <c r="AI188" i="2"/>
  <c r="U451" i="3"/>
  <c r="T451" i="3"/>
  <c r="AD452" i="3"/>
  <c r="AC452" i="3"/>
  <c r="J259" i="2"/>
  <c r="K259" i="2" s="1"/>
  <c r="G259" i="2"/>
  <c r="AD184" i="2"/>
  <c r="AC184" i="2"/>
  <c r="U185" i="2"/>
  <c r="T185" i="2"/>
  <c r="AL188" i="2" l="1"/>
  <c r="AM188" i="2" s="1"/>
  <c r="V451" i="3"/>
  <c r="V185" i="2"/>
  <c r="AW409" i="1"/>
  <c r="AY409" i="1"/>
  <c r="AZ409" i="1" s="1"/>
  <c r="BB409" i="1" s="1"/>
  <c r="L259" i="2"/>
  <c r="M534" i="3"/>
  <c r="AE452" i="3"/>
  <c r="AF452" i="3" s="1"/>
  <c r="D535" i="3"/>
  <c r="N535" i="3"/>
  <c r="K535" i="3" s="1"/>
  <c r="AO402" i="1"/>
  <c r="AP402" i="1" s="1"/>
  <c r="AM402" i="1"/>
  <c r="AT401" i="1"/>
  <c r="AS401" i="1"/>
  <c r="AR401" i="1"/>
  <c r="AK188" i="2"/>
  <c r="E286" i="2"/>
  <c r="AE184" i="2"/>
  <c r="AF184" i="2" s="1"/>
  <c r="AA452" i="3"/>
  <c r="R451" i="3"/>
  <c r="S185" i="2"/>
  <c r="U186" i="2" s="1"/>
  <c r="AB184" i="2"/>
  <c r="G260" i="2"/>
  <c r="J260" i="2"/>
  <c r="K260" i="2" s="1"/>
  <c r="W451" i="3" l="1"/>
  <c r="AI451" i="3"/>
  <c r="W185" i="2"/>
  <c r="AP185" i="2"/>
  <c r="AW410" i="1"/>
  <c r="AY410" i="1"/>
  <c r="AZ410" i="1" s="1"/>
  <c r="BB410" i="1" s="1"/>
  <c r="L260" i="2"/>
  <c r="M535" i="3"/>
  <c r="C103" i="35" s="1"/>
  <c r="L535" i="3"/>
  <c r="T186" i="2"/>
  <c r="V186" i="2" s="1"/>
  <c r="AJ189" i="2"/>
  <c r="AI189" i="2"/>
  <c r="D103" i="35"/>
  <c r="AO403" i="1"/>
  <c r="AP403" i="1" s="1"/>
  <c r="AM403" i="1"/>
  <c r="L534" i="3"/>
  <c r="AT402" i="1"/>
  <c r="AS402" i="1"/>
  <c r="AR402" i="1"/>
  <c r="E287" i="2"/>
  <c r="G103" i="35"/>
  <c r="D536" i="3"/>
  <c r="N536" i="3"/>
  <c r="K536" i="3" s="1"/>
  <c r="U452" i="3"/>
  <c r="T452" i="3"/>
  <c r="AD453" i="3"/>
  <c r="AC453" i="3"/>
  <c r="G261" i="2"/>
  <c r="J261" i="2"/>
  <c r="K261" i="2" s="1"/>
  <c r="AD185" i="2"/>
  <c r="AC185" i="2"/>
  <c r="AP186" i="2" l="1"/>
  <c r="W186" i="2"/>
  <c r="AE453" i="3"/>
  <c r="AF453" i="3" s="1"/>
  <c r="AE185" i="2"/>
  <c r="AF185" i="2" s="1"/>
  <c r="AW411" i="1"/>
  <c r="AY411" i="1"/>
  <c r="AZ411" i="1" s="1"/>
  <c r="BB411" i="1" s="1"/>
  <c r="L261" i="2"/>
  <c r="L536" i="3"/>
  <c r="M536" i="3"/>
  <c r="E103" i="35"/>
  <c r="S186" i="2"/>
  <c r="U187" i="2" s="1"/>
  <c r="AL189" i="2"/>
  <c r="AM189" i="2" s="1"/>
  <c r="V452" i="3"/>
  <c r="N537" i="3"/>
  <c r="K537" i="3" s="1"/>
  <c r="D537" i="3"/>
  <c r="AT403" i="1"/>
  <c r="AS403" i="1"/>
  <c r="AR403" i="1"/>
  <c r="E288" i="2"/>
  <c r="AO404" i="1"/>
  <c r="AP404" i="1" s="1"/>
  <c r="AM404" i="1"/>
  <c r="AK189" i="2"/>
  <c r="AA453" i="3"/>
  <c r="R452" i="3"/>
  <c r="G262" i="2"/>
  <c r="J262" i="2"/>
  <c r="K262" i="2" s="1"/>
  <c r="AB185" i="2"/>
  <c r="W452" i="3" l="1"/>
  <c r="AI452" i="3"/>
  <c r="T187" i="2"/>
  <c r="V187" i="2" s="1"/>
  <c r="AW412" i="1"/>
  <c r="AY412" i="1"/>
  <c r="AZ412" i="1" s="1"/>
  <c r="BB412" i="1" s="1"/>
  <c r="L262" i="2"/>
  <c r="M537" i="3"/>
  <c r="L537" i="3"/>
  <c r="E289" i="2"/>
  <c r="AJ190" i="2"/>
  <c r="AI190" i="2"/>
  <c r="D538" i="3"/>
  <c r="N538" i="3"/>
  <c r="K538" i="3" s="1"/>
  <c r="AT404" i="1"/>
  <c r="AS404" i="1"/>
  <c r="AR404" i="1"/>
  <c r="AO405" i="1"/>
  <c r="AP405" i="1" s="1"/>
  <c r="AM405" i="1"/>
  <c r="U453" i="3"/>
  <c r="T453" i="3"/>
  <c r="AD454" i="3"/>
  <c r="AC454" i="3"/>
  <c r="AD186" i="2"/>
  <c r="AC186" i="2"/>
  <c r="J263" i="2"/>
  <c r="K263" i="2" s="1"/>
  <c r="G263" i="2"/>
  <c r="W187" i="2" l="1"/>
  <c r="AP187" i="2"/>
  <c r="S187" i="2"/>
  <c r="U188" i="2" s="1"/>
  <c r="AL190" i="2"/>
  <c r="AM190" i="2" s="1"/>
  <c r="AW413" i="1"/>
  <c r="AY413" i="1"/>
  <c r="AZ413" i="1" s="1"/>
  <c r="BB413" i="1" s="1"/>
  <c r="L263" i="2"/>
  <c r="M538" i="3"/>
  <c r="L538" i="3"/>
  <c r="V453" i="3"/>
  <c r="AE186" i="2"/>
  <c r="AF186" i="2" s="1"/>
  <c r="AE454" i="3"/>
  <c r="AF454" i="3" s="1"/>
  <c r="AO406" i="1"/>
  <c r="AP406" i="1" s="1"/>
  <c r="AM406" i="1"/>
  <c r="AK190" i="2"/>
  <c r="AT405" i="1"/>
  <c r="AS405" i="1"/>
  <c r="AR405" i="1"/>
  <c r="E290" i="2"/>
  <c r="D539" i="3"/>
  <c r="N539" i="3"/>
  <c r="K539" i="3" s="1"/>
  <c r="R453" i="3"/>
  <c r="AA454" i="3"/>
  <c r="G264" i="2"/>
  <c r="J264" i="2"/>
  <c r="K264" i="2" s="1"/>
  <c r="AB186" i="2"/>
  <c r="T188" i="2" l="1"/>
  <c r="V188" i="2" s="1"/>
  <c r="W453" i="3"/>
  <c r="AI453" i="3"/>
  <c r="AW414" i="1"/>
  <c r="AY414" i="1"/>
  <c r="AZ414" i="1" s="1"/>
  <c r="BB414" i="1" s="1"/>
  <c r="L264" i="2"/>
  <c r="M539" i="3"/>
  <c r="L539" i="3"/>
  <c r="E291" i="2"/>
  <c r="AJ191" i="2"/>
  <c r="AI191" i="2"/>
  <c r="AO407" i="1"/>
  <c r="AP407" i="1" s="1"/>
  <c r="AM407" i="1"/>
  <c r="N540" i="3"/>
  <c r="K540" i="3" s="1"/>
  <c r="D540" i="3"/>
  <c r="AT406" i="1"/>
  <c r="AS406" i="1"/>
  <c r="AR406" i="1"/>
  <c r="AD455" i="3"/>
  <c r="AC455" i="3"/>
  <c r="U454" i="3"/>
  <c r="T454" i="3"/>
  <c r="G265" i="2"/>
  <c r="J265" i="2"/>
  <c r="K265" i="2" s="1"/>
  <c r="AD187" i="2"/>
  <c r="AC187" i="2"/>
  <c r="AE187" i="2" s="1"/>
  <c r="AF187" i="2" s="1"/>
  <c r="S188" i="2"/>
  <c r="V454" i="3" l="1"/>
  <c r="W454" i="3" s="1"/>
  <c r="W188" i="2"/>
  <c r="AP188" i="2"/>
  <c r="AE455" i="3"/>
  <c r="AF455" i="3" s="1"/>
  <c r="AL191" i="2"/>
  <c r="AM191" i="2" s="1"/>
  <c r="AW415" i="1"/>
  <c r="AY415" i="1"/>
  <c r="AZ415" i="1" s="1"/>
  <c r="BB415" i="1" s="1"/>
  <c r="L265" i="2"/>
  <c r="M540" i="3"/>
  <c r="L540" i="3"/>
  <c r="AO408" i="1"/>
  <c r="AP408" i="1" s="1"/>
  <c r="AM408" i="1"/>
  <c r="AT407" i="1"/>
  <c r="AS407" i="1"/>
  <c r="AR407" i="1"/>
  <c r="AK191" i="2"/>
  <c r="D541" i="3"/>
  <c r="N541" i="3"/>
  <c r="K541" i="3" s="1"/>
  <c r="E292" i="2"/>
  <c r="R454" i="3"/>
  <c r="AA455" i="3"/>
  <c r="AB187" i="2"/>
  <c r="AD188" i="2" s="1"/>
  <c r="U189" i="2"/>
  <c r="T189" i="2"/>
  <c r="G266" i="2"/>
  <c r="J266" i="2"/>
  <c r="K266" i="2" s="1"/>
  <c r="AI454" i="3" l="1"/>
  <c r="V189" i="2"/>
  <c r="AW416" i="1"/>
  <c r="AY416" i="1"/>
  <c r="AZ416" i="1" s="1"/>
  <c r="BB416" i="1" s="1"/>
  <c r="L266" i="2"/>
  <c r="M541" i="3"/>
  <c r="L541" i="3"/>
  <c r="D542" i="3"/>
  <c r="N542" i="3"/>
  <c r="K542" i="3" s="1"/>
  <c r="AJ192" i="2"/>
  <c r="AI192" i="2"/>
  <c r="AC188" i="2"/>
  <c r="AE188" i="2" s="1"/>
  <c r="AF188" i="2" s="1"/>
  <c r="E293" i="2"/>
  <c r="AO409" i="1"/>
  <c r="AP409" i="1" s="1"/>
  <c r="AM409" i="1"/>
  <c r="AT408" i="1"/>
  <c r="AS408" i="1"/>
  <c r="AR408" i="1"/>
  <c r="U455" i="3"/>
  <c r="T455" i="3"/>
  <c r="AD456" i="3"/>
  <c r="AC456" i="3"/>
  <c r="S189" i="2"/>
  <c r="J267" i="2"/>
  <c r="K267" i="2" s="1"/>
  <c r="G267" i="2"/>
  <c r="W189" i="2" l="1"/>
  <c r="AP189" i="2"/>
  <c r="AL192" i="2"/>
  <c r="AM192" i="2" s="1"/>
  <c r="AW417" i="1"/>
  <c r="AY417" i="1"/>
  <c r="AZ417" i="1" s="1"/>
  <c r="BB417" i="1" s="1"/>
  <c r="L267" i="2"/>
  <c r="M542" i="3"/>
  <c r="L542" i="3"/>
  <c r="AE456" i="3"/>
  <c r="AF456" i="3" s="1"/>
  <c r="V455" i="3"/>
  <c r="AB188" i="2"/>
  <c r="AD189" i="2" s="1"/>
  <c r="E294" i="2"/>
  <c r="AK192" i="2"/>
  <c r="AO410" i="1"/>
  <c r="AP410" i="1" s="1"/>
  <c r="AM410" i="1"/>
  <c r="AT409" i="1"/>
  <c r="AS409" i="1"/>
  <c r="AR409" i="1"/>
  <c r="D543" i="3"/>
  <c r="N543" i="3"/>
  <c r="K543" i="3" s="1"/>
  <c r="R455" i="3"/>
  <c r="AA456" i="3"/>
  <c r="G268" i="2"/>
  <c r="J268" i="2"/>
  <c r="K268" i="2" s="1"/>
  <c r="U190" i="2"/>
  <c r="T190" i="2"/>
  <c r="V190" i="2" l="1"/>
  <c r="W190" i="2" s="1"/>
  <c r="W455" i="3"/>
  <c r="AI455" i="3"/>
  <c r="AW418" i="1"/>
  <c r="AY418" i="1"/>
  <c r="AZ418" i="1" s="1"/>
  <c r="BB418" i="1" s="1"/>
  <c r="AC189" i="2"/>
  <c r="AB189" i="2" s="1"/>
  <c r="L268" i="2"/>
  <c r="M543" i="3"/>
  <c r="L543" i="3"/>
  <c r="AO411" i="1"/>
  <c r="AP411" i="1" s="1"/>
  <c r="AM411" i="1"/>
  <c r="AT410" i="1"/>
  <c r="AS410" i="1"/>
  <c r="AR410" i="1"/>
  <c r="E295" i="2"/>
  <c r="D544" i="3"/>
  <c r="N544" i="3"/>
  <c r="K544" i="3" s="1"/>
  <c r="AJ193" i="2"/>
  <c r="AI193" i="2"/>
  <c r="U456" i="3"/>
  <c r="T456" i="3"/>
  <c r="AD457" i="3"/>
  <c r="AC457" i="3"/>
  <c r="G269" i="2"/>
  <c r="J269" i="2"/>
  <c r="K269" i="2" s="1"/>
  <c r="S190" i="2"/>
  <c r="AP190" i="2" l="1"/>
  <c r="AE189" i="2"/>
  <c r="AF189" i="2" s="1"/>
  <c r="AL193" i="2"/>
  <c r="AM193" i="2" s="1"/>
  <c r="AW419" i="1"/>
  <c r="AY419" i="1"/>
  <c r="AZ419" i="1" s="1"/>
  <c r="BB419" i="1" s="1"/>
  <c r="L269" i="2"/>
  <c r="M544" i="3"/>
  <c r="L544" i="3"/>
  <c r="V456" i="3"/>
  <c r="D545" i="3"/>
  <c r="N545" i="3"/>
  <c r="K545" i="3" s="1"/>
  <c r="E296" i="2"/>
  <c r="AK193" i="2"/>
  <c r="AO412" i="1"/>
  <c r="AP412" i="1" s="1"/>
  <c r="AM412" i="1"/>
  <c r="AE457" i="3"/>
  <c r="AF457" i="3" s="1"/>
  <c r="AT411" i="1"/>
  <c r="AS411" i="1"/>
  <c r="AR411" i="1"/>
  <c r="AA457" i="3"/>
  <c r="R456" i="3"/>
  <c r="G270" i="2"/>
  <c r="J270" i="2"/>
  <c r="K270" i="2" s="1"/>
  <c r="AD190" i="2"/>
  <c r="AC190" i="2"/>
  <c r="U191" i="2"/>
  <c r="T191" i="2"/>
  <c r="W456" i="3" l="1"/>
  <c r="AI456" i="3"/>
  <c r="V191" i="2"/>
  <c r="AW420" i="1"/>
  <c r="AY420" i="1"/>
  <c r="AZ420" i="1" s="1"/>
  <c r="BB420" i="1" s="1"/>
  <c r="L270" i="2"/>
  <c r="M545" i="3"/>
  <c r="L545" i="3"/>
  <c r="AE190" i="2"/>
  <c r="AF190" i="2" s="1"/>
  <c r="AO413" i="1"/>
  <c r="AP413" i="1" s="1"/>
  <c r="AM413" i="1"/>
  <c r="D546" i="3"/>
  <c r="N546" i="3"/>
  <c r="K546" i="3" s="1"/>
  <c r="AT412" i="1"/>
  <c r="AS412" i="1"/>
  <c r="AR412" i="1"/>
  <c r="AJ194" i="2"/>
  <c r="AI194" i="2"/>
  <c r="E297" i="2"/>
  <c r="U457" i="3"/>
  <c r="T457" i="3"/>
  <c r="AD458" i="3"/>
  <c r="AC458" i="3"/>
  <c r="AB190" i="2"/>
  <c r="S191" i="2"/>
  <c r="J271" i="2"/>
  <c r="K271" i="2" s="1"/>
  <c r="G271" i="2"/>
  <c r="W191" i="2" l="1"/>
  <c r="AP191" i="2"/>
  <c r="AW421" i="1"/>
  <c r="AY421" i="1"/>
  <c r="AZ421" i="1" s="1"/>
  <c r="BB421" i="1" s="1"/>
  <c r="L271" i="2"/>
  <c r="AE458" i="3"/>
  <c r="AF458" i="3" s="1"/>
  <c r="M546" i="3"/>
  <c r="V457" i="3"/>
  <c r="AL194" i="2"/>
  <c r="AM194" i="2" s="1"/>
  <c r="AK194" i="2"/>
  <c r="AI195" i="2" s="1"/>
  <c r="N547" i="3"/>
  <c r="K547" i="3" s="1"/>
  <c r="D547" i="3"/>
  <c r="E298" i="2"/>
  <c r="AO414" i="1"/>
  <c r="AP414" i="1" s="1"/>
  <c r="AM414" i="1"/>
  <c r="AT413" i="1"/>
  <c r="AS413" i="1"/>
  <c r="AR413" i="1"/>
  <c r="AA458" i="3"/>
  <c r="R457" i="3"/>
  <c r="G272" i="2"/>
  <c r="J272" i="2"/>
  <c r="K272" i="2" s="1"/>
  <c r="U192" i="2"/>
  <c r="T192" i="2"/>
  <c r="AD191" i="2"/>
  <c r="AC191" i="2"/>
  <c r="W457" i="3" l="1"/>
  <c r="AI457" i="3"/>
  <c r="AW422" i="1"/>
  <c r="AY422" i="1"/>
  <c r="AZ422" i="1" s="1"/>
  <c r="BB422" i="1" s="1"/>
  <c r="L272" i="2"/>
  <c r="M547" i="3"/>
  <c r="C104" i="35" s="1"/>
  <c r="L547" i="3"/>
  <c r="AJ195" i="2"/>
  <c r="AL195" i="2" s="1"/>
  <c r="AM195" i="2" s="1"/>
  <c r="V192" i="2"/>
  <c r="E299" i="2"/>
  <c r="G104" i="35"/>
  <c r="D548" i="3"/>
  <c r="N548" i="3"/>
  <c r="K548" i="3" s="1"/>
  <c r="AT414" i="1"/>
  <c r="AS414" i="1"/>
  <c r="AR414" i="1"/>
  <c r="L546" i="3"/>
  <c r="D104" i="35"/>
  <c r="AE191" i="2"/>
  <c r="AF191" i="2" s="1"/>
  <c r="AO415" i="1"/>
  <c r="AP415" i="1" s="1"/>
  <c r="AM415" i="1"/>
  <c r="AK195" i="2"/>
  <c r="U458" i="3"/>
  <c r="T458" i="3"/>
  <c r="AD459" i="3"/>
  <c r="AC459" i="3"/>
  <c r="S192" i="2"/>
  <c r="AB191" i="2"/>
  <c r="G273" i="2"/>
  <c r="J273" i="2"/>
  <c r="K273" i="2" s="1"/>
  <c r="W192" i="2" l="1"/>
  <c r="AP192" i="2"/>
  <c r="AE459" i="3"/>
  <c r="AF459" i="3" s="1"/>
  <c r="AW423" i="1"/>
  <c r="AY423" i="1"/>
  <c r="AZ423" i="1" s="1"/>
  <c r="BB423" i="1" s="1"/>
  <c r="L273" i="2"/>
  <c r="M548" i="3"/>
  <c r="L548" i="3"/>
  <c r="V458" i="3"/>
  <c r="AJ196" i="2"/>
  <c r="AI196" i="2"/>
  <c r="AO416" i="1"/>
  <c r="AP416" i="1" s="1"/>
  <c r="AM416" i="1"/>
  <c r="AT415" i="1"/>
  <c r="AS415" i="1"/>
  <c r="AR415" i="1"/>
  <c r="D549" i="3"/>
  <c r="N549" i="3"/>
  <c r="K549" i="3" s="1"/>
  <c r="E104" i="35"/>
  <c r="E300" i="2"/>
  <c r="AA459" i="3"/>
  <c r="R458" i="3"/>
  <c r="G274" i="2"/>
  <c r="J274" i="2"/>
  <c r="K274" i="2" s="1"/>
  <c r="AD192" i="2"/>
  <c r="AC192" i="2"/>
  <c r="U193" i="2"/>
  <c r="T193" i="2"/>
  <c r="S193" i="2" s="1"/>
  <c r="W458" i="3" l="1"/>
  <c r="AI458" i="3"/>
  <c r="AL196" i="2"/>
  <c r="AM196" i="2" s="1"/>
  <c r="AW424" i="1"/>
  <c r="AY424" i="1"/>
  <c r="AZ424" i="1" s="1"/>
  <c r="BB424" i="1" s="1"/>
  <c r="L274" i="2"/>
  <c r="M549" i="3"/>
  <c r="L549" i="3"/>
  <c r="AE192" i="2"/>
  <c r="AF192" i="2" s="1"/>
  <c r="E301" i="2"/>
  <c r="AO417" i="1"/>
  <c r="AP417" i="1" s="1"/>
  <c r="AM417" i="1"/>
  <c r="AT416" i="1"/>
  <c r="AS416" i="1"/>
  <c r="AR416" i="1"/>
  <c r="N550" i="3"/>
  <c r="K550" i="3" s="1"/>
  <c r="D550" i="3"/>
  <c r="AK196" i="2"/>
  <c r="U459" i="3"/>
  <c r="T459" i="3"/>
  <c r="AD460" i="3"/>
  <c r="AC460" i="3"/>
  <c r="V193" i="2"/>
  <c r="U194" i="2"/>
  <c r="T194" i="2"/>
  <c r="J275" i="2"/>
  <c r="K275" i="2" s="1"/>
  <c r="G275" i="2"/>
  <c r="AB192" i="2"/>
  <c r="W193" i="2" l="1"/>
  <c r="AP193" i="2"/>
  <c r="AW425" i="1"/>
  <c r="AY425" i="1"/>
  <c r="AZ425" i="1" s="1"/>
  <c r="BB425" i="1" s="1"/>
  <c r="L275" i="2"/>
  <c r="M550" i="3"/>
  <c r="L550" i="3"/>
  <c r="V459" i="3"/>
  <c r="V194" i="2"/>
  <c r="AO418" i="1"/>
  <c r="AP418" i="1" s="1"/>
  <c r="AM418" i="1"/>
  <c r="AT417" i="1"/>
  <c r="AS417" i="1"/>
  <c r="AR417" i="1"/>
  <c r="AJ197" i="2"/>
  <c r="AI197" i="2"/>
  <c r="E302" i="2"/>
  <c r="AE460" i="3"/>
  <c r="AF460" i="3" s="1"/>
  <c r="N551" i="3"/>
  <c r="K551" i="3" s="1"/>
  <c r="D551" i="3"/>
  <c r="AA460" i="3"/>
  <c r="R459" i="3"/>
  <c r="AD193" i="2"/>
  <c r="AC193" i="2"/>
  <c r="G276" i="2"/>
  <c r="J276" i="2"/>
  <c r="K276" i="2" s="1"/>
  <c r="S194" i="2"/>
  <c r="W459" i="3" l="1"/>
  <c r="AI459" i="3"/>
  <c r="W194" i="2"/>
  <c r="AP194" i="2"/>
  <c r="AW426" i="1"/>
  <c r="AY426" i="1"/>
  <c r="AZ426" i="1" s="1"/>
  <c r="BB426" i="1" s="1"/>
  <c r="L276" i="2"/>
  <c r="L551" i="3"/>
  <c r="M551" i="3"/>
  <c r="AL197" i="2"/>
  <c r="AM197" i="2" s="1"/>
  <c r="D552" i="3"/>
  <c r="N552" i="3"/>
  <c r="K552" i="3" s="1"/>
  <c r="AK197" i="2"/>
  <c r="E303" i="2"/>
  <c r="AO419" i="1"/>
  <c r="AP419" i="1" s="1"/>
  <c r="AM419" i="1"/>
  <c r="AT418" i="1"/>
  <c r="AS418" i="1"/>
  <c r="AR418" i="1"/>
  <c r="AD461" i="3"/>
  <c r="AC461" i="3"/>
  <c r="U460" i="3"/>
  <c r="T460" i="3"/>
  <c r="AE193" i="2"/>
  <c r="AF193" i="2" s="1"/>
  <c r="G277" i="2"/>
  <c r="J277" i="2"/>
  <c r="K277" i="2" s="1"/>
  <c r="U195" i="2"/>
  <c r="T195" i="2"/>
  <c r="AB193" i="2"/>
  <c r="V195" i="2" l="1"/>
  <c r="AW427" i="1"/>
  <c r="AY427" i="1"/>
  <c r="AZ427" i="1" s="1"/>
  <c r="BB427" i="1" s="1"/>
  <c r="L277" i="2"/>
  <c r="M552" i="3"/>
  <c r="L552" i="3"/>
  <c r="AE461" i="3"/>
  <c r="AF461" i="3" s="1"/>
  <c r="V460" i="3"/>
  <c r="AO420" i="1"/>
  <c r="AP420" i="1" s="1"/>
  <c r="AM420" i="1"/>
  <c r="AT419" i="1"/>
  <c r="AS419" i="1"/>
  <c r="AR419" i="1"/>
  <c r="E304" i="2"/>
  <c r="AJ198" i="2"/>
  <c r="AI198" i="2"/>
  <c r="D553" i="3"/>
  <c r="N553" i="3"/>
  <c r="K553" i="3" s="1"/>
  <c r="R460" i="3"/>
  <c r="AA461" i="3"/>
  <c r="S195" i="2"/>
  <c r="AD194" i="2"/>
  <c r="AC194" i="2"/>
  <c r="G278" i="2"/>
  <c r="J278" i="2"/>
  <c r="K278" i="2" s="1"/>
  <c r="W460" i="3" l="1"/>
  <c r="AI460" i="3"/>
  <c r="W195" i="2"/>
  <c r="AP195" i="2"/>
  <c r="AW428" i="1"/>
  <c r="AY428" i="1"/>
  <c r="AZ428" i="1" s="1"/>
  <c r="BB428" i="1" s="1"/>
  <c r="L278" i="2"/>
  <c r="M553" i="3"/>
  <c r="L553" i="3"/>
  <c r="AE194" i="2"/>
  <c r="AF194" i="2" s="1"/>
  <c r="AL198" i="2"/>
  <c r="AM198" i="2" s="1"/>
  <c r="AK198" i="2"/>
  <c r="E305" i="2"/>
  <c r="N554" i="3"/>
  <c r="K554" i="3" s="1"/>
  <c r="D554" i="3"/>
  <c r="AO421" i="1"/>
  <c r="AP421" i="1" s="1"/>
  <c r="AM421" i="1"/>
  <c r="AT420" i="1"/>
  <c r="AS420" i="1"/>
  <c r="AR420" i="1"/>
  <c r="AD462" i="3"/>
  <c r="AC462" i="3"/>
  <c r="U461" i="3"/>
  <c r="T461" i="3"/>
  <c r="AB194" i="2"/>
  <c r="J279" i="2"/>
  <c r="K279" i="2" s="1"/>
  <c r="G279" i="2"/>
  <c r="U196" i="2"/>
  <c r="T196" i="2"/>
  <c r="V461" i="3" l="1"/>
  <c r="AW429" i="1"/>
  <c r="AY429" i="1"/>
  <c r="AZ429" i="1" s="1"/>
  <c r="BB429" i="1" s="1"/>
  <c r="L279" i="2"/>
  <c r="M554" i="3"/>
  <c r="L554" i="3"/>
  <c r="AE462" i="3"/>
  <c r="AF462" i="3" s="1"/>
  <c r="AO422" i="1"/>
  <c r="AP422" i="1" s="1"/>
  <c r="AM422" i="1"/>
  <c r="AT421" i="1"/>
  <c r="AS421" i="1"/>
  <c r="AR421" i="1"/>
  <c r="N555" i="3"/>
  <c r="K555" i="3" s="1"/>
  <c r="D555" i="3"/>
  <c r="E306" i="2"/>
  <c r="AJ199" i="2"/>
  <c r="AI199" i="2"/>
  <c r="R461" i="3"/>
  <c r="AA462" i="3"/>
  <c r="V196" i="2"/>
  <c r="G280" i="2"/>
  <c r="J280" i="2"/>
  <c r="K280" i="2" s="1"/>
  <c r="S196" i="2"/>
  <c r="AD195" i="2"/>
  <c r="AC195" i="2"/>
  <c r="W461" i="3" l="1"/>
  <c r="AI461" i="3"/>
  <c r="W196" i="2"/>
  <c r="AP196" i="2"/>
  <c r="AE195" i="2"/>
  <c r="AF195" i="2" s="1"/>
  <c r="AL199" i="2"/>
  <c r="AM199" i="2" s="1"/>
  <c r="AW430" i="1"/>
  <c r="AY430" i="1"/>
  <c r="AZ430" i="1" s="1"/>
  <c r="BB430" i="1" s="1"/>
  <c r="L280" i="2"/>
  <c r="M555" i="3"/>
  <c r="L555" i="3"/>
  <c r="D556" i="3"/>
  <c r="N556" i="3"/>
  <c r="K556" i="3" s="1"/>
  <c r="AK199" i="2"/>
  <c r="AO423" i="1"/>
  <c r="AP423" i="1" s="1"/>
  <c r="AM423" i="1"/>
  <c r="E307" i="2"/>
  <c r="AT422" i="1"/>
  <c r="AS422" i="1"/>
  <c r="AR422" i="1"/>
  <c r="AD463" i="3"/>
  <c r="AC463" i="3"/>
  <c r="U462" i="3"/>
  <c r="T462" i="3"/>
  <c r="R462" i="3" s="1"/>
  <c r="AB195" i="2"/>
  <c r="U197" i="2"/>
  <c r="T197" i="2"/>
  <c r="G281" i="2"/>
  <c r="J281" i="2"/>
  <c r="K281" i="2" s="1"/>
  <c r="AW431" i="1" l="1"/>
  <c r="AY431" i="1"/>
  <c r="AZ431" i="1" s="1"/>
  <c r="BB431" i="1" s="1"/>
  <c r="L281" i="2"/>
  <c r="M556" i="3"/>
  <c r="L556" i="3"/>
  <c r="AE463" i="3"/>
  <c r="AF463" i="3" s="1"/>
  <c r="V197" i="2"/>
  <c r="E308" i="2"/>
  <c r="AO424" i="1"/>
  <c r="AP424" i="1" s="1"/>
  <c r="AM424" i="1"/>
  <c r="AT423" i="1"/>
  <c r="AS423" i="1"/>
  <c r="AR423" i="1"/>
  <c r="AJ200" i="2"/>
  <c r="AI200" i="2"/>
  <c r="V462" i="3"/>
  <c r="D557" i="3"/>
  <c r="N557" i="3"/>
  <c r="K557" i="3" s="1"/>
  <c r="AA463" i="3"/>
  <c r="U463" i="3"/>
  <c r="T463" i="3"/>
  <c r="S197" i="2"/>
  <c r="G282" i="2"/>
  <c r="J282" i="2"/>
  <c r="K282" i="2" s="1"/>
  <c r="AD196" i="2"/>
  <c r="AC196" i="2"/>
  <c r="W462" i="3" l="1"/>
  <c r="AI462" i="3"/>
  <c r="W197" i="2"/>
  <c r="AP197" i="2"/>
  <c r="V463" i="3"/>
  <c r="AW432" i="1"/>
  <c r="AY432" i="1"/>
  <c r="AZ432" i="1" s="1"/>
  <c r="BB432" i="1" s="1"/>
  <c r="L282" i="2"/>
  <c r="M557" i="3"/>
  <c r="L557" i="3"/>
  <c r="AE196" i="2"/>
  <c r="AF196" i="2" s="1"/>
  <c r="AL200" i="2"/>
  <c r="AM200" i="2" s="1"/>
  <c r="AK200" i="2"/>
  <c r="N558" i="3"/>
  <c r="K558" i="3" s="1"/>
  <c r="D558" i="3"/>
  <c r="AO425" i="1"/>
  <c r="AP425" i="1" s="1"/>
  <c r="AM425" i="1"/>
  <c r="AT424" i="1"/>
  <c r="AS424" i="1"/>
  <c r="AR424" i="1"/>
  <c r="E309" i="2"/>
  <c r="R463" i="3"/>
  <c r="AD464" i="3"/>
  <c r="AC464" i="3"/>
  <c r="J283" i="2"/>
  <c r="K283" i="2" s="1"/>
  <c r="G283" i="2"/>
  <c r="AB196" i="2"/>
  <c r="U198" i="2"/>
  <c r="T198" i="2"/>
  <c r="W463" i="3" l="1"/>
  <c r="AI463" i="3"/>
  <c r="AW433" i="1"/>
  <c r="AY433" i="1"/>
  <c r="AZ433" i="1" s="1"/>
  <c r="BB433" i="1" s="1"/>
  <c r="L283" i="2"/>
  <c r="M558" i="3"/>
  <c r="AE464" i="3"/>
  <c r="AF464" i="3" s="1"/>
  <c r="V198" i="2"/>
  <c r="AJ201" i="2"/>
  <c r="AI201" i="2"/>
  <c r="AO426" i="1"/>
  <c r="AP426" i="1" s="1"/>
  <c r="AM426" i="1"/>
  <c r="AT425" i="1"/>
  <c r="AS425" i="1"/>
  <c r="AR425" i="1"/>
  <c r="N559" i="3"/>
  <c r="K559" i="3" s="1"/>
  <c r="D559" i="3"/>
  <c r="E310" i="2"/>
  <c r="AA464" i="3"/>
  <c r="U464" i="3"/>
  <c r="T464" i="3"/>
  <c r="S198" i="2"/>
  <c r="AD197" i="2"/>
  <c r="AC197" i="2"/>
  <c r="G284" i="2"/>
  <c r="J284" i="2"/>
  <c r="K284" i="2" s="1"/>
  <c r="W198" i="2" l="1"/>
  <c r="AP198" i="2"/>
  <c r="AW434" i="1"/>
  <c r="AY434" i="1"/>
  <c r="AZ434" i="1" s="1"/>
  <c r="BB434" i="1" s="1"/>
  <c r="AE197" i="2"/>
  <c r="AF197" i="2" s="1"/>
  <c r="L284" i="2"/>
  <c r="M559" i="3"/>
  <c r="C105" i="35" s="1"/>
  <c r="L559" i="3"/>
  <c r="V464" i="3"/>
  <c r="AL201" i="2"/>
  <c r="AM201" i="2" s="1"/>
  <c r="D105" i="35"/>
  <c r="AO427" i="1"/>
  <c r="AP427" i="1" s="1"/>
  <c r="AM427" i="1"/>
  <c r="E311" i="2"/>
  <c r="AT426" i="1"/>
  <c r="AS426" i="1"/>
  <c r="AR426" i="1"/>
  <c r="D560" i="3"/>
  <c r="N560" i="3"/>
  <c r="K560" i="3" s="1"/>
  <c r="G105" i="35"/>
  <c r="L558" i="3"/>
  <c r="AK201" i="2"/>
  <c r="R464" i="3"/>
  <c r="AD465" i="3"/>
  <c r="AC465" i="3"/>
  <c r="AB197" i="2"/>
  <c r="G285" i="2"/>
  <c r="J285" i="2"/>
  <c r="K285" i="2" s="1"/>
  <c r="U199" i="2"/>
  <c r="T199" i="2"/>
  <c r="W464" i="3" l="1"/>
  <c r="AI464" i="3"/>
  <c r="V199" i="2"/>
  <c r="AW435" i="1"/>
  <c r="AY435" i="1"/>
  <c r="AZ435" i="1" s="1"/>
  <c r="BB435" i="1" s="1"/>
  <c r="L285" i="2"/>
  <c r="M560" i="3"/>
  <c r="L560" i="3"/>
  <c r="AE465" i="3"/>
  <c r="AF465" i="3" s="1"/>
  <c r="E105" i="35"/>
  <c r="AJ202" i="2"/>
  <c r="AI202" i="2"/>
  <c r="AK202" i="2" s="1"/>
  <c r="D561" i="3"/>
  <c r="N561" i="3"/>
  <c r="K561" i="3" s="1"/>
  <c r="E312" i="2"/>
  <c r="AO428" i="1"/>
  <c r="AP428" i="1" s="1"/>
  <c r="AM428" i="1"/>
  <c r="AT427" i="1"/>
  <c r="AS427" i="1"/>
  <c r="AR427" i="1"/>
  <c r="AA465" i="3"/>
  <c r="U465" i="3"/>
  <c r="T465" i="3"/>
  <c r="S199" i="2"/>
  <c r="G286" i="2"/>
  <c r="J286" i="2"/>
  <c r="K286" i="2" s="1"/>
  <c r="AD198" i="2"/>
  <c r="AC198" i="2"/>
  <c r="W199" i="2" l="1"/>
  <c r="AP199" i="2"/>
  <c r="AE198" i="2"/>
  <c r="AF198" i="2" s="1"/>
  <c r="AW436" i="1"/>
  <c r="AY436" i="1"/>
  <c r="AZ436" i="1" s="1"/>
  <c r="BB436" i="1" s="1"/>
  <c r="L286" i="2"/>
  <c r="M561" i="3"/>
  <c r="L561" i="3"/>
  <c r="V465" i="3"/>
  <c r="AT428" i="1"/>
  <c r="AS428" i="1"/>
  <c r="AR428" i="1"/>
  <c r="E313" i="2"/>
  <c r="AJ203" i="2"/>
  <c r="AI203" i="2"/>
  <c r="AO429" i="1"/>
  <c r="AP429" i="1" s="1"/>
  <c r="AM429" i="1"/>
  <c r="D562" i="3"/>
  <c r="N562" i="3"/>
  <c r="K562" i="3" s="1"/>
  <c r="AL202" i="2"/>
  <c r="AM202" i="2" s="1"/>
  <c r="R465" i="3"/>
  <c r="AD466" i="3"/>
  <c r="AC466" i="3"/>
  <c r="J287" i="2"/>
  <c r="K287" i="2" s="1"/>
  <c r="G287" i="2"/>
  <c r="AB198" i="2"/>
  <c r="U200" i="2"/>
  <c r="T200" i="2"/>
  <c r="W465" i="3" l="1"/>
  <c r="AI465" i="3"/>
  <c r="V200" i="2"/>
  <c r="AL203" i="2"/>
  <c r="AM203" i="2" s="1"/>
  <c r="AW437" i="1"/>
  <c r="AY437" i="1"/>
  <c r="AZ437" i="1" s="1"/>
  <c r="BB437" i="1" s="1"/>
  <c r="L287" i="2"/>
  <c r="M562" i="3"/>
  <c r="L562" i="3"/>
  <c r="AK203" i="2"/>
  <c r="E314" i="2"/>
  <c r="N563" i="3"/>
  <c r="K563" i="3" s="1"/>
  <c r="D563" i="3"/>
  <c r="AO430" i="1"/>
  <c r="AP430" i="1" s="1"/>
  <c r="AM430" i="1"/>
  <c r="AE466" i="3"/>
  <c r="AF466" i="3" s="1"/>
  <c r="AT429" i="1"/>
  <c r="AS429" i="1"/>
  <c r="AR429" i="1"/>
  <c r="AA466" i="3"/>
  <c r="U466" i="3"/>
  <c r="T466" i="3"/>
  <c r="AD199" i="2"/>
  <c r="AC199" i="2"/>
  <c r="AE199" i="2" s="1"/>
  <c r="AF199" i="2" s="1"/>
  <c r="G288" i="2"/>
  <c r="J288" i="2"/>
  <c r="K288" i="2" s="1"/>
  <c r="S200" i="2"/>
  <c r="W200" i="2" l="1"/>
  <c r="AP200" i="2"/>
  <c r="AW438" i="1"/>
  <c r="AY438" i="1"/>
  <c r="AZ438" i="1" s="1"/>
  <c r="BB438" i="1" s="1"/>
  <c r="L288" i="2"/>
  <c r="M563" i="3"/>
  <c r="L563" i="3"/>
  <c r="V466" i="3"/>
  <c r="AT430" i="1"/>
  <c r="AS430" i="1"/>
  <c r="AR430" i="1"/>
  <c r="E315" i="2"/>
  <c r="AO431" i="1"/>
  <c r="AP431" i="1" s="1"/>
  <c r="AM431" i="1"/>
  <c r="D564" i="3"/>
  <c r="N564" i="3"/>
  <c r="K564" i="3" s="1"/>
  <c r="AJ204" i="2"/>
  <c r="AI204" i="2"/>
  <c r="R466" i="3"/>
  <c r="AD467" i="3"/>
  <c r="AC467" i="3"/>
  <c r="G289" i="2"/>
  <c r="J289" i="2"/>
  <c r="K289" i="2" s="1"/>
  <c r="U201" i="2"/>
  <c r="T201" i="2"/>
  <c r="AB199" i="2"/>
  <c r="W466" i="3" l="1"/>
  <c r="AI466" i="3"/>
  <c r="AE467" i="3"/>
  <c r="AF467" i="3" s="1"/>
  <c r="AL204" i="2"/>
  <c r="AM204" i="2" s="1"/>
  <c r="AW439" i="1"/>
  <c r="AY439" i="1"/>
  <c r="AZ439" i="1" s="1"/>
  <c r="BB439" i="1" s="1"/>
  <c r="L289" i="2"/>
  <c r="L564" i="3"/>
  <c r="M564" i="3"/>
  <c r="V201" i="2"/>
  <c r="AO432" i="1"/>
  <c r="AP432" i="1" s="1"/>
  <c r="AM432" i="1"/>
  <c r="AT431" i="1"/>
  <c r="AS431" i="1"/>
  <c r="AR431" i="1"/>
  <c r="E316" i="2"/>
  <c r="AK204" i="2"/>
  <c r="D565" i="3"/>
  <c r="N565" i="3"/>
  <c r="K565" i="3" s="1"/>
  <c r="AA467" i="3"/>
  <c r="U467" i="3"/>
  <c r="T467" i="3"/>
  <c r="AD200" i="2"/>
  <c r="AC200" i="2"/>
  <c r="G290" i="2"/>
  <c r="J290" i="2"/>
  <c r="K290" i="2" s="1"/>
  <c r="S201" i="2"/>
  <c r="W201" i="2" l="1"/>
  <c r="AP201" i="2"/>
  <c r="AW440" i="1"/>
  <c r="AY440" i="1"/>
  <c r="AZ440" i="1" s="1"/>
  <c r="BB440" i="1" s="1"/>
  <c r="L290" i="2"/>
  <c r="M565" i="3"/>
  <c r="L565" i="3"/>
  <c r="V467" i="3"/>
  <c r="AE200" i="2"/>
  <c r="AF200" i="2" s="1"/>
  <c r="E317" i="2"/>
  <c r="AJ205" i="2"/>
  <c r="AI205" i="2"/>
  <c r="AO433" i="1"/>
  <c r="AP433" i="1" s="1"/>
  <c r="AM433" i="1"/>
  <c r="N566" i="3"/>
  <c r="K566" i="3" s="1"/>
  <c r="D566" i="3"/>
  <c r="AT432" i="1"/>
  <c r="AS432" i="1"/>
  <c r="AR432" i="1"/>
  <c r="R467" i="3"/>
  <c r="AD468" i="3"/>
  <c r="AC468" i="3"/>
  <c r="J291" i="2"/>
  <c r="K291" i="2" s="1"/>
  <c r="G291" i="2"/>
  <c r="U202" i="2"/>
  <c r="T202" i="2"/>
  <c r="AB200" i="2"/>
  <c r="W467" i="3" l="1"/>
  <c r="AI467" i="3"/>
  <c r="AW441" i="1"/>
  <c r="AY441" i="1"/>
  <c r="AZ441" i="1" s="1"/>
  <c r="BB441" i="1" s="1"/>
  <c r="L291" i="2"/>
  <c r="M566" i="3"/>
  <c r="L566" i="3"/>
  <c r="AL205" i="2"/>
  <c r="AM205" i="2" s="1"/>
  <c r="V202" i="2"/>
  <c r="AO434" i="1"/>
  <c r="AP434" i="1" s="1"/>
  <c r="AM434" i="1"/>
  <c r="AT433" i="1"/>
  <c r="AS433" i="1"/>
  <c r="AR433" i="1"/>
  <c r="AK205" i="2"/>
  <c r="E318" i="2"/>
  <c r="AE468" i="3"/>
  <c r="AF468" i="3" s="1"/>
  <c r="D567" i="3"/>
  <c r="N567" i="3"/>
  <c r="K567" i="3" s="1"/>
  <c r="AA468" i="3"/>
  <c r="U468" i="3"/>
  <c r="T468" i="3"/>
  <c r="AD201" i="2"/>
  <c r="AC201" i="2"/>
  <c r="S202" i="2"/>
  <c r="G292" i="2"/>
  <c r="J292" i="2"/>
  <c r="K292" i="2" s="1"/>
  <c r="W202" i="2" l="1"/>
  <c r="AP202" i="2"/>
  <c r="V468" i="3"/>
  <c r="AW442" i="1"/>
  <c r="AY442" i="1"/>
  <c r="AZ442" i="1" s="1"/>
  <c r="BB442" i="1" s="1"/>
  <c r="L292" i="2"/>
  <c r="L567" i="3"/>
  <c r="M567" i="3"/>
  <c r="AE201" i="2"/>
  <c r="AF201" i="2" s="1"/>
  <c r="AJ206" i="2"/>
  <c r="AI206" i="2"/>
  <c r="E319" i="2"/>
  <c r="D568" i="3"/>
  <c r="N568" i="3"/>
  <c r="K568" i="3" s="1"/>
  <c r="AO435" i="1"/>
  <c r="AP435" i="1" s="1"/>
  <c r="AM435" i="1"/>
  <c r="AT434" i="1"/>
  <c r="AS434" i="1"/>
  <c r="AR434" i="1"/>
  <c r="R468" i="3"/>
  <c r="AD469" i="3"/>
  <c r="AC469" i="3"/>
  <c r="U203" i="2"/>
  <c r="T203" i="2"/>
  <c r="AB201" i="2"/>
  <c r="G293" i="2"/>
  <c r="J293" i="2"/>
  <c r="K293" i="2" s="1"/>
  <c r="W468" i="3" l="1"/>
  <c r="AI468" i="3"/>
  <c r="AL206" i="2"/>
  <c r="AM206" i="2" s="1"/>
  <c r="AW443" i="1"/>
  <c r="AY443" i="1"/>
  <c r="AZ443" i="1" s="1"/>
  <c r="BB443" i="1" s="1"/>
  <c r="L293" i="2"/>
  <c r="L568" i="3"/>
  <c r="M568" i="3"/>
  <c r="V203" i="2"/>
  <c r="N569" i="3"/>
  <c r="K569" i="3" s="1"/>
  <c r="D569" i="3"/>
  <c r="E320" i="2"/>
  <c r="E321" i="2" s="1"/>
  <c r="E322" i="2" s="1"/>
  <c r="E323" i="2" s="1"/>
  <c r="E324" i="2" s="1"/>
  <c r="E325" i="2" s="1"/>
  <c r="E326" i="2" s="1"/>
  <c r="E327" i="2" s="1"/>
  <c r="E328" i="2" s="1"/>
  <c r="E329" i="2" s="1"/>
  <c r="E330" i="2" s="1"/>
  <c r="E331" i="2" s="1"/>
  <c r="E332" i="2" s="1"/>
  <c r="E333" i="2" s="1"/>
  <c r="E334" i="2" s="1"/>
  <c r="E335" i="2" s="1"/>
  <c r="E336" i="2" s="1"/>
  <c r="E337" i="2" s="1"/>
  <c r="E338" i="2" s="1"/>
  <c r="E339" i="2" s="1"/>
  <c r="E340" i="2" s="1"/>
  <c r="E341" i="2" s="1"/>
  <c r="E342" i="2" s="1"/>
  <c r="E343" i="2" s="1"/>
  <c r="E344" i="2" s="1"/>
  <c r="E345" i="2" s="1"/>
  <c r="E346" i="2" s="1"/>
  <c r="E347" i="2" s="1"/>
  <c r="E348" i="2" s="1"/>
  <c r="E349" i="2" s="1"/>
  <c r="E350" i="2" s="1"/>
  <c r="E351" i="2" s="1"/>
  <c r="E352" i="2" s="1"/>
  <c r="E353" i="2" s="1"/>
  <c r="E354" i="2" s="1"/>
  <c r="E355" i="2" s="1"/>
  <c r="E356" i="2" s="1"/>
  <c r="E357" i="2" s="1"/>
  <c r="E358" i="2" s="1"/>
  <c r="E359" i="2" s="1"/>
  <c r="E360" i="2" s="1"/>
  <c r="E361" i="2" s="1"/>
  <c r="E362" i="2" s="1"/>
  <c r="E363" i="2" s="1"/>
  <c r="E364" i="2" s="1"/>
  <c r="E365" i="2" s="1"/>
  <c r="E366" i="2" s="1"/>
  <c r="E367" i="2" s="1"/>
  <c r="E368" i="2" s="1"/>
  <c r="E369" i="2" s="1"/>
  <c r="E370" i="2" s="1"/>
  <c r="E371" i="2" s="1"/>
  <c r="E372" i="2" s="1"/>
  <c r="E373" i="2" s="1"/>
  <c r="E374" i="2" s="1"/>
  <c r="E375" i="2" s="1"/>
  <c r="E376" i="2" s="1"/>
  <c r="E377" i="2" s="1"/>
  <c r="E378" i="2" s="1"/>
  <c r="E379" i="2" s="1"/>
  <c r="E380" i="2" s="1"/>
  <c r="E381" i="2" s="1"/>
  <c r="E382" i="2" s="1"/>
  <c r="E383" i="2" s="1"/>
  <c r="E384" i="2" s="1"/>
  <c r="E385" i="2" s="1"/>
  <c r="E386" i="2" s="1"/>
  <c r="E387" i="2" s="1"/>
  <c r="E388" i="2" s="1"/>
  <c r="E389" i="2" s="1"/>
  <c r="E390" i="2" s="1"/>
  <c r="E391" i="2" s="1"/>
  <c r="E392" i="2" s="1"/>
  <c r="E393" i="2" s="1"/>
  <c r="E394" i="2" s="1"/>
  <c r="E395" i="2" s="1"/>
  <c r="E396" i="2" s="1"/>
  <c r="E397" i="2" s="1"/>
  <c r="E398" i="2" s="1"/>
  <c r="E399" i="2" s="1"/>
  <c r="E400" i="2" s="1"/>
  <c r="E401" i="2" s="1"/>
  <c r="E402" i="2" s="1"/>
  <c r="E403" i="2" s="1"/>
  <c r="E404" i="2" s="1"/>
  <c r="E405" i="2" s="1"/>
  <c r="E406" i="2" s="1"/>
  <c r="E407" i="2" s="1"/>
  <c r="E408" i="2" s="1"/>
  <c r="E409" i="2" s="1"/>
  <c r="E410" i="2" s="1"/>
  <c r="E411" i="2" s="1"/>
  <c r="E412" i="2" s="1"/>
  <c r="E413" i="2" s="1"/>
  <c r="E414" i="2" s="1"/>
  <c r="E415" i="2" s="1"/>
  <c r="E416" i="2" s="1"/>
  <c r="E417" i="2" s="1"/>
  <c r="E418" i="2" s="1"/>
  <c r="E419" i="2" s="1"/>
  <c r="E420" i="2" s="1"/>
  <c r="E421" i="2" s="1"/>
  <c r="E422" i="2" s="1"/>
  <c r="E423" i="2" s="1"/>
  <c r="E424" i="2" s="1"/>
  <c r="E425" i="2" s="1"/>
  <c r="E426" i="2" s="1"/>
  <c r="E427" i="2" s="1"/>
  <c r="E428" i="2" s="1"/>
  <c r="E429" i="2" s="1"/>
  <c r="E430" i="2" s="1"/>
  <c r="E431" i="2" s="1"/>
  <c r="E432" i="2" s="1"/>
  <c r="E433" i="2" s="1"/>
  <c r="E434" i="2" s="1"/>
  <c r="E435" i="2" s="1"/>
  <c r="E436" i="2" s="1"/>
  <c r="E437" i="2" s="1"/>
  <c r="E438" i="2" s="1"/>
  <c r="E439" i="2" s="1"/>
  <c r="E440" i="2" s="1"/>
  <c r="E441" i="2" s="1"/>
  <c r="E442" i="2" s="1"/>
  <c r="E443" i="2" s="1"/>
  <c r="E444" i="2" s="1"/>
  <c r="E445" i="2" s="1"/>
  <c r="E446" i="2" s="1"/>
  <c r="E447" i="2" s="1"/>
  <c r="E448" i="2" s="1"/>
  <c r="E449" i="2" s="1"/>
  <c r="E450" i="2" s="1"/>
  <c r="E451" i="2" s="1"/>
  <c r="E452" i="2" s="1"/>
  <c r="E453" i="2" s="1"/>
  <c r="E454" i="2" s="1"/>
  <c r="E455" i="2" s="1"/>
  <c r="E456" i="2" s="1"/>
  <c r="E457" i="2" s="1"/>
  <c r="E458" i="2" s="1"/>
  <c r="E459" i="2" s="1"/>
  <c r="E460" i="2" s="1"/>
  <c r="E461" i="2" s="1"/>
  <c r="E462" i="2" s="1"/>
  <c r="E463" i="2" s="1"/>
  <c r="E464" i="2" s="1"/>
  <c r="E465" i="2" s="1"/>
  <c r="E466" i="2" s="1"/>
  <c r="E467" i="2" s="1"/>
  <c r="E468" i="2" s="1"/>
  <c r="E469" i="2" s="1"/>
  <c r="E470" i="2" s="1"/>
  <c r="E471" i="2" s="1"/>
  <c r="E472" i="2" s="1"/>
  <c r="E473" i="2" s="1"/>
  <c r="E474" i="2" s="1"/>
  <c r="E475" i="2" s="1"/>
  <c r="E476" i="2" s="1"/>
  <c r="E477" i="2" s="1"/>
  <c r="E478" i="2" s="1"/>
  <c r="E479" i="2" s="1"/>
  <c r="E480" i="2" s="1"/>
  <c r="E481" i="2" s="1"/>
  <c r="E482" i="2" s="1"/>
  <c r="E483" i="2" s="1"/>
  <c r="E484" i="2" s="1"/>
  <c r="E485" i="2" s="1"/>
  <c r="E486" i="2" s="1"/>
  <c r="E487" i="2" s="1"/>
  <c r="E488" i="2" s="1"/>
  <c r="E489" i="2" s="1"/>
  <c r="E490" i="2" s="1"/>
  <c r="E491" i="2" s="1"/>
  <c r="E492" i="2" s="1"/>
  <c r="E493" i="2" s="1"/>
  <c r="E494" i="2" s="1"/>
  <c r="E495" i="2" s="1"/>
  <c r="E496" i="2" s="1"/>
  <c r="E497" i="2" s="1"/>
  <c r="E498" i="2" s="1"/>
  <c r="E499" i="2" s="1"/>
  <c r="E500" i="2" s="1"/>
  <c r="E501" i="2" s="1"/>
  <c r="E502" i="2" s="1"/>
  <c r="E503" i="2" s="1"/>
  <c r="E504" i="2" s="1"/>
  <c r="E505" i="2" s="1"/>
  <c r="E506" i="2" s="1"/>
  <c r="E507" i="2" s="1"/>
  <c r="E508" i="2" s="1"/>
  <c r="E509" i="2" s="1"/>
  <c r="E510" i="2" s="1"/>
  <c r="E511" i="2" s="1"/>
  <c r="E512" i="2" s="1"/>
  <c r="E513" i="2" s="1"/>
  <c r="E514" i="2" s="1"/>
  <c r="E515" i="2" s="1"/>
  <c r="E516" i="2" s="1"/>
  <c r="E517" i="2" s="1"/>
  <c r="E518" i="2" s="1"/>
  <c r="E519" i="2" s="1"/>
  <c r="E520" i="2" s="1"/>
  <c r="E521" i="2" s="1"/>
  <c r="E522" i="2" s="1"/>
  <c r="E523" i="2" s="1"/>
  <c r="E524" i="2" s="1"/>
  <c r="E525" i="2" s="1"/>
  <c r="E526" i="2" s="1"/>
  <c r="E527" i="2" s="1"/>
  <c r="E528" i="2" s="1"/>
  <c r="E529" i="2" s="1"/>
  <c r="E530" i="2" s="1"/>
  <c r="E531" i="2" s="1"/>
  <c r="E532" i="2" s="1"/>
  <c r="E533" i="2" s="1"/>
  <c r="E534" i="2" s="1"/>
  <c r="E535" i="2" s="1"/>
  <c r="E536" i="2" s="1"/>
  <c r="E537" i="2" s="1"/>
  <c r="E538" i="2" s="1"/>
  <c r="E539" i="2" s="1"/>
  <c r="E540" i="2" s="1"/>
  <c r="E541" i="2" s="1"/>
  <c r="E542" i="2" s="1"/>
  <c r="E543" i="2" s="1"/>
  <c r="E544" i="2" s="1"/>
  <c r="E545" i="2" s="1"/>
  <c r="E546" i="2" s="1"/>
  <c r="E547" i="2" s="1"/>
  <c r="E548" i="2" s="1"/>
  <c r="E549" i="2" s="1"/>
  <c r="E550" i="2" s="1"/>
  <c r="E551" i="2" s="1"/>
  <c r="E552" i="2" s="1"/>
  <c r="E553" i="2" s="1"/>
  <c r="E554" i="2" s="1"/>
  <c r="E555" i="2" s="1"/>
  <c r="E556" i="2" s="1"/>
  <c r="E557" i="2" s="1"/>
  <c r="E558" i="2" s="1"/>
  <c r="E559" i="2" s="1"/>
  <c r="E560" i="2" s="1"/>
  <c r="E561" i="2" s="1"/>
  <c r="E562" i="2" s="1"/>
  <c r="E563" i="2" s="1"/>
  <c r="E564" i="2" s="1"/>
  <c r="E565" i="2" s="1"/>
  <c r="E566" i="2" s="1"/>
  <c r="E567" i="2" s="1"/>
  <c r="E568" i="2" s="1"/>
  <c r="E569" i="2" s="1"/>
  <c r="E570" i="2" s="1"/>
  <c r="E571" i="2" s="1"/>
  <c r="E572" i="2" s="1"/>
  <c r="E573" i="2" s="1"/>
  <c r="E574" i="2" s="1"/>
  <c r="E575" i="2" s="1"/>
  <c r="E576" i="2" s="1"/>
  <c r="E577" i="2" s="1"/>
  <c r="E578" i="2" s="1"/>
  <c r="E579" i="2" s="1"/>
  <c r="E580" i="2" s="1"/>
  <c r="E581" i="2" s="1"/>
  <c r="E582" i="2" s="1"/>
  <c r="E583" i="2" s="1"/>
  <c r="E584" i="2" s="1"/>
  <c r="E585" i="2" s="1"/>
  <c r="E586" i="2" s="1"/>
  <c r="E587" i="2" s="1"/>
  <c r="E588" i="2" s="1"/>
  <c r="E589" i="2" s="1"/>
  <c r="E590" i="2" s="1"/>
  <c r="E591" i="2" s="1"/>
  <c r="E592" i="2" s="1"/>
  <c r="E593" i="2" s="1"/>
  <c r="E594" i="2" s="1"/>
  <c r="E595" i="2" s="1"/>
  <c r="E596" i="2" s="1"/>
  <c r="E597" i="2" s="1"/>
  <c r="E598" i="2" s="1"/>
  <c r="E599" i="2" s="1"/>
  <c r="E600" i="2" s="1"/>
  <c r="E601" i="2" s="1"/>
  <c r="E602" i="2" s="1"/>
  <c r="E603" i="2" s="1"/>
  <c r="E604" i="2" s="1"/>
  <c r="E605" i="2" s="1"/>
  <c r="E606" i="2" s="1"/>
  <c r="E607" i="2" s="1"/>
  <c r="E608" i="2" s="1"/>
  <c r="E609" i="2" s="1"/>
  <c r="E610" i="2" s="1"/>
  <c r="E611" i="2" s="1"/>
  <c r="E612" i="2" s="1"/>
  <c r="E613" i="2" s="1"/>
  <c r="E614" i="2" s="1"/>
  <c r="E615" i="2" s="1"/>
  <c r="E616" i="2" s="1"/>
  <c r="E617" i="2" s="1"/>
  <c r="E618" i="2" s="1"/>
  <c r="E619" i="2" s="1"/>
  <c r="E620" i="2" s="1"/>
  <c r="E621" i="2" s="1"/>
  <c r="E622" i="2" s="1"/>
  <c r="E623" i="2" s="1"/>
  <c r="E624" i="2" s="1"/>
  <c r="E625" i="2" s="1"/>
  <c r="E626" i="2" s="1"/>
  <c r="E627" i="2" s="1"/>
  <c r="E628" i="2" s="1"/>
  <c r="E629" i="2" s="1"/>
  <c r="E630" i="2" s="1"/>
  <c r="E631" i="2" s="1"/>
  <c r="E632" i="2" s="1"/>
  <c r="E633" i="2" s="1"/>
  <c r="E634" i="2" s="1"/>
  <c r="E635" i="2" s="1"/>
  <c r="E636" i="2" s="1"/>
  <c r="E637" i="2" s="1"/>
  <c r="E638" i="2" s="1"/>
  <c r="E639" i="2" s="1"/>
  <c r="E640" i="2" s="1"/>
  <c r="E641" i="2" s="1"/>
  <c r="E642" i="2" s="1"/>
  <c r="E643" i="2" s="1"/>
  <c r="E644" i="2" s="1"/>
  <c r="E645" i="2" s="1"/>
  <c r="E646" i="2" s="1"/>
  <c r="E647" i="2" s="1"/>
  <c r="E648" i="2" s="1"/>
  <c r="E649" i="2" s="1"/>
  <c r="E650" i="2" s="1"/>
  <c r="E651" i="2" s="1"/>
  <c r="E652" i="2" s="1"/>
  <c r="E653" i="2" s="1"/>
  <c r="E654" i="2" s="1"/>
  <c r="E655" i="2" s="1"/>
  <c r="E656" i="2" s="1"/>
  <c r="E657" i="2" s="1"/>
  <c r="E658" i="2" s="1"/>
  <c r="E659" i="2" s="1"/>
  <c r="E660" i="2" s="1"/>
  <c r="E661" i="2" s="1"/>
  <c r="E662" i="2" s="1"/>
  <c r="E663" i="2" s="1"/>
  <c r="E664" i="2" s="1"/>
  <c r="E665" i="2" s="1"/>
  <c r="E666" i="2" s="1"/>
  <c r="E667" i="2" s="1"/>
  <c r="E668" i="2" s="1"/>
  <c r="E669" i="2" s="1"/>
  <c r="E670" i="2" s="1"/>
  <c r="E671" i="2" s="1"/>
  <c r="E672" i="2" s="1"/>
  <c r="E673" i="2" s="1"/>
  <c r="E674" i="2" s="1"/>
  <c r="E675" i="2" s="1"/>
  <c r="E676" i="2" s="1"/>
  <c r="E677" i="2" s="1"/>
  <c r="E678" i="2" s="1"/>
  <c r="E679" i="2" s="1"/>
  <c r="E680" i="2" s="1"/>
  <c r="E681" i="2" s="1"/>
  <c r="E682" i="2" s="1"/>
  <c r="E683" i="2" s="1"/>
  <c r="E684" i="2" s="1"/>
  <c r="E685" i="2" s="1"/>
  <c r="E686" i="2" s="1"/>
  <c r="E687" i="2" s="1"/>
  <c r="E688" i="2" s="1"/>
  <c r="E689" i="2" s="1"/>
  <c r="E690" i="2" s="1"/>
  <c r="E691" i="2" s="1"/>
  <c r="E692" i="2" s="1"/>
  <c r="E693" i="2" s="1"/>
  <c r="E694" i="2" s="1"/>
  <c r="E695" i="2" s="1"/>
  <c r="E696" i="2" s="1"/>
  <c r="E697" i="2" s="1"/>
  <c r="E698" i="2" s="1"/>
  <c r="E699" i="2" s="1"/>
  <c r="E700" i="2" s="1"/>
  <c r="E701" i="2" s="1"/>
  <c r="E702" i="2" s="1"/>
  <c r="E703" i="2" s="1"/>
  <c r="E704" i="2" s="1"/>
  <c r="E705" i="2" s="1"/>
  <c r="E706" i="2" s="1"/>
  <c r="E707" i="2" s="1"/>
  <c r="E708" i="2" s="1"/>
  <c r="E709" i="2" s="1"/>
  <c r="E710" i="2" s="1"/>
  <c r="E711" i="2" s="1"/>
  <c r="E712" i="2" s="1"/>
  <c r="E713" i="2" s="1"/>
  <c r="E714" i="2" s="1"/>
  <c r="E715" i="2" s="1"/>
  <c r="E716" i="2" s="1"/>
  <c r="AK206" i="2"/>
  <c r="AT435" i="1"/>
  <c r="AS435" i="1"/>
  <c r="AR435" i="1"/>
  <c r="AE469" i="3"/>
  <c r="AF469" i="3" s="1"/>
  <c r="AO436" i="1"/>
  <c r="AP436" i="1" s="1"/>
  <c r="AM436" i="1"/>
  <c r="AA469" i="3"/>
  <c r="U469" i="3"/>
  <c r="T469" i="3"/>
  <c r="AD202" i="2"/>
  <c r="AC202" i="2"/>
  <c r="AE202" i="2" s="1"/>
  <c r="AF202" i="2" s="1"/>
  <c r="S203" i="2"/>
  <c r="G294" i="2"/>
  <c r="J294" i="2"/>
  <c r="K294" i="2" s="1"/>
  <c r="W203" i="2" l="1"/>
  <c r="AP203" i="2"/>
  <c r="AW444" i="1"/>
  <c r="AY444" i="1"/>
  <c r="AZ444" i="1" s="1"/>
  <c r="BB444" i="1" s="1"/>
  <c r="L294" i="2"/>
  <c r="L569" i="3"/>
  <c r="M569" i="3"/>
  <c r="V469" i="3"/>
  <c r="AJ207" i="2"/>
  <c r="AI207" i="2"/>
  <c r="AT436" i="1"/>
  <c r="AS436" i="1"/>
  <c r="AR436" i="1"/>
  <c r="D570" i="3"/>
  <c r="N570" i="3"/>
  <c r="K570" i="3" s="1"/>
  <c r="AO437" i="1"/>
  <c r="AP437" i="1" s="1"/>
  <c r="AM437" i="1"/>
  <c r="R469" i="3"/>
  <c r="AD470" i="3"/>
  <c r="AC470" i="3"/>
  <c r="AB202" i="2"/>
  <c r="J295" i="2"/>
  <c r="K295" i="2" s="1"/>
  <c r="G295" i="2"/>
  <c r="U204" i="2"/>
  <c r="T204" i="2"/>
  <c r="W469" i="3" l="1"/>
  <c r="AI469" i="3"/>
  <c r="AL207" i="2"/>
  <c r="AM207" i="2" s="1"/>
  <c r="AW445" i="1"/>
  <c r="AY445" i="1"/>
  <c r="AZ445" i="1" s="1"/>
  <c r="BB445" i="1" s="1"/>
  <c r="AE470" i="3"/>
  <c r="AF470" i="3" s="1"/>
  <c r="L295" i="2"/>
  <c r="M570" i="3"/>
  <c r="V204" i="2"/>
  <c r="N571" i="3"/>
  <c r="K571" i="3" s="1"/>
  <c r="D571" i="3"/>
  <c r="AO438" i="1"/>
  <c r="AP438" i="1" s="1"/>
  <c r="AM438" i="1"/>
  <c r="AT437" i="1"/>
  <c r="AS437" i="1"/>
  <c r="AR437" i="1"/>
  <c r="AK207" i="2"/>
  <c r="AA470" i="3"/>
  <c r="U470" i="3"/>
  <c r="T470" i="3"/>
  <c r="G296" i="2"/>
  <c r="J296" i="2"/>
  <c r="K296" i="2" s="1"/>
  <c r="S204" i="2"/>
  <c r="AD203" i="2"/>
  <c r="AC203" i="2"/>
  <c r="W204" i="2" l="1"/>
  <c r="AP204" i="2"/>
  <c r="AW446" i="1"/>
  <c r="AY446" i="1"/>
  <c r="AZ446" i="1" s="1"/>
  <c r="BB446" i="1" s="1"/>
  <c r="AE203" i="2"/>
  <c r="AF203" i="2" s="1"/>
  <c r="L296" i="2"/>
  <c r="M571" i="3"/>
  <c r="C106" i="35" s="1"/>
  <c r="L571" i="3"/>
  <c r="V470" i="3"/>
  <c r="D106" i="35"/>
  <c r="AT438" i="1"/>
  <c r="AS438" i="1"/>
  <c r="AR438" i="1"/>
  <c r="L570" i="3"/>
  <c r="AJ208" i="2"/>
  <c r="AI208" i="2"/>
  <c r="D572" i="3"/>
  <c r="N572" i="3"/>
  <c r="K572" i="3" s="1"/>
  <c r="G106" i="35"/>
  <c r="AO439" i="1"/>
  <c r="AP439" i="1" s="1"/>
  <c r="AM439" i="1"/>
  <c r="R470" i="3"/>
  <c r="AD471" i="3"/>
  <c r="AC471" i="3"/>
  <c r="AB203" i="2"/>
  <c r="U205" i="2"/>
  <c r="T205" i="2"/>
  <c r="G297" i="2"/>
  <c r="J297" i="2"/>
  <c r="K297" i="2" s="1"/>
  <c r="W470" i="3" l="1"/>
  <c r="AI470" i="3"/>
  <c r="V205" i="2"/>
  <c r="AW447" i="1"/>
  <c r="AY447" i="1"/>
  <c r="AZ447" i="1" s="1"/>
  <c r="BB447" i="1" s="1"/>
  <c r="L297" i="2"/>
  <c r="M572" i="3"/>
  <c r="L572" i="3"/>
  <c r="AL208" i="2"/>
  <c r="AM208" i="2" s="1"/>
  <c r="E106" i="35"/>
  <c r="AK208" i="2"/>
  <c r="AO440" i="1"/>
  <c r="AP440" i="1" s="1"/>
  <c r="AM440" i="1"/>
  <c r="AT439" i="1"/>
  <c r="AS439" i="1"/>
  <c r="AR439" i="1"/>
  <c r="D573" i="3"/>
  <c r="N573" i="3"/>
  <c r="K573" i="3" s="1"/>
  <c r="AE471" i="3"/>
  <c r="AF471" i="3" s="1"/>
  <c r="AA471" i="3"/>
  <c r="U471" i="3"/>
  <c r="T471" i="3"/>
  <c r="S205" i="2"/>
  <c r="G298" i="2"/>
  <c r="J298" i="2"/>
  <c r="K298" i="2" s="1"/>
  <c r="AD204" i="2"/>
  <c r="AC204" i="2"/>
  <c r="W205" i="2" l="1"/>
  <c r="AP205" i="2"/>
  <c r="AW448" i="1"/>
  <c r="AY448" i="1"/>
  <c r="AZ448" i="1" s="1"/>
  <c r="BB448" i="1" s="1"/>
  <c r="L298" i="2"/>
  <c r="M573" i="3"/>
  <c r="L573" i="3"/>
  <c r="V471" i="3"/>
  <c r="AE204" i="2"/>
  <c r="AF204" i="2" s="1"/>
  <c r="D574" i="3"/>
  <c r="N574" i="3"/>
  <c r="K574" i="3" s="1"/>
  <c r="AT440" i="1"/>
  <c r="AS440" i="1"/>
  <c r="AR440" i="1"/>
  <c r="AJ209" i="2"/>
  <c r="AI209" i="2"/>
  <c r="AO441" i="1"/>
  <c r="AP441" i="1" s="1"/>
  <c r="AM441" i="1"/>
  <c r="R471" i="3"/>
  <c r="AD472" i="3"/>
  <c r="AC472" i="3"/>
  <c r="AB204" i="2"/>
  <c r="J299" i="2"/>
  <c r="K299" i="2" s="1"/>
  <c r="G299" i="2"/>
  <c r="U206" i="2"/>
  <c r="T206" i="2"/>
  <c r="W471" i="3" l="1"/>
  <c r="AI471" i="3"/>
  <c r="AW449" i="1"/>
  <c r="AY449" i="1"/>
  <c r="AZ449" i="1" s="1"/>
  <c r="BB449" i="1" s="1"/>
  <c r="L299" i="2"/>
  <c r="M574" i="3"/>
  <c r="L574" i="3"/>
  <c r="V206" i="2"/>
  <c r="AL209" i="2"/>
  <c r="AM209" i="2" s="1"/>
  <c r="AE472" i="3"/>
  <c r="AF472" i="3" s="1"/>
  <c r="AK209" i="2"/>
  <c r="AO442" i="1"/>
  <c r="AP442" i="1" s="1"/>
  <c r="AM442" i="1"/>
  <c r="AT441" i="1"/>
  <c r="AS441" i="1"/>
  <c r="AR441" i="1"/>
  <c r="D575" i="3"/>
  <c r="N575" i="3"/>
  <c r="K575" i="3" s="1"/>
  <c r="AA472" i="3"/>
  <c r="U472" i="3"/>
  <c r="T472" i="3"/>
  <c r="AD205" i="2"/>
  <c r="AC205" i="2"/>
  <c r="S206" i="2"/>
  <c r="G300" i="2"/>
  <c r="J300" i="2"/>
  <c r="K300" i="2" s="1"/>
  <c r="W206" i="2" l="1"/>
  <c r="AP206" i="2"/>
  <c r="AE205" i="2"/>
  <c r="AF205" i="2" s="1"/>
  <c r="AW450" i="1"/>
  <c r="AY450" i="1"/>
  <c r="AZ450" i="1" s="1"/>
  <c r="BB450" i="1" s="1"/>
  <c r="L300" i="2"/>
  <c r="M575" i="3"/>
  <c r="L575" i="3"/>
  <c r="V472" i="3"/>
  <c r="N576" i="3"/>
  <c r="K576" i="3" s="1"/>
  <c r="D576" i="3"/>
  <c r="AO443" i="1"/>
  <c r="AP443" i="1" s="1"/>
  <c r="AM443" i="1"/>
  <c r="AT442" i="1"/>
  <c r="AS442" i="1"/>
  <c r="AR442" i="1"/>
  <c r="AJ210" i="2"/>
  <c r="AI210" i="2"/>
  <c r="R472" i="3"/>
  <c r="AD473" i="3"/>
  <c r="AC473" i="3"/>
  <c r="AB205" i="2"/>
  <c r="U207" i="2"/>
  <c r="T207" i="2"/>
  <c r="G301" i="2"/>
  <c r="J301" i="2"/>
  <c r="K301" i="2" s="1"/>
  <c r="W472" i="3" l="1"/>
  <c r="AI472" i="3"/>
  <c r="V207" i="2"/>
  <c r="AL210" i="2"/>
  <c r="AM210" i="2" s="1"/>
  <c r="AW451" i="1"/>
  <c r="AY451" i="1"/>
  <c r="AZ451" i="1" s="1"/>
  <c r="BB451" i="1" s="1"/>
  <c r="L301" i="2"/>
  <c r="L576" i="3"/>
  <c r="M576" i="3"/>
  <c r="AE473" i="3"/>
  <c r="AF473" i="3" s="1"/>
  <c r="AK210" i="2"/>
  <c r="AO444" i="1"/>
  <c r="AP444" i="1" s="1"/>
  <c r="AM444" i="1"/>
  <c r="AT443" i="1"/>
  <c r="AS443" i="1"/>
  <c r="AR443" i="1"/>
  <c r="D577" i="3"/>
  <c r="N577" i="3"/>
  <c r="K577" i="3" s="1"/>
  <c r="U473" i="3"/>
  <c r="T473" i="3"/>
  <c r="AA473" i="3"/>
  <c r="S207" i="2"/>
  <c r="G302" i="2"/>
  <c r="J302" i="2"/>
  <c r="K302" i="2" s="1"/>
  <c r="AD206" i="2"/>
  <c r="AC206" i="2"/>
  <c r="W207" i="2" l="1"/>
  <c r="AP207" i="2"/>
  <c r="V473" i="3"/>
  <c r="AW452" i="1"/>
  <c r="AY452" i="1"/>
  <c r="AZ452" i="1" s="1"/>
  <c r="BB452" i="1" s="1"/>
  <c r="L302" i="2"/>
  <c r="M577" i="3"/>
  <c r="L577" i="3"/>
  <c r="AE206" i="2"/>
  <c r="AF206" i="2" s="1"/>
  <c r="D578" i="3"/>
  <c r="N578" i="3"/>
  <c r="K578" i="3" s="1"/>
  <c r="AM445" i="1"/>
  <c r="AO445" i="1"/>
  <c r="AP445" i="1" s="1"/>
  <c r="AT444" i="1"/>
  <c r="AS444" i="1"/>
  <c r="AR444" i="1"/>
  <c r="AJ211" i="2"/>
  <c r="AI211" i="2"/>
  <c r="R473" i="3"/>
  <c r="AD474" i="3"/>
  <c r="AC474" i="3"/>
  <c r="J303" i="2"/>
  <c r="K303" i="2" s="1"/>
  <c r="G303" i="2"/>
  <c r="AB206" i="2"/>
  <c r="U208" i="2"/>
  <c r="T208" i="2"/>
  <c r="W473" i="3" l="1"/>
  <c r="AI473" i="3"/>
  <c r="AW453" i="1"/>
  <c r="AY453" i="1"/>
  <c r="AZ453" i="1" s="1"/>
  <c r="BB453" i="1" s="1"/>
  <c r="L303" i="2"/>
  <c r="M578" i="3"/>
  <c r="L578" i="3"/>
  <c r="AE474" i="3"/>
  <c r="AF474" i="3" s="1"/>
  <c r="V208" i="2"/>
  <c r="AL211" i="2"/>
  <c r="AM211" i="2" s="1"/>
  <c r="AK211" i="2"/>
  <c r="AJ212" i="2" s="1"/>
  <c r="AT445" i="1"/>
  <c r="AS445" i="1"/>
  <c r="AR445" i="1"/>
  <c r="AO446" i="1"/>
  <c r="AP446" i="1" s="1"/>
  <c r="AM446" i="1"/>
  <c r="D579" i="3"/>
  <c r="N579" i="3"/>
  <c r="K579" i="3" s="1"/>
  <c r="AA474" i="3"/>
  <c r="U474" i="3"/>
  <c r="T474" i="3"/>
  <c r="AD207" i="2"/>
  <c r="AC207" i="2"/>
  <c r="G304" i="2"/>
  <c r="J304" i="2"/>
  <c r="K304" i="2" s="1"/>
  <c r="S208" i="2"/>
  <c r="W208" i="2" l="1"/>
  <c r="AP208" i="2"/>
  <c r="V474" i="3"/>
  <c r="AW454" i="1"/>
  <c r="AY454" i="1"/>
  <c r="AZ454" i="1" s="1"/>
  <c r="BB454" i="1" s="1"/>
  <c r="AI212" i="2"/>
  <c r="AK212" i="2" s="1"/>
  <c r="L304" i="2"/>
  <c r="M579" i="3"/>
  <c r="L579" i="3"/>
  <c r="AT446" i="1"/>
  <c r="AS446" i="1"/>
  <c r="AR446" i="1"/>
  <c r="AO447" i="1"/>
  <c r="AP447" i="1" s="1"/>
  <c r="AM447" i="1"/>
  <c r="AE207" i="2"/>
  <c r="AF207" i="2" s="1"/>
  <c r="N580" i="3"/>
  <c r="K580" i="3" s="1"/>
  <c r="D580" i="3"/>
  <c r="R474" i="3"/>
  <c r="AD475" i="3"/>
  <c r="AC475" i="3"/>
  <c r="U209" i="2"/>
  <c r="T209" i="2"/>
  <c r="G305" i="2"/>
  <c r="J305" i="2"/>
  <c r="K305" i="2" s="1"/>
  <c r="AB207" i="2"/>
  <c r="W474" i="3" l="1"/>
  <c r="AI474" i="3"/>
  <c r="AL212" i="2"/>
  <c r="AM212" i="2" s="1"/>
  <c r="V209" i="2"/>
  <c r="AW455" i="1"/>
  <c r="AY455" i="1"/>
  <c r="AZ455" i="1" s="1"/>
  <c r="BB455" i="1" s="1"/>
  <c r="L305" i="2"/>
  <c r="M580" i="3"/>
  <c r="L580" i="3"/>
  <c r="AE475" i="3"/>
  <c r="AF475" i="3" s="1"/>
  <c r="D581" i="3"/>
  <c r="N581" i="3"/>
  <c r="K581" i="3" s="1"/>
  <c r="AJ213" i="2"/>
  <c r="AI213" i="2"/>
  <c r="AT447" i="1"/>
  <c r="AR447" i="1"/>
  <c r="AS447" i="1"/>
  <c r="AO448" i="1"/>
  <c r="AP448" i="1" s="1"/>
  <c r="AM448" i="1"/>
  <c r="AA475" i="3"/>
  <c r="U475" i="3"/>
  <c r="T475" i="3"/>
  <c r="AD208" i="2"/>
  <c r="AC208" i="2"/>
  <c r="S209" i="2"/>
  <c r="G306" i="2"/>
  <c r="J306" i="2"/>
  <c r="K306" i="2" s="1"/>
  <c r="W209" i="2" l="1"/>
  <c r="AP209" i="2"/>
  <c r="AE208" i="2"/>
  <c r="AF208" i="2" s="1"/>
  <c r="AW456" i="1"/>
  <c r="AY456" i="1"/>
  <c r="AZ456" i="1" s="1"/>
  <c r="BB456" i="1" s="1"/>
  <c r="AL213" i="2"/>
  <c r="AM213" i="2" s="1"/>
  <c r="V475" i="3"/>
  <c r="L306" i="2"/>
  <c r="M581" i="3"/>
  <c r="L581" i="3"/>
  <c r="AK213" i="2"/>
  <c r="AM449" i="1"/>
  <c r="AO449" i="1"/>
  <c r="AP449" i="1" s="1"/>
  <c r="AT448" i="1"/>
  <c r="AS448" i="1"/>
  <c r="AR448" i="1"/>
  <c r="D582" i="3"/>
  <c r="N582" i="3"/>
  <c r="K582" i="3" s="1"/>
  <c r="R475" i="3"/>
  <c r="AD476" i="3"/>
  <c r="AC476" i="3"/>
  <c r="U210" i="2"/>
  <c r="T210" i="2"/>
  <c r="J307" i="2"/>
  <c r="K307" i="2" s="1"/>
  <c r="G307" i="2"/>
  <c r="AB208" i="2"/>
  <c r="W475" i="3" l="1"/>
  <c r="AI475" i="3"/>
  <c r="AW457" i="1"/>
  <c r="AY457" i="1"/>
  <c r="AZ457" i="1" s="1"/>
  <c r="BB457" i="1" s="1"/>
  <c r="L307" i="2"/>
  <c r="AE476" i="3"/>
  <c r="AF476" i="3" s="1"/>
  <c r="M582" i="3"/>
  <c r="V210" i="2"/>
  <c r="D583" i="3"/>
  <c r="N583" i="3"/>
  <c r="K583" i="3" s="1"/>
  <c r="AT449" i="1"/>
  <c r="AS449" i="1"/>
  <c r="AR449" i="1"/>
  <c r="AO450" i="1"/>
  <c r="AP450" i="1" s="1"/>
  <c r="AM450" i="1"/>
  <c r="AJ214" i="2"/>
  <c r="AI214" i="2"/>
  <c r="AA476" i="3"/>
  <c r="U476" i="3"/>
  <c r="T476" i="3"/>
  <c r="AD209" i="2"/>
  <c r="AC209" i="2"/>
  <c r="G308" i="2"/>
  <c r="J308" i="2"/>
  <c r="K308" i="2" s="1"/>
  <c r="S210" i="2"/>
  <c r="W210" i="2" l="1"/>
  <c r="AP210" i="2"/>
  <c r="AE209" i="2"/>
  <c r="AF209" i="2" s="1"/>
  <c r="AL214" i="2"/>
  <c r="AM214" i="2" s="1"/>
  <c r="AW458" i="1"/>
  <c r="AY458" i="1"/>
  <c r="AZ458" i="1" s="1"/>
  <c r="BB458" i="1" s="1"/>
  <c r="L308" i="2"/>
  <c r="L583" i="3"/>
  <c r="M583" i="3"/>
  <c r="C107" i="35" s="1"/>
  <c r="G107" i="35"/>
  <c r="N584" i="3"/>
  <c r="K584" i="3" s="1"/>
  <c r="D584" i="3"/>
  <c r="AK214" i="2"/>
  <c r="D107" i="35"/>
  <c r="AT450" i="1"/>
  <c r="AS450" i="1"/>
  <c r="AR450" i="1"/>
  <c r="V476" i="3"/>
  <c r="AO451" i="1"/>
  <c r="AP451" i="1" s="1"/>
  <c r="AM451" i="1"/>
  <c r="L582" i="3"/>
  <c r="R476" i="3"/>
  <c r="AD477" i="3"/>
  <c r="AC477" i="3"/>
  <c r="AB209" i="2"/>
  <c r="G309" i="2"/>
  <c r="J309" i="2"/>
  <c r="K309" i="2" s="1"/>
  <c r="U211" i="2"/>
  <c r="T211" i="2"/>
  <c r="W476" i="3" l="1"/>
  <c r="AI476" i="3"/>
  <c r="AW459" i="1"/>
  <c r="AY459" i="1"/>
  <c r="AZ459" i="1" s="1"/>
  <c r="BB459" i="1" s="1"/>
  <c r="L309" i="2"/>
  <c r="AE477" i="3"/>
  <c r="AF477" i="3" s="1"/>
  <c r="M584" i="3"/>
  <c r="L584" i="3"/>
  <c r="V211" i="2"/>
  <c r="E107" i="35"/>
  <c r="AJ215" i="2"/>
  <c r="AI215" i="2"/>
  <c r="AO452" i="1"/>
  <c r="AP452" i="1" s="1"/>
  <c r="AM452" i="1"/>
  <c r="D585" i="3"/>
  <c r="N585" i="3"/>
  <c r="K585" i="3" s="1"/>
  <c r="AT451" i="1"/>
  <c r="AR451" i="1"/>
  <c r="AS451" i="1"/>
  <c r="AA477" i="3"/>
  <c r="U477" i="3"/>
  <c r="T477" i="3"/>
  <c r="J310" i="2"/>
  <c r="K310" i="2" s="1"/>
  <c r="G310" i="2"/>
  <c r="S211" i="2"/>
  <c r="AD210" i="2"/>
  <c r="AC210" i="2"/>
  <c r="W211" i="2" l="1"/>
  <c r="AP211" i="2"/>
  <c r="AW460" i="1"/>
  <c r="AY460" i="1"/>
  <c r="AZ460" i="1" s="1"/>
  <c r="BB460" i="1" s="1"/>
  <c r="AL215" i="2"/>
  <c r="AM215" i="2" s="1"/>
  <c r="L310" i="2"/>
  <c r="M585" i="3"/>
  <c r="L585" i="3"/>
  <c r="V477" i="3"/>
  <c r="AE210" i="2"/>
  <c r="AF210" i="2" s="1"/>
  <c r="D586" i="3"/>
  <c r="N586" i="3"/>
  <c r="K586" i="3" s="1"/>
  <c r="AM453" i="1"/>
  <c r="AO453" i="1"/>
  <c r="AP453" i="1" s="1"/>
  <c r="AT452" i="1"/>
  <c r="AS452" i="1"/>
  <c r="AR452" i="1"/>
  <c r="AK215" i="2"/>
  <c r="R477" i="3"/>
  <c r="AD478" i="3"/>
  <c r="AC478" i="3"/>
  <c r="U212" i="2"/>
  <c r="T212" i="2"/>
  <c r="J311" i="2"/>
  <c r="K311" i="2" s="1"/>
  <c r="G311" i="2"/>
  <c r="AB210" i="2"/>
  <c r="W477" i="3" l="1"/>
  <c r="AI477" i="3"/>
  <c r="V212" i="2"/>
  <c r="AW461" i="1"/>
  <c r="AY461" i="1"/>
  <c r="AZ461" i="1" s="1"/>
  <c r="BB461" i="1" s="1"/>
  <c r="L311" i="2"/>
  <c r="M586" i="3"/>
  <c r="L586" i="3"/>
  <c r="AE478" i="3"/>
  <c r="AF478" i="3" s="1"/>
  <c r="AJ216" i="2"/>
  <c r="AI216" i="2"/>
  <c r="AT453" i="1"/>
  <c r="AS453" i="1"/>
  <c r="AR453" i="1"/>
  <c r="AO454" i="1"/>
  <c r="AP454" i="1" s="1"/>
  <c r="AM454" i="1"/>
  <c r="D587" i="3"/>
  <c r="N587" i="3"/>
  <c r="K587" i="3" s="1"/>
  <c r="AA478" i="3"/>
  <c r="U478" i="3"/>
  <c r="T478" i="3"/>
  <c r="S212" i="2"/>
  <c r="AD211" i="2"/>
  <c r="AC211" i="2"/>
  <c r="G312" i="2"/>
  <c r="J312" i="2"/>
  <c r="K312" i="2" s="1"/>
  <c r="W212" i="2" l="1"/>
  <c r="AP212" i="2"/>
  <c r="AL216" i="2"/>
  <c r="AM216" i="2" s="1"/>
  <c r="AW462" i="1"/>
  <c r="AY462" i="1"/>
  <c r="AZ462" i="1" s="1"/>
  <c r="BB462" i="1" s="1"/>
  <c r="L312" i="2"/>
  <c r="M587" i="3"/>
  <c r="L587" i="3"/>
  <c r="AE211" i="2"/>
  <c r="AF211" i="2" s="1"/>
  <c r="V478" i="3"/>
  <c r="AT454" i="1"/>
  <c r="AS454" i="1"/>
  <c r="AR454" i="1"/>
  <c r="AO455" i="1"/>
  <c r="AP455" i="1" s="1"/>
  <c r="AM455" i="1"/>
  <c r="D588" i="3"/>
  <c r="N588" i="3"/>
  <c r="K588" i="3" s="1"/>
  <c r="AK216" i="2"/>
  <c r="AD479" i="3"/>
  <c r="AC479" i="3"/>
  <c r="R478" i="3"/>
  <c r="AB211" i="2"/>
  <c r="G313" i="2"/>
  <c r="J313" i="2"/>
  <c r="K313" i="2" s="1"/>
  <c r="U213" i="2"/>
  <c r="T213" i="2"/>
  <c r="W478" i="3" l="1"/>
  <c r="AI478" i="3"/>
  <c r="AE479" i="3"/>
  <c r="AF479" i="3" s="1"/>
  <c r="AN28" i="1"/>
  <c r="AN29" i="1" s="1"/>
  <c r="AN30" i="1"/>
  <c r="L313" i="2"/>
  <c r="M588" i="3"/>
  <c r="L588" i="3"/>
  <c r="V213" i="2"/>
  <c r="D589" i="3"/>
  <c r="N589" i="3"/>
  <c r="K589" i="3" s="1"/>
  <c r="AO456" i="1"/>
  <c r="AP456" i="1" s="1"/>
  <c r="AM456" i="1"/>
  <c r="AJ217" i="2"/>
  <c r="AI217" i="2"/>
  <c r="AT455" i="1"/>
  <c r="AR455" i="1"/>
  <c r="AS455" i="1"/>
  <c r="AA479" i="3"/>
  <c r="U479" i="3"/>
  <c r="T479" i="3"/>
  <c r="S213" i="2"/>
  <c r="J314" i="2"/>
  <c r="K314" i="2" s="1"/>
  <c r="G314" i="2"/>
  <c r="AD212" i="2"/>
  <c r="AC212" i="2"/>
  <c r="W213" i="2" l="1"/>
  <c r="AP213" i="2"/>
  <c r="AL217" i="2"/>
  <c r="AM217" i="2" s="1"/>
  <c r="L314" i="2"/>
  <c r="L589" i="3"/>
  <c r="M589" i="3"/>
  <c r="V479" i="3"/>
  <c r="AE212" i="2"/>
  <c r="AF212" i="2" s="1"/>
  <c r="AK217" i="2"/>
  <c r="AM457" i="1"/>
  <c r="AO457" i="1"/>
  <c r="AP457" i="1" s="1"/>
  <c r="AT456" i="1"/>
  <c r="AS456" i="1"/>
  <c r="AR456" i="1"/>
  <c r="D590" i="3"/>
  <c r="N590" i="3"/>
  <c r="K590" i="3" s="1"/>
  <c r="AD480" i="3"/>
  <c r="AC480" i="3"/>
  <c r="R479" i="3"/>
  <c r="G315" i="2"/>
  <c r="J315" i="2"/>
  <c r="K315" i="2" s="1"/>
  <c r="AB212" i="2"/>
  <c r="U214" i="2"/>
  <c r="T214" i="2"/>
  <c r="W479" i="3" l="1"/>
  <c r="AI479" i="3"/>
  <c r="AE480" i="3"/>
  <c r="AF480" i="3" s="1"/>
  <c r="L315" i="2"/>
  <c r="M590" i="3"/>
  <c r="L590" i="3"/>
  <c r="V214" i="2"/>
  <c r="AT457" i="1"/>
  <c r="AS457" i="1"/>
  <c r="AR457" i="1"/>
  <c r="AO458" i="1"/>
  <c r="AP458" i="1" s="1"/>
  <c r="AM458" i="1"/>
  <c r="N591" i="3"/>
  <c r="K591" i="3" s="1"/>
  <c r="D591" i="3"/>
  <c r="AJ218" i="2"/>
  <c r="AI218" i="2"/>
  <c r="U480" i="3"/>
  <c r="T480" i="3"/>
  <c r="AA480" i="3"/>
  <c r="G316" i="2"/>
  <c r="J316" i="2"/>
  <c r="K316" i="2" s="1"/>
  <c r="S214" i="2"/>
  <c r="AD213" i="2"/>
  <c r="AC213" i="2"/>
  <c r="W214" i="2" l="1"/>
  <c r="AP214" i="2"/>
  <c r="AE213" i="2"/>
  <c r="AF213" i="2" s="1"/>
  <c r="AL218" i="2"/>
  <c r="AM218" i="2" s="1"/>
  <c r="L316" i="2"/>
  <c r="M591" i="3"/>
  <c r="L591" i="3"/>
  <c r="AK218" i="2"/>
  <c r="AI219" i="2" s="1"/>
  <c r="V480" i="3"/>
  <c r="AO459" i="1"/>
  <c r="AP459" i="1" s="1"/>
  <c r="AM459" i="1"/>
  <c r="AT458" i="1"/>
  <c r="AS458" i="1"/>
  <c r="AR458" i="1"/>
  <c r="N592" i="3"/>
  <c r="K592" i="3" s="1"/>
  <c r="D592" i="3"/>
  <c r="AD481" i="3"/>
  <c r="AC481" i="3"/>
  <c r="R480" i="3"/>
  <c r="U215" i="2"/>
  <c r="T215" i="2"/>
  <c r="AB213" i="2"/>
  <c r="G317" i="2"/>
  <c r="J317" i="2"/>
  <c r="K317" i="2" s="1"/>
  <c r="W480" i="3" l="1"/>
  <c r="AI480" i="3"/>
  <c r="AJ219" i="2"/>
  <c r="AL219" i="2" s="1"/>
  <c r="AM219" i="2" s="1"/>
  <c r="V215" i="2"/>
  <c r="L317" i="2"/>
  <c r="M592" i="3"/>
  <c r="L592" i="3"/>
  <c r="AE481" i="3"/>
  <c r="AF481" i="3" s="1"/>
  <c r="AO460" i="1"/>
  <c r="AP460" i="1" s="1"/>
  <c r="AM460" i="1"/>
  <c r="AT459" i="1"/>
  <c r="AR459" i="1"/>
  <c r="AS459" i="1"/>
  <c r="D593" i="3"/>
  <c r="N593" i="3"/>
  <c r="K593" i="3" s="1"/>
  <c r="AK219" i="2"/>
  <c r="U481" i="3"/>
  <c r="T481" i="3"/>
  <c r="AA481" i="3"/>
  <c r="AD214" i="2"/>
  <c r="AC214" i="2"/>
  <c r="S215" i="2"/>
  <c r="J318" i="2"/>
  <c r="K318" i="2" s="1"/>
  <c r="G318" i="2"/>
  <c r="W215" i="2" l="1"/>
  <c r="AP215" i="2"/>
  <c r="L318" i="2"/>
  <c r="V481" i="3"/>
  <c r="M593" i="3"/>
  <c r="L593" i="3"/>
  <c r="AE214" i="2"/>
  <c r="AF214" i="2" s="1"/>
  <c r="AJ220" i="2"/>
  <c r="AI220" i="2"/>
  <c r="N594" i="3"/>
  <c r="K594" i="3" s="1"/>
  <c r="D594" i="3"/>
  <c r="AM461" i="1"/>
  <c r="AO461" i="1"/>
  <c r="AP461" i="1" s="1"/>
  <c r="AT460" i="1"/>
  <c r="AS460" i="1"/>
  <c r="AR460" i="1"/>
  <c r="AD482" i="3"/>
  <c r="AC482" i="3"/>
  <c r="R481" i="3"/>
  <c r="G319" i="2"/>
  <c r="J319" i="2"/>
  <c r="K319" i="2" s="1"/>
  <c r="AB214" i="2"/>
  <c r="U216" i="2"/>
  <c r="T216" i="2"/>
  <c r="W481" i="3" l="1"/>
  <c r="AI481" i="3"/>
  <c r="AL220" i="2"/>
  <c r="AM220" i="2" s="1"/>
  <c r="AE482" i="3"/>
  <c r="AF482" i="3" s="1"/>
  <c r="L319" i="2"/>
  <c r="M594" i="3"/>
  <c r="V216" i="2"/>
  <c r="AT461" i="1"/>
  <c r="AS461" i="1"/>
  <c r="AR461" i="1"/>
  <c r="AO462" i="1"/>
  <c r="AP462" i="1" s="1"/>
  <c r="AM462" i="1"/>
  <c r="D595" i="3"/>
  <c r="N595" i="3"/>
  <c r="K595" i="3" s="1"/>
  <c r="AK220" i="2"/>
  <c r="U482" i="3"/>
  <c r="T482" i="3"/>
  <c r="R482" i="3" s="1"/>
  <c r="AA482" i="3"/>
  <c r="S216" i="2"/>
  <c r="AD215" i="2"/>
  <c r="AC215" i="2"/>
  <c r="G320" i="2"/>
  <c r="J320" i="2"/>
  <c r="K320" i="2" s="1"/>
  <c r="W216" i="2" l="1"/>
  <c r="AP216" i="2"/>
  <c r="AE215" i="2"/>
  <c r="AF215" i="2" s="1"/>
  <c r="L320" i="2"/>
  <c r="M595" i="3"/>
  <c r="C108" i="35" s="1"/>
  <c r="L595" i="3"/>
  <c r="L594" i="3"/>
  <c r="N596" i="3"/>
  <c r="K596" i="3" s="1"/>
  <c r="G108" i="35"/>
  <c r="D596" i="3"/>
  <c r="AT462" i="1"/>
  <c r="AJ43" i="1" s="1"/>
  <c r="AS462" i="1"/>
  <c r="AK43" i="1" s="1"/>
  <c r="AR462" i="1"/>
  <c r="AJ221" i="2"/>
  <c r="AI221" i="2"/>
  <c r="D108" i="35"/>
  <c r="U483" i="3"/>
  <c r="T483" i="3"/>
  <c r="AD483" i="3"/>
  <c r="AC483" i="3"/>
  <c r="V482" i="3"/>
  <c r="AB215" i="2"/>
  <c r="G321" i="2"/>
  <c r="J321" i="2"/>
  <c r="K321" i="2" s="1"/>
  <c r="U217" i="2"/>
  <c r="T217" i="2"/>
  <c r="W482" i="3" l="1"/>
  <c r="AI482" i="3"/>
  <c r="AN27" i="1"/>
  <c r="AN25" i="1"/>
  <c r="AL221" i="2"/>
  <c r="AM221" i="2" s="1"/>
  <c r="AI43" i="1"/>
  <c r="L321" i="2"/>
  <c r="M596" i="3"/>
  <c r="L596" i="3"/>
  <c r="AE483" i="3"/>
  <c r="AF483" i="3" s="1"/>
  <c r="V483" i="3"/>
  <c r="D597" i="3"/>
  <c r="N597" i="3"/>
  <c r="K597" i="3" s="1"/>
  <c r="E108" i="35"/>
  <c r="V217" i="2"/>
  <c r="AK221" i="2"/>
  <c r="AA483" i="3"/>
  <c r="R483" i="3"/>
  <c r="J322" i="2"/>
  <c r="K322" i="2" s="1"/>
  <c r="G322" i="2"/>
  <c r="AD216" i="2"/>
  <c r="AC216" i="2"/>
  <c r="S217" i="2"/>
  <c r="B12" i="34" l="1"/>
  <c r="W483" i="3"/>
  <c r="AI483" i="3"/>
  <c r="AP217" i="2"/>
  <c r="W217" i="2"/>
  <c r="AN26" i="1"/>
  <c r="L322" i="2"/>
  <c r="L597" i="3"/>
  <c r="M597" i="3"/>
  <c r="AE216" i="2"/>
  <c r="AF216" i="2" s="1"/>
  <c r="AJ222" i="2"/>
  <c r="AI222" i="2"/>
  <c r="N598" i="3"/>
  <c r="K598" i="3" s="1"/>
  <c r="D598" i="3"/>
  <c r="U484" i="3"/>
  <c r="T484" i="3"/>
  <c r="R484" i="3" s="1"/>
  <c r="AD484" i="3"/>
  <c r="AC484" i="3"/>
  <c r="U218" i="2"/>
  <c r="T218" i="2"/>
  <c r="AB216" i="2"/>
  <c r="G323" i="2"/>
  <c r="J323" i="2"/>
  <c r="K323" i="2" s="1"/>
  <c r="V218" i="2" l="1"/>
  <c r="L323" i="2"/>
  <c r="L598" i="3"/>
  <c r="M598" i="3"/>
  <c r="AL222" i="2"/>
  <c r="AM222" i="2" s="1"/>
  <c r="AE484" i="3"/>
  <c r="AF484" i="3" s="1"/>
  <c r="D599" i="3"/>
  <c r="N599" i="3"/>
  <c r="K599" i="3" s="1"/>
  <c r="AK222" i="2"/>
  <c r="U485" i="3"/>
  <c r="T485" i="3"/>
  <c r="AA484" i="3"/>
  <c r="V484" i="3"/>
  <c r="AD217" i="2"/>
  <c r="AC217" i="2"/>
  <c r="G324" i="2"/>
  <c r="J324" i="2"/>
  <c r="K324" i="2" s="1"/>
  <c r="S218" i="2"/>
  <c r="W484" i="3" l="1"/>
  <c r="AI484" i="3"/>
  <c r="W218" i="2"/>
  <c r="AP218" i="2"/>
  <c r="V485" i="3"/>
  <c r="L324" i="2"/>
  <c r="M599" i="3"/>
  <c r="L599" i="3"/>
  <c r="AE217" i="2"/>
  <c r="AF217" i="2" s="1"/>
  <c r="AJ223" i="2"/>
  <c r="AI223" i="2"/>
  <c r="D600" i="3"/>
  <c r="N600" i="3"/>
  <c r="K600" i="3" s="1"/>
  <c r="R485" i="3"/>
  <c r="AD485" i="3"/>
  <c r="AC485" i="3"/>
  <c r="AB217" i="2"/>
  <c r="G325" i="2"/>
  <c r="J325" i="2"/>
  <c r="K325" i="2" s="1"/>
  <c r="U219" i="2"/>
  <c r="T219" i="2"/>
  <c r="W485" i="3" l="1"/>
  <c r="AI485" i="3"/>
  <c r="AL223" i="2"/>
  <c r="AM223" i="2" s="1"/>
  <c r="AE485" i="3"/>
  <c r="AF485" i="3" s="1"/>
  <c r="L325" i="2"/>
  <c r="L600" i="3"/>
  <c r="M600" i="3"/>
  <c r="V219" i="2"/>
  <c r="N601" i="3"/>
  <c r="K601" i="3" s="1"/>
  <c r="D601" i="3"/>
  <c r="AK223" i="2"/>
  <c r="AA485" i="3"/>
  <c r="U486" i="3"/>
  <c r="T486" i="3"/>
  <c r="J326" i="2"/>
  <c r="K326" i="2" s="1"/>
  <c r="G326" i="2"/>
  <c r="AD218" i="2"/>
  <c r="AC218" i="2"/>
  <c r="S219" i="2"/>
  <c r="AP219" i="2" l="1"/>
  <c r="W219" i="2"/>
  <c r="L326" i="2"/>
  <c r="V486" i="3"/>
  <c r="M601" i="3"/>
  <c r="L601" i="3"/>
  <c r="AE218" i="2"/>
  <c r="AF218" i="2" s="1"/>
  <c r="AJ224" i="2"/>
  <c r="AI224" i="2"/>
  <c r="D602" i="3"/>
  <c r="N602" i="3"/>
  <c r="K602" i="3" s="1"/>
  <c r="AD486" i="3"/>
  <c r="AC486" i="3"/>
  <c r="R486" i="3"/>
  <c r="AB218" i="2"/>
  <c r="U220" i="2"/>
  <c r="T220" i="2"/>
  <c r="G327" i="2"/>
  <c r="J327" i="2"/>
  <c r="K327" i="2" s="1"/>
  <c r="W486" i="3" l="1"/>
  <c r="AI486" i="3"/>
  <c r="AE486" i="3"/>
  <c r="AF486" i="3" s="1"/>
  <c r="AL224" i="2"/>
  <c r="AM224" i="2" s="1"/>
  <c r="L327" i="2"/>
  <c r="M602" i="3"/>
  <c r="L602" i="3"/>
  <c r="V220" i="2"/>
  <c r="N603" i="3"/>
  <c r="K603" i="3" s="1"/>
  <c r="D603" i="3"/>
  <c r="AK224" i="2"/>
  <c r="AA486" i="3"/>
  <c r="U487" i="3"/>
  <c r="T487" i="3"/>
  <c r="S220" i="2"/>
  <c r="G328" i="2"/>
  <c r="J328" i="2"/>
  <c r="K328" i="2" s="1"/>
  <c r="AD219" i="2"/>
  <c r="AC219" i="2"/>
  <c r="W220" i="2" l="1"/>
  <c r="AP220" i="2"/>
  <c r="V487" i="3"/>
  <c r="AE219" i="2"/>
  <c r="AF219" i="2" s="1"/>
  <c r="L328" i="2"/>
  <c r="M603" i="3"/>
  <c r="L603" i="3"/>
  <c r="AJ225" i="2"/>
  <c r="AI225" i="2"/>
  <c r="D604" i="3"/>
  <c r="N604" i="3"/>
  <c r="K604" i="3" s="1"/>
  <c r="R487" i="3"/>
  <c r="AD487" i="3"/>
  <c r="AC487" i="3"/>
  <c r="AB219" i="2"/>
  <c r="G329" i="2"/>
  <c r="J329" i="2"/>
  <c r="K329" i="2" s="1"/>
  <c r="U221" i="2"/>
  <c r="T221" i="2"/>
  <c r="W487" i="3" l="1"/>
  <c r="AI487" i="3"/>
  <c r="AL225" i="2"/>
  <c r="AM225" i="2" s="1"/>
  <c r="AE487" i="3"/>
  <c r="AF487" i="3" s="1"/>
  <c r="L329" i="2"/>
  <c r="L604" i="3"/>
  <c r="M604" i="3"/>
  <c r="V221" i="2"/>
  <c r="N605" i="3"/>
  <c r="K605" i="3" s="1"/>
  <c r="D605" i="3"/>
  <c r="AK225" i="2"/>
  <c r="AA487" i="3"/>
  <c r="U488" i="3"/>
  <c r="T488" i="3"/>
  <c r="R488" i="3" s="1"/>
  <c r="S221" i="2"/>
  <c r="J330" i="2"/>
  <c r="K330" i="2" s="1"/>
  <c r="G330" i="2"/>
  <c r="AD220" i="2"/>
  <c r="AC220" i="2"/>
  <c r="W221" i="2" l="1"/>
  <c r="AP221" i="2"/>
  <c r="L330" i="2"/>
  <c r="L605" i="3"/>
  <c r="M605" i="3"/>
  <c r="AE220" i="2"/>
  <c r="AF220" i="2" s="1"/>
  <c r="AJ226" i="2"/>
  <c r="AI226" i="2"/>
  <c r="D606" i="3"/>
  <c r="N606" i="3"/>
  <c r="K606" i="3" s="1"/>
  <c r="U489" i="3"/>
  <c r="T489" i="3"/>
  <c r="AD488" i="3"/>
  <c r="AC488" i="3"/>
  <c r="V488" i="3"/>
  <c r="AB220" i="2"/>
  <c r="U222" i="2"/>
  <c r="T222" i="2"/>
  <c r="G331" i="2"/>
  <c r="J331" i="2"/>
  <c r="K331" i="2" s="1"/>
  <c r="W488" i="3" l="1"/>
  <c r="AI488" i="3"/>
  <c r="AL226" i="2"/>
  <c r="AM226" i="2" s="1"/>
  <c r="L331" i="2"/>
  <c r="V489" i="3"/>
  <c r="M606" i="3"/>
  <c r="AE488" i="3"/>
  <c r="AF488" i="3" s="1"/>
  <c r="V222" i="2"/>
  <c r="AA488" i="3"/>
  <c r="AC489" i="3" s="1"/>
  <c r="D607" i="3"/>
  <c r="N607" i="3"/>
  <c r="K607" i="3" s="1"/>
  <c r="AK226" i="2"/>
  <c r="R489" i="3"/>
  <c r="S222" i="2"/>
  <c r="G332" i="2"/>
  <c r="J332" i="2"/>
  <c r="K332" i="2" s="1"/>
  <c r="AD221" i="2"/>
  <c r="AC221" i="2"/>
  <c r="W489" i="3" l="1"/>
  <c r="AI489" i="3"/>
  <c r="W222" i="2"/>
  <c r="AP222" i="2"/>
  <c r="L332" i="2"/>
  <c r="L607" i="3"/>
  <c r="M607" i="3"/>
  <c r="C109" i="35" s="1"/>
  <c r="AD489" i="3"/>
  <c r="AE489" i="3" s="1"/>
  <c r="AF489" i="3" s="1"/>
  <c r="AE221" i="2"/>
  <c r="AF221" i="2" s="1"/>
  <c r="D109" i="35"/>
  <c r="AJ227" i="2"/>
  <c r="AI227" i="2"/>
  <c r="N608" i="3"/>
  <c r="K608" i="3" s="1"/>
  <c r="D608" i="3"/>
  <c r="G109" i="35"/>
  <c r="L606" i="3"/>
  <c r="AA489" i="3"/>
  <c r="U490" i="3"/>
  <c r="T490" i="3"/>
  <c r="G333" i="2"/>
  <c r="J333" i="2"/>
  <c r="K333" i="2" s="1"/>
  <c r="AB221" i="2"/>
  <c r="U223" i="2"/>
  <c r="T223" i="2"/>
  <c r="V490" i="3" l="1"/>
  <c r="AL227" i="2"/>
  <c r="AM227" i="2" s="1"/>
  <c r="L333" i="2"/>
  <c r="E109" i="35"/>
  <c r="M608" i="3"/>
  <c r="L608" i="3"/>
  <c r="V223" i="2"/>
  <c r="D609" i="3"/>
  <c r="N609" i="3"/>
  <c r="K609" i="3" s="1"/>
  <c r="AK227" i="2"/>
  <c r="R490" i="3"/>
  <c r="AD490" i="3"/>
  <c r="AC490" i="3"/>
  <c r="S223" i="2"/>
  <c r="J334" i="2"/>
  <c r="K334" i="2" s="1"/>
  <c r="G334" i="2"/>
  <c r="AD222" i="2"/>
  <c r="AC222" i="2"/>
  <c r="W490" i="3" l="1"/>
  <c r="AI490" i="3"/>
  <c r="W223" i="2"/>
  <c r="AP223" i="2"/>
  <c r="AE222" i="2"/>
  <c r="AF222" i="2" s="1"/>
  <c r="L334" i="2"/>
  <c r="L609" i="3"/>
  <c r="M609" i="3"/>
  <c r="AE490" i="3"/>
  <c r="AF490" i="3" s="1"/>
  <c r="AJ228" i="2"/>
  <c r="AI228" i="2"/>
  <c r="D610" i="3"/>
  <c r="N610" i="3"/>
  <c r="K610" i="3" s="1"/>
  <c r="AA490" i="3"/>
  <c r="U491" i="3"/>
  <c r="T491" i="3"/>
  <c r="AB222" i="2"/>
  <c r="G335" i="2"/>
  <c r="J335" i="2"/>
  <c r="K335" i="2" s="1"/>
  <c r="U224" i="2"/>
  <c r="T224" i="2"/>
  <c r="AL228" i="2" l="1"/>
  <c r="AM228" i="2" s="1"/>
  <c r="L335" i="2"/>
  <c r="M610" i="3"/>
  <c r="L610" i="3"/>
  <c r="V224" i="2"/>
  <c r="V491" i="3"/>
  <c r="D611" i="3"/>
  <c r="N611" i="3"/>
  <c r="K611" i="3" s="1"/>
  <c r="AK228" i="2"/>
  <c r="AD491" i="3"/>
  <c r="AC491" i="3"/>
  <c r="R491" i="3"/>
  <c r="AD223" i="2"/>
  <c r="AC223" i="2"/>
  <c r="S224" i="2"/>
  <c r="G336" i="2"/>
  <c r="J336" i="2"/>
  <c r="K336" i="2" s="1"/>
  <c r="W491" i="3" l="1"/>
  <c r="AI491" i="3"/>
  <c r="W224" i="2"/>
  <c r="AP224" i="2"/>
  <c r="L336" i="2"/>
  <c r="M611" i="3"/>
  <c r="L611" i="3"/>
  <c r="AE223" i="2"/>
  <c r="AF223" i="2" s="1"/>
  <c r="AE491" i="3"/>
  <c r="AF491" i="3" s="1"/>
  <c r="AJ229" i="2"/>
  <c r="AI229" i="2"/>
  <c r="N612" i="3"/>
  <c r="K612" i="3" s="1"/>
  <c r="D612" i="3"/>
  <c r="AA491" i="3"/>
  <c r="U492" i="3"/>
  <c r="T492" i="3"/>
  <c r="U225" i="2"/>
  <c r="T225" i="2"/>
  <c r="G337" i="2"/>
  <c r="J337" i="2"/>
  <c r="K337" i="2" s="1"/>
  <c r="AB223" i="2"/>
  <c r="AL229" i="2" l="1"/>
  <c r="AM229" i="2" s="1"/>
  <c r="L337" i="2"/>
  <c r="L612" i="3"/>
  <c r="M612" i="3"/>
  <c r="V492" i="3"/>
  <c r="V225" i="2"/>
  <c r="D613" i="3"/>
  <c r="N613" i="3"/>
  <c r="K613" i="3" s="1"/>
  <c r="AK229" i="2"/>
  <c r="R492" i="3"/>
  <c r="AD492" i="3"/>
  <c r="AC492" i="3"/>
  <c r="J338" i="2"/>
  <c r="K338" i="2" s="1"/>
  <c r="G338" i="2"/>
  <c r="AD224" i="2"/>
  <c r="AC224" i="2"/>
  <c r="S225" i="2"/>
  <c r="W492" i="3" l="1"/>
  <c r="AI492" i="3"/>
  <c r="W225" i="2"/>
  <c r="AP225" i="2"/>
  <c r="L338" i="2"/>
  <c r="M613" i="3"/>
  <c r="L613" i="3"/>
  <c r="AE224" i="2"/>
  <c r="AF224" i="2" s="1"/>
  <c r="AE492" i="3"/>
  <c r="AF492" i="3" s="1"/>
  <c r="AJ230" i="2"/>
  <c r="AI230" i="2"/>
  <c r="D614" i="3"/>
  <c r="N614" i="3"/>
  <c r="K614" i="3" s="1"/>
  <c r="AA492" i="3"/>
  <c r="U493" i="3"/>
  <c r="T493" i="3"/>
  <c r="AB224" i="2"/>
  <c r="U226" i="2"/>
  <c r="T226" i="2"/>
  <c r="G339" i="2"/>
  <c r="J339" i="2"/>
  <c r="K339" i="2" s="1"/>
  <c r="L339" i="2" l="1"/>
  <c r="L614" i="3"/>
  <c r="M614" i="3"/>
  <c r="V226" i="2"/>
  <c r="AL230" i="2"/>
  <c r="AM230" i="2" s="1"/>
  <c r="V493" i="3"/>
  <c r="N615" i="3"/>
  <c r="K615" i="3" s="1"/>
  <c r="D615" i="3"/>
  <c r="AK230" i="2"/>
  <c r="AD493" i="3"/>
  <c r="AC493" i="3"/>
  <c r="R493" i="3"/>
  <c r="S226" i="2"/>
  <c r="G340" i="2"/>
  <c r="J340" i="2"/>
  <c r="K340" i="2" s="1"/>
  <c r="AD225" i="2"/>
  <c r="AC225" i="2"/>
  <c r="W493" i="3" l="1"/>
  <c r="AI493" i="3"/>
  <c r="W226" i="2"/>
  <c r="AP226" i="2"/>
  <c r="AE225" i="2"/>
  <c r="AF225" i="2" s="1"/>
  <c r="L340" i="2"/>
  <c r="L615" i="3"/>
  <c r="M615" i="3"/>
  <c r="AE493" i="3"/>
  <c r="AF493" i="3" s="1"/>
  <c r="AJ231" i="2"/>
  <c r="AI231" i="2"/>
  <c r="N616" i="3"/>
  <c r="K616" i="3" s="1"/>
  <c r="D616" i="3"/>
  <c r="U494" i="3"/>
  <c r="T494" i="3"/>
  <c r="AA493" i="3"/>
  <c r="G341" i="2"/>
  <c r="J341" i="2"/>
  <c r="K341" i="2" s="1"/>
  <c r="AB225" i="2"/>
  <c r="U227" i="2"/>
  <c r="T227" i="2"/>
  <c r="AL231" i="2" l="1"/>
  <c r="AM231" i="2" s="1"/>
  <c r="L341" i="2"/>
  <c r="V494" i="3"/>
  <c r="L616" i="3"/>
  <c r="M616" i="3"/>
  <c r="V227" i="2"/>
  <c r="D617" i="3"/>
  <c r="N617" i="3"/>
  <c r="K617" i="3" s="1"/>
  <c r="AK231" i="2"/>
  <c r="AD494" i="3"/>
  <c r="AC494" i="3"/>
  <c r="R494" i="3"/>
  <c r="AD226" i="2"/>
  <c r="AC226" i="2"/>
  <c r="S227" i="2"/>
  <c r="J342" i="2"/>
  <c r="K342" i="2" s="1"/>
  <c r="G342" i="2"/>
  <c r="W494" i="3" l="1"/>
  <c r="AI494" i="3"/>
  <c r="W227" i="2"/>
  <c r="AP227" i="2"/>
  <c r="L342" i="2"/>
  <c r="M617" i="3"/>
  <c r="L617" i="3"/>
  <c r="AE494" i="3"/>
  <c r="AF494" i="3" s="1"/>
  <c r="AE226" i="2"/>
  <c r="AF226" i="2" s="1"/>
  <c r="AJ232" i="2"/>
  <c r="AI232" i="2"/>
  <c r="D618" i="3"/>
  <c r="N618" i="3"/>
  <c r="K618" i="3" s="1"/>
  <c r="AA494" i="3"/>
  <c r="U495" i="3"/>
  <c r="T495" i="3"/>
  <c r="G343" i="2"/>
  <c r="J343" i="2"/>
  <c r="K343" i="2" s="1"/>
  <c r="AB226" i="2"/>
  <c r="U228" i="2"/>
  <c r="T228" i="2"/>
  <c r="AL232" i="2" l="1"/>
  <c r="AM232" i="2" s="1"/>
  <c r="L343" i="2"/>
  <c r="M618" i="3"/>
  <c r="V228" i="2"/>
  <c r="V495" i="3"/>
  <c r="R495" i="3"/>
  <c r="U496" i="3" s="1"/>
  <c r="N619" i="3"/>
  <c r="K619" i="3" s="1"/>
  <c r="D619" i="3"/>
  <c r="AK232" i="2"/>
  <c r="AD495" i="3"/>
  <c r="AC495" i="3"/>
  <c r="S228" i="2"/>
  <c r="AD227" i="2"/>
  <c r="AC227" i="2"/>
  <c r="G344" i="2"/>
  <c r="J344" i="2"/>
  <c r="K344" i="2" s="1"/>
  <c r="W495" i="3" l="1"/>
  <c r="AI495" i="3"/>
  <c r="W228" i="2"/>
  <c r="AP228" i="2"/>
  <c r="L344" i="2"/>
  <c r="M619" i="3"/>
  <c r="C110" i="35" s="1"/>
  <c r="L619" i="3"/>
  <c r="T496" i="3"/>
  <c r="V496" i="3" s="1"/>
  <c r="AE227" i="2"/>
  <c r="AF227" i="2" s="1"/>
  <c r="N620" i="3"/>
  <c r="K620" i="3" s="1"/>
  <c r="G110" i="35"/>
  <c r="D620" i="3"/>
  <c r="AJ233" i="2"/>
  <c r="AI233" i="2"/>
  <c r="D110" i="35"/>
  <c r="L618" i="3"/>
  <c r="AE495" i="3"/>
  <c r="AF495" i="3" s="1"/>
  <c r="AA495" i="3"/>
  <c r="AB227" i="2"/>
  <c r="G345" i="2"/>
  <c r="J345" i="2"/>
  <c r="K345" i="2" s="1"/>
  <c r="U229" i="2"/>
  <c r="T229" i="2"/>
  <c r="W496" i="3" l="1"/>
  <c r="AI496" i="3"/>
  <c r="L345" i="2"/>
  <c r="R496" i="3"/>
  <c r="T497" i="3" s="1"/>
  <c r="M620" i="3"/>
  <c r="L620" i="3"/>
  <c r="V229" i="2"/>
  <c r="AL233" i="2"/>
  <c r="AM233" i="2" s="1"/>
  <c r="AK233" i="2"/>
  <c r="N621" i="3"/>
  <c r="K621" i="3" s="1"/>
  <c r="D621" i="3"/>
  <c r="E110" i="35"/>
  <c r="AD496" i="3"/>
  <c r="AC496" i="3"/>
  <c r="AA496" i="3" s="1"/>
  <c r="S229" i="2"/>
  <c r="J346" i="2"/>
  <c r="K346" i="2" s="1"/>
  <c r="G346" i="2"/>
  <c r="AD228" i="2"/>
  <c r="AC228" i="2"/>
  <c r="W229" i="2" l="1"/>
  <c r="AP229" i="2"/>
  <c r="U497" i="3"/>
  <c r="V497" i="3" s="1"/>
  <c r="L346" i="2"/>
  <c r="L621" i="3"/>
  <c r="M621" i="3"/>
  <c r="D622" i="3"/>
  <c r="N622" i="3"/>
  <c r="K622" i="3" s="1"/>
  <c r="AE228" i="2"/>
  <c r="AF228" i="2" s="1"/>
  <c r="AE496" i="3"/>
  <c r="AF496" i="3" s="1"/>
  <c r="AJ234" i="2"/>
  <c r="AI234" i="2"/>
  <c r="R497" i="3"/>
  <c r="AD497" i="3"/>
  <c r="AC497" i="3"/>
  <c r="AB228" i="2"/>
  <c r="U230" i="2"/>
  <c r="T230" i="2"/>
  <c r="G347" i="2"/>
  <c r="J347" i="2"/>
  <c r="K347" i="2" s="1"/>
  <c r="W497" i="3" l="1"/>
  <c r="AI497" i="3"/>
  <c r="AL234" i="2"/>
  <c r="AM234" i="2" s="1"/>
  <c r="V230" i="2"/>
  <c r="L347" i="2"/>
  <c r="L622" i="3"/>
  <c r="M622" i="3"/>
  <c r="AE497" i="3"/>
  <c r="AF497" i="3" s="1"/>
  <c r="AK234" i="2"/>
  <c r="D623" i="3"/>
  <c r="N623" i="3"/>
  <c r="K623" i="3" s="1"/>
  <c r="AA497" i="3"/>
  <c r="U498" i="3"/>
  <c r="T498" i="3"/>
  <c r="S230" i="2"/>
  <c r="G348" i="2"/>
  <c r="J348" i="2"/>
  <c r="K348" i="2" s="1"/>
  <c r="AD229" i="2"/>
  <c r="AC229" i="2"/>
  <c r="W230" i="2" l="1"/>
  <c r="AP230" i="2"/>
  <c r="V498" i="3"/>
  <c r="AE229" i="2"/>
  <c r="AF229" i="2" s="1"/>
  <c r="L348" i="2"/>
  <c r="M623" i="3"/>
  <c r="L623" i="3"/>
  <c r="D624" i="3"/>
  <c r="N624" i="3"/>
  <c r="K624" i="3" s="1"/>
  <c r="AJ235" i="2"/>
  <c r="AI235" i="2"/>
  <c r="R498" i="3"/>
  <c r="AD498" i="3"/>
  <c r="AC498" i="3"/>
  <c r="G349" i="2"/>
  <c r="J349" i="2"/>
  <c r="K349" i="2" s="1"/>
  <c r="AB229" i="2"/>
  <c r="U231" i="2"/>
  <c r="T231" i="2"/>
  <c r="W498" i="3" l="1"/>
  <c r="AI498" i="3"/>
  <c r="V231" i="2"/>
  <c r="AL235" i="2"/>
  <c r="AM235" i="2" s="1"/>
  <c r="L349" i="2"/>
  <c r="AE498" i="3"/>
  <c r="AF498" i="3" s="1"/>
  <c r="L624" i="3"/>
  <c r="M624" i="3"/>
  <c r="AK235" i="2"/>
  <c r="N625" i="3"/>
  <c r="K625" i="3" s="1"/>
  <c r="D625" i="3"/>
  <c r="AA498" i="3"/>
  <c r="U499" i="3"/>
  <c r="T499" i="3"/>
  <c r="AD230" i="2"/>
  <c r="AC230" i="2"/>
  <c r="S231" i="2"/>
  <c r="J350" i="2"/>
  <c r="K350" i="2" s="1"/>
  <c r="G350" i="2"/>
  <c r="W231" i="2" l="1"/>
  <c r="AP231" i="2"/>
  <c r="AE230" i="2"/>
  <c r="AF230" i="2" s="1"/>
  <c r="L350" i="2"/>
  <c r="L625" i="3"/>
  <c r="M625" i="3"/>
  <c r="D626" i="3"/>
  <c r="N626" i="3"/>
  <c r="K626" i="3" s="1"/>
  <c r="V499" i="3"/>
  <c r="AJ236" i="2"/>
  <c r="AI236" i="2"/>
  <c r="AD499" i="3"/>
  <c r="AC499" i="3"/>
  <c r="R499" i="3"/>
  <c r="G351" i="2"/>
  <c r="J351" i="2"/>
  <c r="K351" i="2" s="1"/>
  <c r="AB230" i="2"/>
  <c r="U232" i="2"/>
  <c r="T232" i="2"/>
  <c r="W499" i="3" l="1"/>
  <c r="AI499" i="3"/>
  <c r="L351" i="2"/>
  <c r="AE499" i="3"/>
  <c r="AF499" i="3" s="1"/>
  <c r="M626" i="3"/>
  <c r="L626" i="3"/>
  <c r="AL236" i="2"/>
  <c r="AM236" i="2" s="1"/>
  <c r="AK236" i="2"/>
  <c r="V232" i="2"/>
  <c r="D627" i="3"/>
  <c r="N627" i="3"/>
  <c r="K627" i="3" s="1"/>
  <c r="AA499" i="3"/>
  <c r="U500" i="3"/>
  <c r="T500" i="3"/>
  <c r="AD231" i="2"/>
  <c r="AC231" i="2"/>
  <c r="S232" i="2"/>
  <c r="G352" i="2"/>
  <c r="J352" i="2"/>
  <c r="K352" i="2" s="1"/>
  <c r="W232" i="2" l="1"/>
  <c r="AP232" i="2"/>
  <c r="V500" i="3"/>
  <c r="L352" i="2"/>
  <c r="L627" i="3"/>
  <c r="M627" i="3"/>
  <c r="AE231" i="2"/>
  <c r="AF231" i="2" s="1"/>
  <c r="N628" i="3"/>
  <c r="K628" i="3" s="1"/>
  <c r="D628" i="3"/>
  <c r="AJ237" i="2"/>
  <c r="AI237" i="2"/>
  <c r="R500" i="3"/>
  <c r="AD500" i="3"/>
  <c r="AC500" i="3"/>
  <c r="G353" i="2"/>
  <c r="J353" i="2"/>
  <c r="K353" i="2" s="1"/>
  <c r="AB231" i="2"/>
  <c r="U233" i="2"/>
  <c r="T233" i="2"/>
  <c r="W500" i="3" l="1"/>
  <c r="AI500" i="3"/>
  <c r="AL237" i="2"/>
  <c r="AM237" i="2" s="1"/>
  <c r="AE500" i="3"/>
  <c r="AF500" i="3" s="1"/>
  <c r="V233" i="2"/>
  <c r="L353" i="2"/>
  <c r="M628" i="3"/>
  <c r="L628" i="3"/>
  <c r="AK237" i="2"/>
  <c r="D629" i="3"/>
  <c r="N629" i="3"/>
  <c r="K629" i="3" s="1"/>
  <c r="U501" i="3"/>
  <c r="T501" i="3"/>
  <c r="AA500" i="3"/>
  <c r="S233" i="2"/>
  <c r="AD232" i="2"/>
  <c r="AC232" i="2"/>
  <c r="J354" i="2"/>
  <c r="K354" i="2" s="1"/>
  <c r="G354" i="2"/>
  <c r="W233" i="2" l="1"/>
  <c r="AP233" i="2"/>
  <c r="L354" i="2"/>
  <c r="M629" i="3"/>
  <c r="L629" i="3"/>
  <c r="V501" i="3"/>
  <c r="AE232" i="2"/>
  <c r="AF232" i="2" s="1"/>
  <c r="N630" i="3"/>
  <c r="K630" i="3" s="1"/>
  <c r="D630" i="3"/>
  <c r="AJ238" i="2"/>
  <c r="AI238" i="2"/>
  <c r="AD501" i="3"/>
  <c r="AC501" i="3"/>
  <c r="R501" i="3"/>
  <c r="AB232" i="2"/>
  <c r="G355" i="2"/>
  <c r="J355" i="2"/>
  <c r="K355" i="2" s="1"/>
  <c r="U234" i="2"/>
  <c r="T234" i="2"/>
  <c r="W501" i="3" l="1"/>
  <c r="AI501" i="3"/>
  <c r="AE501" i="3"/>
  <c r="AF501" i="3" s="1"/>
  <c r="V234" i="2"/>
  <c r="AL238" i="2"/>
  <c r="AM238" i="2" s="1"/>
  <c r="L355" i="2"/>
  <c r="M630" i="3"/>
  <c r="AK238" i="2"/>
  <c r="N631" i="3"/>
  <c r="K631" i="3" s="1"/>
  <c r="D631" i="3"/>
  <c r="U502" i="3"/>
  <c r="T502" i="3"/>
  <c r="AA501" i="3"/>
  <c r="G356" i="2"/>
  <c r="J356" i="2"/>
  <c r="K356" i="2" s="1"/>
  <c r="S234" i="2"/>
  <c r="AD233" i="2"/>
  <c r="AC233" i="2"/>
  <c r="W234" i="2" l="1"/>
  <c r="AP234" i="2"/>
  <c r="AE233" i="2"/>
  <c r="AF233" i="2" s="1"/>
  <c r="L356" i="2"/>
  <c r="M631" i="3"/>
  <c r="C111" i="35" s="1"/>
  <c r="L631" i="3"/>
  <c r="D111" i="35"/>
  <c r="D632" i="3"/>
  <c r="G111" i="35"/>
  <c r="N632" i="3"/>
  <c r="K632" i="3" s="1"/>
  <c r="L630" i="3"/>
  <c r="V502" i="3"/>
  <c r="AJ239" i="2"/>
  <c r="AI239" i="2"/>
  <c r="AK239" i="2" s="1"/>
  <c r="R502" i="3"/>
  <c r="AD502" i="3"/>
  <c r="AC502" i="3"/>
  <c r="AB233" i="2"/>
  <c r="G357" i="2"/>
  <c r="J357" i="2"/>
  <c r="K357" i="2" s="1"/>
  <c r="U235" i="2"/>
  <c r="T235" i="2"/>
  <c r="W502" i="3" l="1"/>
  <c r="AI502" i="3"/>
  <c r="L357" i="2"/>
  <c r="E111" i="35"/>
  <c r="L632" i="3"/>
  <c r="M632" i="3"/>
  <c r="AE502" i="3"/>
  <c r="AF502" i="3" s="1"/>
  <c r="V235" i="2"/>
  <c r="AJ240" i="2"/>
  <c r="AI240" i="2"/>
  <c r="AL239" i="2"/>
  <c r="AM239" i="2" s="1"/>
  <c r="D633" i="3"/>
  <c r="N633" i="3"/>
  <c r="K633" i="3" s="1"/>
  <c r="AA502" i="3"/>
  <c r="U503" i="3"/>
  <c r="T503" i="3"/>
  <c r="J358" i="2"/>
  <c r="K358" i="2" s="1"/>
  <c r="G358" i="2"/>
  <c r="S235" i="2"/>
  <c r="AD234" i="2"/>
  <c r="AC234" i="2"/>
  <c r="W235" i="2" l="1"/>
  <c r="AP235" i="2"/>
  <c r="AL240" i="2"/>
  <c r="AM240" i="2" s="1"/>
  <c r="L358" i="2"/>
  <c r="V503" i="3"/>
  <c r="M633" i="3"/>
  <c r="L633" i="3"/>
  <c r="N634" i="3"/>
  <c r="K634" i="3" s="1"/>
  <c r="D634" i="3"/>
  <c r="AE234" i="2"/>
  <c r="AF234" i="2" s="1"/>
  <c r="AK240" i="2"/>
  <c r="R503" i="3"/>
  <c r="AD503" i="3"/>
  <c r="AC503" i="3"/>
  <c r="AB234" i="2"/>
  <c r="G359" i="2"/>
  <c r="J359" i="2"/>
  <c r="K359" i="2" s="1"/>
  <c r="U236" i="2"/>
  <c r="T236" i="2"/>
  <c r="W503" i="3" l="1"/>
  <c r="AI503" i="3"/>
  <c r="V236" i="2"/>
  <c r="L359" i="2"/>
  <c r="L634" i="3"/>
  <c r="M634" i="3"/>
  <c r="AJ241" i="2"/>
  <c r="AI241" i="2"/>
  <c r="D635" i="3"/>
  <c r="N635" i="3"/>
  <c r="K635" i="3" s="1"/>
  <c r="AE503" i="3"/>
  <c r="AF503" i="3" s="1"/>
  <c r="AA503" i="3"/>
  <c r="U504" i="3"/>
  <c r="T504" i="3"/>
  <c r="G360" i="2"/>
  <c r="J360" i="2"/>
  <c r="K360" i="2" s="1"/>
  <c r="AD235" i="2"/>
  <c r="AC235" i="2"/>
  <c r="S236" i="2"/>
  <c r="W236" i="2" l="1"/>
  <c r="AP236" i="2"/>
  <c r="AL241" i="2"/>
  <c r="AM241" i="2" s="1"/>
  <c r="V504" i="3"/>
  <c r="AE235" i="2"/>
  <c r="AF235" i="2" s="1"/>
  <c r="L360" i="2"/>
  <c r="L635" i="3"/>
  <c r="M635" i="3"/>
  <c r="N636" i="3"/>
  <c r="K636" i="3" s="1"/>
  <c r="D636" i="3"/>
  <c r="AK241" i="2"/>
  <c r="R504" i="3"/>
  <c r="AD504" i="3"/>
  <c r="AC504" i="3"/>
  <c r="AB235" i="2"/>
  <c r="AC236" i="2" s="1"/>
  <c r="U237" i="2"/>
  <c r="T237" i="2"/>
  <c r="G361" i="2"/>
  <c r="J361" i="2"/>
  <c r="K361" i="2" s="1"/>
  <c r="W504" i="3" l="1"/>
  <c r="AI504" i="3"/>
  <c r="AE504" i="3"/>
  <c r="AF504" i="3" s="1"/>
  <c r="L361" i="2"/>
  <c r="M636" i="3"/>
  <c r="L636" i="3"/>
  <c r="V237" i="2"/>
  <c r="AD236" i="2"/>
  <c r="AE236" i="2" s="1"/>
  <c r="AF236" i="2" s="1"/>
  <c r="AJ242" i="2"/>
  <c r="AI242" i="2"/>
  <c r="AL242" i="2" s="1"/>
  <c r="AM242" i="2" s="1"/>
  <c r="D637" i="3"/>
  <c r="N637" i="3"/>
  <c r="K637" i="3" s="1"/>
  <c r="AA504" i="3"/>
  <c r="U505" i="3"/>
  <c r="T505" i="3"/>
  <c r="AB236" i="2"/>
  <c r="S237" i="2"/>
  <c r="J362" i="2"/>
  <c r="K362" i="2" s="1"/>
  <c r="G362" i="2"/>
  <c r="W237" i="2" l="1"/>
  <c r="AP237" i="2"/>
  <c r="L362" i="2"/>
  <c r="L637" i="3"/>
  <c r="M637" i="3"/>
  <c r="V505" i="3"/>
  <c r="N638" i="3"/>
  <c r="K638" i="3" s="1"/>
  <c r="D638" i="3"/>
  <c r="AK242" i="2"/>
  <c r="R505" i="3"/>
  <c r="AD505" i="3"/>
  <c r="AC505" i="3"/>
  <c r="G363" i="2"/>
  <c r="J363" i="2"/>
  <c r="K363" i="2" s="1"/>
  <c r="U238" i="2"/>
  <c r="T238" i="2"/>
  <c r="AD237" i="2"/>
  <c r="AC237" i="2"/>
  <c r="W505" i="3" l="1"/>
  <c r="AI505" i="3"/>
  <c r="V238" i="2"/>
  <c r="AE505" i="3"/>
  <c r="AF505" i="3" s="1"/>
  <c r="L363" i="2"/>
  <c r="L638" i="3"/>
  <c r="M638" i="3"/>
  <c r="AJ243" i="2"/>
  <c r="AI243" i="2"/>
  <c r="N639" i="3"/>
  <c r="K639" i="3" s="1"/>
  <c r="D639" i="3"/>
  <c r="AA505" i="3"/>
  <c r="U506" i="3"/>
  <c r="T506" i="3"/>
  <c r="AE237" i="2"/>
  <c r="AF237" i="2" s="1"/>
  <c r="S238" i="2"/>
  <c r="G364" i="2"/>
  <c r="J364" i="2"/>
  <c r="K364" i="2" s="1"/>
  <c r="AB237" i="2"/>
  <c r="V506" i="3" l="1"/>
  <c r="AI506" i="3" s="1"/>
  <c r="AL243" i="2"/>
  <c r="AM243" i="2" s="1"/>
  <c r="W238" i="2"/>
  <c r="AP238" i="2"/>
  <c r="L364" i="2"/>
  <c r="M639" i="3"/>
  <c r="L639" i="3"/>
  <c r="D640" i="3"/>
  <c r="N640" i="3"/>
  <c r="K640" i="3" s="1"/>
  <c r="AK243" i="2"/>
  <c r="AD506" i="3"/>
  <c r="AC506" i="3"/>
  <c r="R506" i="3"/>
  <c r="U239" i="2"/>
  <c r="T239" i="2"/>
  <c r="V239" i="2" s="1"/>
  <c r="AD238" i="2"/>
  <c r="AC238" i="2"/>
  <c r="G365" i="2"/>
  <c r="J365" i="2"/>
  <c r="K365" i="2" s="1"/>
  <c r="W506" i="3" l="1"/>
  <c r="W239" i="2"/>
  <c r="AP239" i="2"/>
  <c r="AE238" i="2"/>
  <c r="AF238" i="2" s="1"/>
  <c r="L365" i="2"/>
  <c r="L640" i="3"/>
  <c r="M640" i="3"/>
  <c r="AE506" i="3"/>
  <c r="AF506" i="3" s="1"/>
  <c r="AJ244" i="2"/>
  <c r="AI244" i="2"/>
  <c r="D641" i="3"/>
  <c r="N641" i="3"/>
  <c r="K641" i="3" s="1"/>
  <c r="U507" i="3"/>
  <c r="T507" i="3"/>
  <c r="AA506" i="3"/>
  <c r="S239" i="2"/>
  <c r="AB238" i="2"/>
  <c r="J366" i="2"/>
  <c r="K366" i="2" s="1"/>
  <c r="G366" i="2"/>
  <c r="AL244" i="2" l="1"/>
  <c r="AM244" i="2" s="1"/>
  <c r="L366" i="2"/>
  <c r="V507" i="3"/>
  <c r="L641" i="3"/>
  <c r="M641" i="3"/>
  <c r="D642" i="3"/>
  <c r="N642" i="3"/>
  <c r="K642" i="3" s="1"/>
  <c r="AK244" i="2"/>
  <c r="AD507" i="3"/>
  <c r="AC507" i="3"/>
  <c r="AA507" i="3" s="1"/>
  <c r="R507" i="3"/>
  <c r="AD239" i="2"/>
  <c r="AC239" i="2"/>
  <c r="U240" i="2"/>
  <c r="T240" i="2"/>
  <c r="G367" i="2"/>
  <c r="J367" i="2"/>
  <c r="K367" i="2" s="1"/>
  <c r="W507" i="3" l="1"/>
  <c r="AI507" i="3"/>
  <c r="AE239" i="2"/>
  <c r="AF239" i="2" s="1"/>
  <c r="L367" i="2"/>
  <c r="M642" i="3"/>
  <c r="L642" i="3"/>
  <c r="AJ245" i="2"/>
  <c r="AI245" i="2"/>
  <c r="V240" i="2"/>
  <c r="N643" i="3"/>
  <c r="K643" i="3" s="1"/>
  <c r="D643" i="3"/>
  <c r="U508" i="3"/>
  <c r="T508" i="3"/>
  <c r="R508" i="3" s="1"/>
  <c r="AD508" i="3"/>
  <c r="AC508" i="3"/>
  <c r="AE507" i="3"/>
  <c r="AF507" i="3" s="1"/>
  <c r="AB239" i="2"/>
  <c r="S240" i="2"/>
  <c r="G368" i="2"/>
  <c r="J368" i="2"/>
  <c r="K368" i="2" s="1"/>
  <c r="W240" i="2" l="1"/>
  <c r="AP240" i="2"/>
  <c r="AL245" i="2"/>
  <c r="AM245" i="2" s="1"/>
  <c r="L368" i="2"/>
  <c r="M643" i="3"/>
  <c r="C112" i="35" s="1"/>
  <c r="AE508" i="3"/>
  <c r="AF508" i="3" s="1"/>
  <c r="G112" i="35"/>
  <c r="D644" i="3"/>
  <c r="N644" i="3"/>
  <c r="K644" i="3" s="1"/>
  <c r="D112" i="35"/>
  <c r="AK245" i="2"/>
  <c r="U509" i="3"/>
  <c r="T509" i="3"/>
  <c r="AA508" i="3"/>
  <c r="V508" i="3"/>
  <c r="G369" i="2"/>
  <c r="J369" i="2"/>
  <c r="K369" i="2" s="1"/>
  <c r="U241" i="2"/>
  <c r="T241" i="2"/>
  <c r="AD240" i="2"/>
  <c r="AC240" i="2"/>
  <c r="AB240" i="2" s="1"/>
  <c r="W508" i="3" l="1"/>
  <c r="AI508" i="3"/>
  <c r="V241" i="2"/>
  <c r="L369" i="2"/>
  <c r="L644" i="3"/>
  <c r="M644" i="3"/>
  <c r="V509" i="3"/>
  <c r="AJ246" i="2"/>
  <c r="AI246" i="2"/>
  <c r="E112" i="35"/>
  <c r="L643" i="3"/>
  <c r="N645" i="3"/>
  <c r="K645" i="3" s="1"/>
  <c r="D645" i="3"/>
  <c r="AD509" i="3"/>
  <c r="AC509" i="3"/>
  <c r="R509" i="3"/>
  <c r="AE240" i="2"/>
  <c r="AF240" i="2" s="1"/>
  <c r="AD241" i="2"/>
  <c r="AC241" i="2"/>
  <c r="S241" i="2"/>
  <c r="J370" i="2"/>
  <c r="K370" i="2" s="1"/>
  <c r="G370" i="2"/>
  <c r="W509" i="3" l="1"/>
  <c r="AI509" i="3"/>
  <c r="W241" i="2"/>
  <c r="AP241" i="2"/>
  <c r="AL246" i="2"/>
  <c r="AM246" i="2" s="1"/>
  <c r="L370" i="2"/>
  <c r="M645" i="3"/>
  <c r="L645" i="3"/>
  <c r="AE241" i="2"/>
  <c r="AF241" i="2" s="1"/>
  <c r="N646" i="3"/>
  <c r="K646" i="3" s="1"/>
  <c r="D646" i="3"/>
  <c r="AE509" i="3"/>
  <c r="AF509" i="3" s="1"/>
  <c r="AK246" i="2"/>
  <c r="U510" i="3"/>
  <c r="T510" i="3"/>
  <c r="AA509" i="3"/>
  <c r="G371" i="2"/>
  <c r="J371" i="2"/>
  <c r="K371" i="2" s="1"/>
  <c r="AB241" i="2"/>
  <c r="U242" i="2"/>
  <c r="T242" i="2"/>
  <c r="L371" i="2" l="1"/>
  <c r="V510" i="3"/>
  <c r="L646" i="3"/>
  <c r="M646" i="3"/>
  <c r="V242" i="2"/>
  <c r="AJ247" i="2"/>
  <c r="AI247" i="2"/>
  <c r="D647" i="3"/>
  <c r="N647" i="3"/>
  <c r="K647" i="3" s="1"/>
  <c r="AD510" i="3"/>
  <c r="AC510" i="3"/>
  <c r="R510" i="3"/>
  <c r="AD242" i="2"/>
  <c r="AC242" i="2"/>
  <c r="S242" i="2"/>
  <c r="G372" i="2"/>
  <c r="J372" i="2"/>
  <c r="K372" i="2" s="1"/>
  <c r="W510" i="3" l="1"/>
  <c r="AI510" i="3"/>
  <c r="W242" i="2"/>
  <c r="AP242" i="2"/>
  <c r="AL247" i="2"/>
  <c r="AM247" i="2" s="1"/>
  <c r="L372" i="2"/>
  <c r="L647" i="3"/>
  <c r="M647" i="3"/>
  <c r="AE242" i="2"/>
  <c r="AF242" i="2" s="1"/>
  <c r="D648" i="3"/>
  <c r="N648" i="3"/>
  <c r="K648" i="3" s="1"/>
  <c r="AE510" i="3"/>
  <c r="AF510" i="3" s="1"/>
  <c r="AK247" i="2"/>
  <c r="U511" i="3"/>
  <c r="T511" i="3"/>
  <c r="AA510" i="3"/>
  <c r="G373" i="2"/>
  <c r="J373" i="2"/>
  <c r="K373" i="2" s="1"/>
  <c r="AB242" i="2"/>
  <c r="U243" i="2"/>
  <c r="T243" i="2"/>
  <c r="L373" i="2" l="1"/>
  <c r="V511" i="3"/>
  <c r="L648" i="3"/>
  <c r="M648" i="3"/>
  <c r="V243" i="2"/>
  <c r="AJ248" i="2"/>
  <c r="AI248" i="2"/>
  <c r="D649" i="3"/>
  <c r="N649" i="3"/>
  <c r="K649" i="3" s="1"/>
  <c r="AD511" i="3"/>
  <c r="AC511" i="3"/>
  <c r="R511" i="3"/>
  <c r="S243" i="2"/>
  <c r="AD243" i="2"/>
  <c r="AC243" i="2"/>
  <c r="AB243" i="2" s="1"/>
  <c r="J374" i="2"/>
  <c r="K374" i="2" s="1"/>
  <c r="G374" i="2"/>
  <c r="AE511" i="3" l="1"/>
  <c r="AF511" i="3" s="1"/>
  <c r="W511" i="3"/>
  <c r="AI511" i="3"/>
  <c r="W243" i="2"/>
  <c r="AP243" i="2"/>
  <c r="AL248" i="2"/>
  <c r="AM248" i="2" s="1"/>
  <c r="L374" i="2"/>
  <c r="M649" i="3"/>
  <c r="L649" i="3"/>
  <c r="D650" i="3"/>
  <c r="N650" i="3"/>
  <c r="K650" i="3" s="1"/>
  <c r="AK248" i="2"/>
  <c r="AA511" i="3"/>
  <c r="U512" i="3"/>
  <c r="T512" i="3"/>
  <c r="U244" i="2"/>
  <c r="T244" i="2"/>
  <c r="AE243" i="2"/>
  <c r="AF243" i="2" s="1"/>
  <c r="AD244" i="2"/>
  <c r="AC244" i="2"/>
  <c r="G375" i="2"/>
  <c r="J375" i="2"/>
  <c r="K375" i="2" s="1"/>
  <c r="AE244" i="2" l="1"/>
  <c r="AF244" i="2" s="1"/>
  <c r="L375" i="2"/>
  <c r="L650" i="3"/>
  <c r="M650" i="3"/>
  <c r="V512" i="3"/>
  <c r="V244" i="2"/>
  <c r="AJ249" i="2"/>
  <c r="AI249" i="2"/>
  <c r="D651" i="3"/>
  <c r="N651" i="3"/>
  <c r="K651" i="3" s="1"/>
  <c r="R512" i="3"/>
  <c r="AD512" i="3"/>
  <c r="AC512" i="3"/>
  <c r="G376" i="2"/>
  <c r="J376" i="2"/>
  <c r="K376" i="2" s="1"/>
  <c r="AB244" i="2"/>
  <c r="S244" i="2"/>
  <c r="W512" i="3" l="1"/>
  <c r="AI512" i="3"/>
  <c r="W244" i="2"/>
  <c r="AP244" i="2"/>
  <c r="AL249" i="2"/>
  <c r="AM249" i="2" s="1"/>
  <c r="AE512" i="3"/>
  <c r="AF512" i="3" s="1"/>
  <c r="L376" i="2"/>
  <c r="L651" i="3"/>
  <c r="M651" i="3"/>
  <c r="N652" i="3"/>
  <c r="K652" i="3" s="1"/>
  <c r="D652" i="3"/>
  <c r="AK249" i="2"/>
  <c r="U513" i="3"/>
  <c r="T513" i="3"/>
  <c r="AA512" i="3"/>
  <c r="AD245" i="2"/>
  <c r="AC245" i="2"/>
  <c r="U245" i="2"/>
  <c r="T245" i="2"/>
  <c r="G377" i="2"/>
  <c r="J377" i="2"/>
  <c r="K377" i="2" s="1"/>
  <c r="AE245" i="2" l="1"/>
  <c r="AF245" i="2" s="1"/>
  <c r="V245" i="2"/>
  <c r="L377" i="2"/>
  <c r="L652" i="3"/>
  <c r="M652" i="3"/>
  <c r="V513" i="3"/>
  <c r="AJ250" i="2"/>
  <c r="AI250" i="2"/>
  <c r="D653" i="3"/>
  <c r="N653" i="3"/>
  <c r="K653" i="3" s="1"/>
  <c r="R513" i="3"/>
  <c r="AD513" i="3"/>
  <c r="AC513" i="3"/>
  <c r="J378" i="2"/>
  <c r="K378" i="2" s="1"/>
  <c r="G378" i="2"/>
  <c r="S245" i="2"/>
  <c r="AB245" i="2"/>
  <c r="W513" i="3" l="1"/>
  <c r="AI513" i="3"/>
  <c r="W245" i="2"/>
  <c r="AP245" i="2"/>
  <c r="AE513" i="3"/>
  <c r="AF513" i="3" s="1"/>
  <c r="AL250" i="2"/>
  <c r="AM250" i="2" s="1"/>
  <c r="L378" i="2"/>
  <c r="L653" i="3"/>
  <c r="M653" i="3"/>
  <c r="N654" i="3"/>
  <c r="K654" i="3" s="1"/>
  <c r="D654" i="3"/>
  <c r="AK250" i="2"/>
  <c r="AA513" i="3"/>
  <c r="U514" i="3"/>
  <c r="T514" i="3"/>
  <c r="U246" i="2"/>
  <c r="T246" i="2"/>
  <c r="G379" i="2"/>
  <c r="J379" i="2"/>
  <c r="K379" i="2" s="1"/>
  <c r="AD246" i="2"/>
  <c r="AC246" i="2"/>
  <c r="AE246" i="2" l="1"/>
  <c r="AF246" i="2" s="1"/>
  <c r="V246" i="2"/>
  <c r="L379" i="2"/>
  <c r="M654" i="3"/>
  <c r="V514" i="3"/>
  <c r="AJ251" i="2"/>
  <c r="AI251" i="2"/>
  <c r="N655" i="3"/>
  <c r="K655" i="3" s="1"/>
  <c r="D655" i="3"/>
  <c r="R514" i="3"/>
  <c r="AD514" i="3"/>
  <c r="AC514" i="3"/>
  <c r="G380" i="2"/>
  <c r="J380" i="2"/>
  <c r="K380" i="2" s="1"/>
  <c r="S246" i="2"/>
  <c r="AB246" i="2"/>
  <c r="W514" i="3" l="1"/>
  <c r="AI514" i="3"/>
  <c r="W246" i="2"/>
  <c r="AP246" i="2"/>
  <c r="AL251" i="2"/>
  <c r="AM251" i="2" s="1"/>
  <c r="AE514" i="3"/>
  <c r="AF514" i="3" s="1"/>
  <c r="L380" i="2"/>
  <c r="M655" i="3"/>
  <c r="C113" i="35" s="1"/>
  <c r="L655" i="3"/>
  <c r="D113" i="35"/>
  <c r="D114" i="35" s="1"/>
  <c r="L654" i="3"/>
  <c r="G113" i="35"/>
  <c r="D656" i="3"/>
  <c r="N656" i="3"/>
  <c r="K656" i="3" s="1"/>
  <c r="AK251" i="2"/>
  <c r="AA514" i="3"/>
  <c r="U515" i="3"/>
  <c r="T515" i="3"/>
  <c r="U247" i="2"/>
  <c r="T247" i="2"/>
  <c r="AD247" i="2"/>
  <c r="AC247" i="2"/>
  <c r="G381" i="2"/>
  <c r="J381" i="2"/>
  <c r="K381" i="2" s="1"/>
  <c r="V247" i="2" l="1"/>
  <c r="L381" i="2"/>
  <c r="L656" i="3"/>
  <c r="M656" i="3"/>
  <c r="V515" i="3"/>
  <c r="AE247" i="2"/>
  <c r="AF247" i="2" s="1"/>
  <c r="N657" i="3"/>
  <c r="K657" i="3" s="1"/>
  <c r="D657" i="3"/>
  <c r="AJ252" i="2"/>
  <c r="AI252" i="2"/>
  <c r="AL252" i="2" s="1"/>
  <c r="AM252" i="2" s="1"/>
  <c r="C114" i="35"/>
  <c r="E113" i="35"/>
  <c r="E114" i="35" s="1"/>
  <c r="R515" i="3"/>
  <c r="AD515" i="3"/>
  <c r="AC515" i="3"/>
  <c r="S247" i="2"/>
  <c r="AB247" i="2"/>
  <c r="J382" i="2"/>
  <c r="K382" i="2" s="1"/>
  <c r="G382" i="2"/>
  <c r="W515" i="3" l="1"/>
  <c r="AI515" i="3"/>
  <c r="W247" i="2"/>
  <c r="AP247" i="2"/>
  <c r="AE515" i="3"/>
  <c r="AF515" i="3" s="1"/>
  <c r="L382" i="2"/>
  <c r="M657" i="3"/>
  <c r="L657" i="3"/>
  <c r="AK252" i="2"/>
  <c r="D658" i="3"/>
  <c r="N658" i="3"/>
  <c r="K658" i="3" s="1"/>
  <c r="AA515" i="3"/>
  <c r="U516" i="3"/>
  <c r="T516" i="3"/>
  <c r="U248" i="2"/>
  <c r="T248" i="2"/>
  <c r="G383" i="2"/>
  <c r="J383" i="2"/>
  <c r="K383" i="2" s="1"/>
  <c r="AD248" i="2"/>
  <c r="AC248" i="2"/>
  <c r="AB248" i="2" s="1"/>
  <c r="V248" i="2" l="1"/>
  <c r="L383" i="2"/>
  <c r="M658" i="3"/>
  <c r="L658" i="3"/>
  <c r="V516" i="3"/>
  <c r="N659" i="3"/>
  <c r="K659" i="3" s="1"/>
  <c r="D659" i="3"/>
  <c r="AJ253" i="2"/>
  <c r="AI253" i="2"/>
  <c r="AD516" i="3"/>
  <c r="AC516" i="3"/>
  <c r="R516" i="3"/>
  <c r="S248" i="2"/>
  <c r="AE248" i="2"/>
  <c r="AF248" i="2" s="1"/>
  <c r="G384" i="2"/>
  <c r="J384" i="2"/>
  <c r="K384" i="2" s="1"/>
  <c r="AD249" i="2"/>
  <c r="AC249" i="2"/>
  <c r="W516" i="3" l="1"/>
  <c r="AI516" i="3"/>
  <c r="W248" i="2"/>
  <c r="AP248" i="2"/>
  <c r="AE516" i="3"/>
  <c r="AF516" i="3" s="1"/>
  <c r="AL253" i="2"/>
  <c r="AM253" i="2" s="1"/>
  <c r="L384" i="2"/>
  <c r="M659" i="3"/>
  <c r="L659" i="3"/>
  <c r="AE249" i="2"/>
  <c r="AF249" i="2" s="1"/>
  <c r="AK253" i="2"/>
  <c r="D660" i="3"/>
  <c r="N660" i="3"/>
  <c r="K660" i="3" s="1"/>
  <c r="U517" i="3"/>
  <c r="T517" i="3"/>
  <c r="AA516" i="3"/>
  <c r="J385" i="2"/>
  <c r="K385" i="2" s="1"/>
  <c r="G385" i="2"/>
  <c r="AB249" i="2"/>
  <c r="U249" i="2"/>
  <c r="T249" i="2"/>
  <c r="V249" i="2" l="1"/>
  <c r="L385" i="2"/>
  <c r="M660" i="3"/>
  <c r="L660" i="3"/>
  <c r="V517" i="3"/>
  <c r="N661" i="3"/>
  <c r="K661" i="3" s="1"/>
  <c r="D661" i="3"/>
  <c r="AJ254" i="2"/>
  <c r="AI254" i="2"/>
  <c r="AD517" i="3"/>
  <c r="AC517" i="3"/>
  <c r="R517" i="3"/>
  <c r="AD250" i="2"/>
  <c r="AC250" i="2"/>
  <c r="S249" i="2"/>
  <c r="G386" i="2"/>
  <c r="J386" i="2"/>
  <c r="K386" i="2" s="1"/>
  <c r="W517" i="3" l="1"/>
  <c r="AI517" i="3"/>
  <c r="AP249" i="2"/>
  <c r="W249" i="2"/>
  <c r="L386" i="2"/>
  <c r="L661" i="3"/>
  <c r="M661" i="3"/>
  <c r="AL254" i="2"/>
  <c r="AM254" i="2" s="1"/>
  <c r="AE250" i="2"/>
  <c r="AF250" i="2" s="1"/>
  <c r="AK254" i="2"/>
  <c r="N662" i="3"/>
  <c r="K662" i="3" s="1"/>
  <c r="D662" i="3"/>
  <c r="AE517" i="3"/>
  <c r="AF517" i="3" s="1"/>
  <c r="AA517" i="3"/>
  <c r="U518" i="3"/>
  <c r="T518" i="3"/>
  <c r="U250" i="2"/>
  <c r="T250" i="2"/>
  <c r="G387" i="2"/>
  <c r="J387" i="2"/>
  <c r="K387" i="2" s="1"/>
  <c r="AB250" i="2"/>
  <c r="V250" i="2" l="1"/>
  <c r="L387" i="2"/>
  <c r="L662" i="3"/>
  <c r="M662" i="3"/>
  <c r="V518" i="3"/>
  <c r="N663" i="3"/>
  <c r="K663" i="3" s="1"/>
  <c r="D663" i="3"/>
  <c r="AJ255" i="2"/>
  <c r="AI255" i="2"/>
  <c r="R518" i="3"/>
  <c r="AD518" i="3"/>
  <c r="AC518" i="3"/>
  <c r="G388" i="2"/>
  <c r="J388" i="2"/>
  <c r="K388" i="2" s="1"/>
  <c r="AD251" i="2"/>
  <c r="AC251" i="2"/>
  <c r="AB251" i="2" s="1"/>
  <c r="S250" i="2"/>
  <c r="W518" i="3" l="1"/>
  <c r="AI518" i="3"/>
  <c r="W250" i="2"/>
  <c r="AP250" i="2"/>
  <c r="AL255" i="2"/>
  <c r="AM255" i="2" s="1"/>
  <c r="AE518" i="3"/>
  <c r="AF518" i="3" s="1"/>
  <c r="L388" i="2"/>
  <c r="M663" i="3"/>
  <c r="L663" i="3"/>
  <c r="AK255" i="2"/>
  <c r="N664" i="3"/>
  <c r="K664" i="3" s="1"/>
  <c r="D664" i="3"/>
  <c r="U519" i="3"/>
  <c r="T519" i="3"/>
  <c r="AA518" i="3"/>
  <c r="AD252" i="2"/>
  <c r="AC252" i="2"/>
  <c r="U251" i="2"/>
  <c r="T251" i="2"/>
  <c r="AE251" i="2"/>
  <c r="AF251" i="2" s="1"/>
  <c r="J389" i="2"/>
  <c r="K389" i="2" s="1"/>
  <c r="G389" i="2"/>
  <c r="V251" i="2" l="1"/>
  <c r="AE252" i="2"/>
  <c r="AF252" i="2" s="1"/>
  <c r="L389" i="2"/>
  <c r="M664" i="3"/>
  <c r="L664" i="3"/>
  <c r="V519" i="3"/>
  <c r="D665" i="3"/>
  <c r="N665" i="3"/>
  <c r="K665" i="3" s="1"/>
  <c r="AJ256" i="2"/>
  <c r="AI256" i="2"/>
  <c r="AD519" i="3"/>
  <c r="AC519" i="3"/>
  <c r="R519" i="3"/>
  <c r="AB252" i="2"/>
  <c r="G390" i="2"/>
  <c r="J390" i="2"/>
  <c r="K390" i="2" s="1"/>
  <c r="S251" i="2"/>
  <c r="W519" i="3" l="1"/>
  <c r="AI519" i="3"/>
  <c r="W251" i="2"/>
  <c r="AP251" i="2"/>
  <c r="AL256" i="2"/>
  <c r="AM256" i="2" s="1"/>
  <c r="L390" i="2"/>
  <c r="AE519" i="3"/>
  <c r="AF519" i="3" s="1"/>
  <c r="M665" i="3"/>
  <c r="L665" i="3"/>
  <c r="AK256" i="2"/>
  <c r="D666" i="3"/>
  <c r="N666" i="3"/>
  <c r="K666" i="3" s="1"/>
  <c r="U520" i="3"/>
  <c r="T520" i="3"/>
  <c r="AA519" i="3"/>
  <c r="G391" i="2"/>
  <c r="J391" i="2"/>
  <c r="K391" i="2" s="1"/>
  <c r="AD253" i="2"/>
  <c r="AC253" i="2"/>
  <c r="U252" i="2"/>
  <c r="T252" i="2"/>
  <c r="AE253" i="2" l="1"/>
  <c r="AF253" i="2" s="1"/>
  <c r="V252" i="2"/>
  <c r="L391" i="2"/>
  <c r="M666" i="3"/>
  <c r="L666" i="3"/>
  <c r="V520" i="3"/>
  <c r="D667" i="3"/>
  <c r="N667" i="3"/>
  <c r="K667" i="3" s="1"/>
  <c r="AJ257" i="2"/>
  <c r="AI257" i="2"/>
  <c r="AD520" i="3"/>
  <c r="AC520" i="3"/>
  <c r="R520" i="3"/>
  <c r="AB253" i="2"/>
  <c r="S252" i="2"/>
  <c r="G392" i="2"/>
  <c r="J392" i="2"/>
  <c r="K392" i="2" s="1"/>
  <c r="W520" i="3" l="1"/>
  <c r="AI520" i="3"/>
  <c r="W252" i="2"/>
  <c r="AP252" i="2"/>
  <c r="L392" i="2"/>
  <c r="AE520" i="3"/>
  <c r="AF520" i="3" s="1"/>
  <c r="M667" i="3"/>
  <c r="L667" i="3"/>
  <c r="AL257" i="2"/>
  <c r="AM257" i="2" s="1"/>
  <c r="AK257" i="2"/>
  <c r="N668" i="3"/>
  <c r="K668" i="3" s="1"/>
  <c r="D668" i="3"/>
  <c r="U521" i="3"/>
  <c r="T521" i="3"/>
  <c r="AA520" i="3"/>
  <c r="J393" i="2"/>
  <c r="K393" i="2" s="1"/>
  <c r="G393" i="2"/>
  <c r="U253" i="2"/>
  <c r="T253" i="2"/>
  <c r="AD254" i="2"/>
  <c r="AC254" i="2"/>
  <c r="AB254" i="2" s="1"/>
  <c r="V253" i="2" l="1"/>
  <c r="L393" i="2"/>
  <c r="L668" i="3"/>
  <c r="M668" i="3"/>
  <c r="V521" i="3"/>
  <c r="AJ258" i="2"/>
  <c r="AI258" i="2"/>
  <c r="N669" i="3"/>
  <c r="K669" i="3" s="1"/>
  <c r="D669" i="3"/>
  <c r="AD521" i="3"/>
  <c r="AC521" i="3"/>
  <c r="R521" i="3"/>
  <c r="AE254" i="2"/>
  <c r="AF254" i="2" s="1"/>
  <c r="S253" i="2"/>
  <c r="AD255" i="2"/>
  <c r="AC255" i="2"/>
  <c r="G394" i="2"/>
  <c r="J394" i="2"/>
  <c r="K394" i="2" s="1"/>
  <c r="AL258" i="2" l="1"/>
  <c r="AM258" i="2" s="1"/>
  <c r="W521" i="3"/>
  <c r="AI521" i="3"/>
  <c r="W253" i="2"/>
  <c r="AP253" i="2"/>
  <c r="L394" i="2"/>
  <c r="L669" i="3"/>
  <c r="M669" i="3"/>
  <c r="AE255" i="2"/>
  <c r="AF255" i="2" s="1"/>
  <c r="D670" i="3"/>
  <c r="N670" i="3"/>
  <c r="K670" i="3" s="1"/>
  <c r="AE521" i="3"/>
  <c r="AF521" i="3" s="1"/>
  <c r="AK258" i="2"/>
  <c r="U522" i="3"/>
  <c r="T522" i="3"/>
  <c r="AA521" i="3"/>
  <c r="AB255" i="2"/>
  <c r="U254" i="2"/>
  <c r="T254" i="2"/>
  <c r="G395" i="2"/>
  <c r="J395" i="2"/>
  <c r="K395" i="2" s="1"/>
  <c r="L395" i="2" l="1"/>
  <c r="V522" i="3"/>
  <c r="M670" i="3"/>
  <c r="L670" i="3"/>
  <c r="V254" i="2"/>
  <c r="AJ259" i="2"/>
  <c r="AI259" i="2"/>
  <c r="N671" i="3"/>
  <c r="K671" i="3" s="1"/>
  <c r="D671" i="3"/>
  <c r="AD522" i="3"/>
  <c r="AC522" i="3"/>
  <c r="R522" i="3"/>
  <c r="S254" i="2"/>
  <c r="G396" i="2"/>
  <c r="J396" i="2"/>
  <c r="K396" i="2" s="1"/>
  <c r="AD256" i="2"/>
  <c r="AC256" i="2"/>
  <c r="W522" i="3" l="1"/>
  <c r="AI522" i="3"/>
  <c r="W254" i="2"/>
  <c r="AP254" i="2"/>
  <c r="L396" i="2"/>
  <c r="L671" i="3"/>
  <c r="M671" i="3"/>
  <c r="AE256" i="2"/>
  <c r="AF256" i="2" s="1"/>
  <c r="AL259" i="2"/>
  <c r="AM259" i="2" s="1"/>
  <c r="D672" i="3"/>
  <c r="N672" i="3"/>
  <c r="K672" i="3" s="1"/>
  <c r="AE522" i="3"/>
  <c r="AF522" i="3" s="1"/>
  <c r="AK259" i="2"/>
  <c r="AA522" i="3"/>
  <c r="U523" i="3"/>
  <c r="T523" i="3"/>
  <c r="J397" i="2"/>
  <c r="K397" i="2" s="1"/>
  <c r="G397" i="2"/>
  <c r="AB256" i="2"/>
  <c r="U255" i="2"/>
  <c r="T255" i="2"/>
  <c r="L397" i="2" l="1"/>
  <c r="L672" i="3"/>
  <c r="M672" i="3"/>
  <c r="V523" i="3"/>
  <c r="V255" i="2"/>
  <c r="AJ260" i="2"/>
  <c r="AI260" i="2"/>
  <c r="D673" i="3"/>
  <c r="N673" i="3"/>
  <c r="K673" i="3" s="1"/>
  <c r="R523" i="3"/>
  <c r="AD523" i="3"/>
  <c r="AC523" i="3"/>
  <c r="G398" i="2"/>
  <c r="J398" i="2"/>
  <c r="K398" i="2" s="1"/>
  <c r="S255" i="2"/>
  <c r="AD257" i="2"/>
  <c r="AC257" i="2"/>
  <c r="W523" i="3" l="1"/>
  <c r="AI523" i="3"/>
  <c r="W255" i="2"/>
  <c r="AP255" i="2"/>
  <c r="AL260" i="2"/>
  <c r="AM260" i="2" s="1"/>
  <c r="AE257" i="2"/>
  <c r="AF257" i="2" s="1"/>
  <c r="L398" i="2"/>
  <c r="M673" i="3"/>
  <c r="L673" i="3"/>
  <c r="AE523" i="3"/>
  <c r="AF523" i="3" s="1"/>
  <c r="D674" i="3"/>
  <c r="N674" i="3"/>
  <c r="K674" i="3" s="1"/>
  <c r="AK260" i="2"/>
  <c r="AA523" i="3"/>
  <c r="U524" i="3"/>
  <c r="T524" i="3"/>
  <c r="U256" i="2"/>
  <c r="T256" i="2"/>
  <c r="AB257" i="2"/>
  <c r="G399" i="2"/>
  <c r="J399" i="2"/>
  <c r="K399" i="2" s="1"/>
  <c r="L399" i="2" l="1"/>
  <c r="V524" i="3"/>
  <c r="M674" i="3"/>
  <c r="L674" i="3"/>
  <c r="V256" i="2"/>
  <c r="AJ261" i="2"/>
  <c r="AI261" i="2"/>
  <c r="N675" i="3"/>
  <c r="K675" i="3" s="1"/>
  <c r="D675" i="3"/>
  <c r="R524" i="3"/>
  <c r="AD524" i="3"/>
  <c r="AC524" i="3"/>
  <c r="G400" i="2"/>
  <c r="J400" i="2"/>
  <c r="K400" i="2" s="1"/>
  <c r="S256" i="2"/>
  <c r="AD258" i="2"/>
  <c r="AC258" i="2"/>
  <c r="W524" i="3" l="1"/>
  <c r="AI524" i="3"/>
  <c r="W256" i="2"/>
  <c r="AP256" i="2"/>
  <c r="AL261" i="2"/>
  <c r="AM261" i="2" s="1"/>
  <c r="AE524" i="3"/>
  <c r="AF524" i="3" s="1"/>
  <c r="L400" i="2"/>
  <c r="M675" i="3"/>
  <c r="L675" i="3"/>
  <c r="AE258" i="2"/>
  <c r="AF258" i="2" s="1"/>
  <c r="N676" i="3"/>
  <c r="K676" i="3" s="1"/>
  <c r="D676" i="3"/>
  <c r="AK261" i="2"/>
  <c r="AA524" i="3"/>
  <c r="U525" i="3"/>
  <c r="T525" i="3"/>
  <c r="AB258" i="2"/>
  <c r="U257" i="2"/>
  <c r="T257" i="2"/>
  <c r="J401" i="2"/>
  <c r="K401" i="2" s="1"/>
  <c r="G401" i="2"/>
  <c r="V525" i="3" l="1"/>
  <c r="L401" i="2"/>
  <c r="L676" i="3"/>
  <c r="M676" i="3"/>
  <c r="V257" i="2"/>
  <c r="AJ262" i="2"/>
  <c r="AI262" i="2"/>
  <c r="N677" i="3"/>
  <c r="K677" i="3" s="1"/>
  <c r="D677" i="3"/>
  <c r="R525" i="3"/>
  <c r="AD525" i="3"/>
  <c r="AC525" i="3"/>
  <c r="G402" i="2"/>
  <c r="J402" i="2"/>
  <c r="K402" i="2" s="1"/>
  <c r="S257" i="2"/>
  <c r="AD259" i="2"/>
  <c r="AC259" i="2"/>
  <c r="W525" i="3" l="1"/>
  <c r="AI525" i="3"/>
  <c r="W257" i="2"/>
  <c r="AP257" i="2"/>
  <c r="AE525" i="3"/>
  <c r="AF525" i="3" s="1"/>
  <c r="L402" i="2"/>
  <c r="M677" i="3"/>
  <c r="L677" i="3"/>
  <c r="AE259" i="2"/>
  <c r="AF259" i="2" s="1"/>
  <c r="AL262" i="2"/>
  <c r="AM262" i="2" s="1"/>
  <c r="D678" i="3"/>
  <c r="N678" i="3"/>
  <c r="K678" i="3" s="1"/>
  <c r="AK262" i="2"/>
  <c r="AA525" i="3"/>
  <c r="U526" i="3"/>
  <c r="T526" i="3"/>
  <c r="AB259" i="2"/>
  <c r="U258" i="2"/>
  <c r="T258" i="2"/>
  <c r="G403" i="2"/>
  <c r="J403" i="2"/>
  <c r="K403" i="2" s="1"/>
  <c r="V526" i="3" l="1"/>
  <c r="L403" i="2"/>
  <c r="L678" i="3"/>
  <c r="M678" i="3"/>
  <c r="V258" i="2"/>
  <c r="AJ263" i="2"/>
  <c r="AI263" i="2"/>
  <c r="N679" i="3"/>
  <c r="K679" i="3" s="1"/>
  <c r="D679" i="3"/>
  <c r="R526" i="3"/>
  <c r="AD526" i="3"/>
  <c r="AC526" i="3"/>
  <c r="S258" i="2"/>
  <c r="G404" i="2"/>
  <c r="J404" i="2"/>
  <c r="K404" i="2" s="1"/>
  <c r="AD260" i="2"/>
  <c r="AC260" i="2"/>
  <c r="W526" i="3" l="1"/>
  <c r="AI526" i="3"/>
  <c r="W258" i="2"/>
  <c r="AP258" i="2"/>
  <c r="AL263" i="2"/>
  <c r="AM263" i="2" s="1"/>
  <c r="L404" i="2"/>
  <c r="L679" i="3"/>
  <c r="M679" i="3"/>
  <c r="AE260" i="2"/>
  <c r="AF260" i="2" s="1"/>
  <c r="N680" i="3"/>
  <c r="K680" i="3" s="1"/>
  <c r="D680" i="3"/>
  <c r="AK263" i="2"/>
  <c r="AE526" i="3"/>
  <c r="AF526" i="3" s="1"/>
  <c r="AA526" i="3"/>
  <c r="U527" i="3"/>
  <c r="T527" i="3"/>
  <c r="J405" i="2"/>
  <c r="K405" i="2" s="1"/>
  <c r="G405" i="2"/>
  <c r="AB260" i="2"/>
  <c r="U259" i="2"/>
  <c r="T259" i="2"/>
  <c r="L405" i="2" l="1"/>
  <c r="L680" i="3"/>
  <c r="M680" i="3"/>
  <c r="V259" i="2"/>
  <c r="AJ264" i="2"/>
  <c r="AI264" i="2"/>
  <c r="AL264" i="2" s="1"/>
  <c r="AM264" i="2" s="1"/>
  <c r="D681" i="3"/>
  <c r="N681" i="3"/>
  <c r="K681" i="3" s="1"/>
  <c r="V527" i="3"/>
  <c r="AD527" i="3"/>
  <c r="AC527" i="3"/>
  <c r="R527" i="3"/>
  <c r="G406" i="2"/>
  <c r="J406" i="2"/>
  <c r="K406" i="2" s="1"/>
  <c r="S259" i="2"/>
  <c r="AD261" i="2"/>
  <c r="AC261" i="2"/>
  <c r="W527" i="3" l="1"/>
  <c r="AI527" i="3"/>
  <c r="W259" i="2"/>
  <c r="AP259" i="2"/>
  <c r="L406" i="2"/>
  <c r="AE527" i="3"/>
  <c r="AF527" i="3" s="1"/>
  <c r="L681" i="3"/>
  <c r="M681" i="3"/>
  <c r="AE261" i="2"/>
  <c r="AF261" i="2" s="1"/>
  <c r="N682" i="3"/>
  <c r="K682" i="3" s="1"/>
  <c r="D682" i="3"/>
  <c r="AK264" i="2"/>
  <c r="U528" i="3"/>
  <c r="T528" i="3"/>
  <c r="AA527" i="3"/>
  <c r="U260" i="2"/>
  <c r="T260" i="2"/>
  <c r="AB261" i="2"/>
  <c r="G407" i="2"/>
  <c r="J407" i="2"/>
  <c r="K407" i="2" s="1"/>
  <c r="L407" i="2" l="1"/>
  <c r="L682" i="3"/>
  <c r="M682" i="3"/>
  <c r="V528" i="3"/>
  <c r="AJ265" i="2"/>
  <c r="AI265" i="2"/>
  <c r="V260" i="2"/>
  <c r="N683" i="3"/>
  <c r="K683" i="3" s="1"/>
  <c r="D683" i="3"/>
  <c r="R528" i="3"/>
  <c r="AD528" i="3"/>
  <c r="AC528" i="3"/>
  <c r="AD262" i="2"/>
  <c r="AC262" i="2"/>
  <c r="G408" i="2"/>
  <c r="J408" i="2"/>
  <c r="K408" i="2" s="1"/>
  <c r="S260" i="2"/>
  <c r="W528" i="3" l="1"/>
  <c r="AI528" i="3"/>
  <c r="W260" i="2"/>
  <c r="AP260" i="2"/>
  <c r="AE262" i="2"/>
  <c r="AF262" i="2" s="1"/>
  <c r="AL265" i="2"/>
  <c r="AM265" i="2" s="1"/>
  <c r="L408" i="2"/>
  <c r="L683" i="3"/>
  <c r="M683" i="3"/>
  <c r="D684" i="3"/>
  <c r="N684" i="3"/>
  <c r="K684" i="3" s="1"/>
  <c r="AE528" i="3"/>
  <c r="AF528" i="3" s="1"/>
  <c r="AK265" i="2"/>
  <c r="AA528" i="3"/>
  <c r="U529" i="3"/>
  <c r="T529" i="3"/>
  <c r="J409" i="2"/>
  <c r="K409" i="2" s="1"/>
  <c r="G409" i="2"/>
  <c r="U261" i="2"/>
  <c r="T261" i="2"/>
  <c r="V261" i="2" s="1"/>
  <c r="AB262" i="2"/>
  <c r="W261" i="2" l="1"/>
  <c r="AP261" i="2"/>
  <c r="L409" i="2"/>
  <c r="L684" i="3"/>
  <c r="M684" i="3"/>
  <c r="AJ266" i="2"/>
  <c r="AI266" i="2"/>
  <c r="V529" i="3"/>
  <c r="N685" i="3"/>
  <c r="K685" i="3" s="1"/>
  <c r="D685" i="3"/>
  <c r="R529" i="3"/>
  <c r="AD529" i="3"/>
  <c r="AC529" i="3"/>
  <c r="S261" i="2"/>
  <c r="U262" i="2" s="1"/>
  <c r="G410" i="2"/>
  <c r="J410" i="2"/>
  <c r="K410" i="2" s="1"/>
  <c r="AD263" i="2"/>
  <c r="AC263" i="2"/>
  <c r="W529" i="3" l="1"/>
  <c r="AI529" i="3"/>
  <c r="AL266" i="2"/>
  <c r="AM266" i="2" s="1"/>
  <c r="T262" i="2"/>
  <c r="V262" i="2" s="1"/>
  <c r="L410" i="2"/>
  <c r="AE529" i="3"/>
  <c r="AF529" i="3" s="1"/>
  <c r="M685" i="3"/>
  <c r="L685" i="3"/>
  <c r="AE263" i="2"/>
  <c r="AF263" i="2" s="1"/>
  <c r="D686" i="3"/>
  <c r="N686" i="3"/>
  <c r="K686" i="3" s="1"/>
  <c r="AK266" i="2"/>
  <c r="AA529" i="3"/>
  <c r="U530" i="3"/>
  <c r="T530" i="3"/>
  <c r="AB263" i="2"/>
  <c r="G411" i="2"/>
  <c r="J411" i="2"/>
  <c r="K411" i="2" s="1"/>
  <c r="W262" i="2" l="1"/>
  <c r="AP262" i="2"/>
  <c r="S262" i="2"/>
  <c r="T263" i="2" s="1"/>
  <c r="V530" i="3"/>
  <c r="L411" i="2"/>
  <c r="L686" i="3"/>
  <c r="M686" i="3"/>
  <c r="AJ267" i="2"/>
  <c r="AI267" i="2"/>
  <c r="N687" i="3"/>
  <c r="K687" i="3" s="1"/>
  <c r="D687" i="3"/>
  <c r="R530" i="3"/>
  <c r="AD530" i="3"/>
  <c r="AC530" i="3"/>
  <c r="G412" i="2"/>
  <c r="J412" i="2"/>
  <c r="K412" i="2" s="1"/>
  <c r="AD264" i="2"/>
  <c r="AC264" i="2"/>
  <c r="U263" i="2"/>
  <c r="W530" i="3" l="1"/>
  <c r="AI530" i="3"/>
  <c r="AL267" i="2"/>
  <c r="AM267" i="2" s="1"/>
  <c r="L412" i="2"/>
  <c r="AE530" i="3"/>
  <c r="AF530" i="3" s="1"/>
  <c r="M687" i="3"/>
  <c r="L687" i="3"/>
  <c r="N688" i="3"/>
  <c r="K688" i="3" s="1"/>
  <c r="D688" i="3"/>
  <c r="AK267" i="2"/>
  <c r="AA530" i="3"/>
  <c r="U531" i="3"/>
  <c r="T531" i="3"/>
  <c r="AE264" i="2"/>
  <c r="AF264" i="2" s="1"/>
  <c r="V263" i="2"/>
  <c r="AB264" i="2"/>
  <c r="J413" i="2"/>
  <c r="K413" i="2" s="1"/>
  <c r="G413" i="2"/>
  <c r="S263" i="2"/>
  <c r="W263" i="2" l="1"/>
  <c r="AP263" i="2"/>
  <c r="L413" i="2"/>
  <c r="M688" i="3"/>
  <c r="L688" i="3"/>
  <c r="V531" i="3"/>
  <c r="AJ268" i="2"/>
  <c r="AI268" i="2"/>
  <c r="N689" i="3"/>
  <c r="K689" i="3" s="1"/>
  <c r="D689" i="3"/>
  <c r="R531" i="3"/>
  <c r="AD531" i="3"/>
  <c r="AC531" i="3"/>
  <c r="G414" i="2"/>
  <c r="J414" i="2"/>
  <c r="K414" i="2" s="1"/>
  <c r="AD265" i="2"/>
  <c r="AC265" i="2"/>
  <c r="AB265" i="2" s="1"/>
  <c r="U264" i="2"/>
  <c r="T264" i="2"/>
  <c r="W531" i="3" l="1"/>
  <c r="AI531" i="3"/>
  <c r="AE531" i="3"/>
  <c r="AF531" i="3" s="1"/>
  <c r="AL268" i="2"/>
  <c r="AM268" i="2" s="1"/>
  <c r="L414" i="2"/>
  <c r="M689" i="3"/>
  <c r="L689" i="3"/>
  <c r="V264" i="2"/>
  <c r="D690" i="3"/>
  <c r="N690" i="3"/>
  <c r="K690" i="3" s="1"/>
  <c r="AK268" i="2"/>
  <c r="AA531" i="3"/>
  <c r="U532" i="3"/>
  <c r="T532" i="3"/>
  <c r="AD266" i="2"/>
  <c r="AC266" i="2"/>
  <c r="S264" i="2"/>
  <c r="AE265" i="2"/>
  <c r="AF265" i="2" s="1"/>
  <c r="G415" i="2"/>
  <c r="J415" i="2"/>
  <c r="K415" i="2" s="1"/>
  <c r="W264" i="2" l="1"/>
  <c r="AP264" i="2"/>
  <c r="L415" i="2"/>
  <c r="V532" i="3"/>
  <c r="L690" i="3"/>
  <c r="M690" i="3"/>
  <c r="AE266" i="2"/>
  <c r="AF266" i="2" s="1"/>
  <c r="AJ269" i="2"/>
  <c r="AI269" i="2"/>
  <c r="D691" i="3"/>
  <c r="N691" i="3"/>
  <c r="K691" i="3" s="1"/>
  <c r="R532" i="3"/>
  <c r="AD532" i="3"/>
  <c r="AC532" i="3"/>
  <c r="U265" i="2"/>
  <c r="T265" i="2"/>
  <c r="G416" i="2"/>
  <c r="J416" i="2"/>
  <c r="K416" i="2" s="1"/>
  <c r="AB266" i="2"/>
  <c r="W532" i="3" l="1"/>
  <c r="AI532" i="3"/>
  <c r="AL269" i="2"/>
  <c r="AM269" i="2" s="1"/>
  <c r="AE532" i="3"/>
  <c r="AF532" i="3" s="1"/>
  <c r="L416" i="2"/>
  <c r="M691" i="3"/>
  <c r="L691" i="3"/>
  <c r="V265" i="2"/>
  <c r="D692" i="3"/>
  <c r="N692" i="3"/>
  <c r="K692" i="3" s="1"/>
  <c r="AK269" i="2"/>
  <c r="AA532" i="3"/>
  <c r="U533" i="3"/>
  <c r="T533" i="3"/>
  <c r="AD267" i="2"/>
  <c r="AC267" i="2"/>
  <c r="S265" i="2"/>
  <c r="J417" i="2"/>
  <c r="K417" i="2" s="1"/>
  <c r="G417" i="2"/>
  <c r="V533" i="3" l="1"/>
  <c r="W533" i="3" s="1"/>
  <c r="W265" i="2"/>
  <c r="AP265" i="2"/>
  <c r="L417" i="2"/>
  <c r="M692" i="3"/>
  <c r="L692" i="3"/>
  <c r="AE267" i="2"/>
  <c r="AF267" i="2" s="1"/>
  <c r="AJ270" i="2"/>
  <c r="AI270" i="2"/>
  <c r="D693" i="3"/>
  <c r="N693" i="3"/>
  <c r="K693" i="3" s="1"/>
  <c r="R533" i="3"/>
  <c r="AD533" i="3"/>
  <c r="AC533" i="3"/>
  <c r="U266" i="2"/>
  <c r="T266" i="2"/>
  <c r="G418" i="2"/>
  <c r="J418" i="2"/>
  <c r="K418" i="2" s="1"/>
  <c r="AB267" i="2"/>
  <c r="AI533" i="3" l="1"/>
  <c r="AL270" i="2"/>
  <c r="AM270" i="2" s="1"/>
  <c r="AE533" i="3"/>
  <c r="AF533" i="3" s="1"/>
  <c r="L418" i="2"/>
  <c r="M693" i="3"/>
  <c r="L693" i="3"/>
  <c r="V266" i="2"/>
  <c r="AK270" i="2"/>
  <c r="D694" i="3"/>
  <c r="N694" i="3"/>
  <c r="K694" i="3" s="1"/>
  <c r="AA533" i="3"/>
  <c r="U534" i="3"/>
  <c r="T534" i="3"/>
  <c r="G419" i="2"/>
  <c r="J419" i="2"/>
  <c r="K419" i="2" s="1"/>
  <c r="S266" i="2"/>
  <c r="AD268" i="2"/>
  <c r="AC268" i="2"/>
  <c r="AE268" i="2" l="1"/>
  <c r="AF268" i="2" s="1"/>
  <c r="W266" i="2"/>
  <c r="AP266" i="2"/>
  <c r="L419" i="2"/>
  <c r="V534" i="3"/>
  <c r="L694" i="3"/>
  <c r="M694" i="3"/>
  <c r="N695" i="3"/>
  <c r="K695" i="3" s="1"/>
  <c r="D695" i="3"/>
  <c r="AJ271" i="2"/>
  <c r="AI271" i="2"/>
  <c r="AD534" i="3"/>
  <c r="AC534" i="3"/>
  <c r="R534" i="3"/>
  <c r="AB268" i="2"/>
  <c r="G420" i="2"/>
  <c r="J420" i="2"/>
  <c r="K420" i="2" s="1"/>
  <c r="U267" i="2"/>
  <c r="T267" i="2"/>
  <c r="W534" i="3" l="1"/>
  <c r="AI534" i="3"/>
  <c r="AL271" i="2"/>
  <c r="AM271" i="2" s="1"/>
  <c r="V267" i="2"/>
  <c r="L420" i="2"/>
  <c r="M695" i="3"/>
  <c r="L695" i="3"/>
  <c r="AE534" i="3"/>
  <c r="AF534" i="3" s="1"/>
  <c r="AK271" i="2"/>
  <c r="N696" i="3"/>
  <c r="K696" i="3" s="1"/>
  <c r="D696" i="3"/>
  <c r="U535" i="3"/>
  <c r="T535" i="3"/>
  <c r="AA534" i="3"/>
  <c r="J421" i="2"/>
  <c r="K421" i="2" s="1"/>
  <c r="G421" i="2"/>
  <c r="S267" i="2"/>
  <c r="AD269" i="2"/>
  <c r="AC269" i="2"/>
  <c r="W267" i="2" l="1"/>
  <c r="AP267" i="2"/>
  <c r="L421" i="2"/>
  <c r="M696" i="3"/>
  <c r="L696" i="3"/>
  <c r="AE269" i="2"/>
  <c r="AF269" i="2" s="1"/>
  <c r="V535" i="3"/>
  <c r="N697" i="3"/>
  <c r="K697" i="3" s="1"/>
  <c r="D697" i="3"/>
  <c r="AJ272" i="2"/>
  <c r="AI272" i="2"/>
  <c r="AD535" i="3"/>
  <c r="AC535" i="3"/>
  <c r="R535" i="3"/>
  <c r="G422" i="2"/>
  <c r="J422" i="2"/>
  <c r="K422" i="2" s="1"/>
  <c r="AB269" i="2"/>
  <c r="U268" i="2"/>
  <c r="T268" i="2"/>
  <c r="W535" i="3" l="1"/>
  <c r="AI535" i="3"/>
  <c r="AE535" i="3"/>
  <c r="AF535" i="3" s="1"/>
  <c r="V268" i="2"/>
  <c r="L422" i="2"/>
  <c r="M697" i="3"/>
  <c r="L697" i="3"/>
  <c r="AL272" i="2"/>
  <c r="AM272" i="2" s="1"/>
  <c r="AK272" i="2"/>
  <c r="N698" i="3"/>
  <c r="K698" i="3" s="1"/>
  <c r="D698" i="3"/>
  <c r="U536" i="3"/>
  <c r="T536" i="3"/>
  <c r="AA535" i="3"/>
  <c r="AD270" i="2"/>
  <c r="AC270" i="2"/>
  <c r="S268" i="2"/>
  <c r="G423" i="2"/>
  <c r="J423" i="2"/>
  <c r="K423" i="2" s="1"/>
  <c r="W268" i="2" l="1"/>
  <c r="AP268" i="2"/>
  <c r="L423" i="2"/>
  <c r="M698" i="3"/>
  <c r="L698" i="3"/>
  <c r="AE270" i="2"/>
  <c r="AF270" i="2" s="1"/>
  <c r="V536" i="3"/>
  <c r="D699" i="3"/>
  <c r="N699" i="3"/>
  <c r="K699" i="3" s="1"/>
  <c r="AJ273" i="2"/>
  <c r="AI273" i="2"/>
  <c r="AD536" i="3"/>
  <c r="AC536" i="3"/>
  <c r="R536" i="3"/>
  <c r="G424" i="2"/>
  <c r="J424" i="2"/>
  <c r="K424" i="2" s="1"/>
  <c r="AB270" i="2"/>
  <c r="U269" i="2"/>
  <c r="T269" i="2"/>
  <c r="AE536" i="3" l="1"/>
  <c r="AF536" i="3" s="1"/>
  <c r="W536" i="3"/>
  <c r="AI536" i="3"/>
  <c r="V269" i="2"/>
  <c r="L424" i="2"/>
  <c r="L699" i="3"/>
  <c r="M699" i="3"/>
  <c r="AL273" i="2"/>
  <c r="AM273" i="2" s="1"/>
  <c r="AK273" i="2"/>
  <c r="N700" i="3"/>
  <c r="K700" i="3" s="1"/>
  <c r="D700" i="3"/>
  <c r="U537" i="3"/>
  <c r="T537" i="3"/>
  <c r="AA536" i="3"/>
  <c r="S269" i="2"/>
  <c r="AD271" i="2"/>
  <c r="AC271" i="2"/>
  <c r="AB271" i="2" s="1"/>
  <c r="J425" i="2"/>
  <c r="K425" i="2" s="1"/>
  <c r="G425" i="2"/>
  <c r="W269" i="2" l="1"/>
  <c r="AP269" i="2"/>
  <c r="L425" i="2"/>
  <c r="L700" i="3"/>
  <c r="M700" i="3"/>
  <c r="V537" i="3"/>
  <c r="N701" i="3"/>
  <c r="K701" i="3" s="1"/>
  <c r="D701" i="3"/>
  <c r="AJ274" i="2"/>
  <c r="AI274" i="2"/>
  <c r="AD537" i="3"/>
  <c r="AC537" i="3"/>
  <c r="R537" i="3"/>
  <c r="G426" i="2"/>
  <c r="J426" i="2"/>
  <c r="K426" i="2" s="1"/>
  <c r="AD272" i="2"/>
  <c r="AC272" i="2"/>
  <c r="U270" i="2"/>
  <c r="T270" i="2"/>
  <c r="S270" i="2" s="1"/>
  <c r="AE271" i="2"/>
  <c r="AF271" i="2" s="1"/>
  <c r="W537" i="3" l="1"/>
  <c r="AI537" i="3"/>
  <c r="AE272" i="2"/>
  <c r="AF272" i="2" s="1"/>
  <c r="L426" i="2"/>
  <c r="L701" i="3"/>
  <c r="M701" i="3"/>
  <c r="AL274" i="2"/>
  <c r="AM274" i="2" s="1"/>
  <c r="AK274" i="2"/>
  <c r="D702" i="3"/>
  <c r="N702" i="3"/>
  <c r="K702" i="3" s="1"/>
  <c r="AE537" i="3"/>
  <c r="AF537" i="3" s="1"/>
  <c r="U538" i="3"/>
  <c r="T538" i="3"/>
  <c r="AA537" i="3"/>
  <c r="G427" i="2"/>
  <c r="J427" i="2"/>
  <c r="K427" i="2" s="1"/>
  <c r="V270" i="2"/>
  <c r="AB272" i="2"/>
  <c r="U271" i="2"/>
  <c r="T271" i="2"/>
  <c r="W270" i="2" l="1"/>
  <c r="AP270" i="2"/>
  <c r="V271" i="2"/>
  <c r="L427" i="2"/>
  <c r="M702" i="3"/>
  <c r="L702" i="3"/>
  <c r="V538" i="3"/>
  <c r="N703" i="3"/>
  <c r="K703" i="3" s="1"/>
  <c r="D703" i="3"/>
  <c r="AJ275" i="2"/>
  <c r="AI275" i="2"/>
  <c r="AD538" i="3"/>
  <c r="AC538" i="3"/>
  <c r="R538" i="3"/>
  <c r="AD273" i="2"/>
  <c r="AC273" i="2"/>
  <c r="S271" i="2"/>
  <c r="G428" i="2"/>
  <c r="J428" i="2"/>
  <c r="K428" i="2" s="1"/>
  <c r="W538" i="3" l="1"/>
  <c r="AI538" i="3"/>
  <c r="W271" i="2"/>
  <c r="AP271" i="2"/>
  <c r="L428" i="2"/>
  <c r="L703" i="3"/>
  <c r="M703" i="3"/>
  <c r="AL275" i="2"/>
  <c r="AM275" i="2" s="1"/>
  <c r="AE538" i="3"/>
  <c r="AF538" i="3" s="1"/>
  <c r="AE273" i="2"/>
  <c r="AF273" i="2" s="1"/>
  <c r="AK275" i="2"/>
  <c r="N704" i="3"/>
  <c r="K704" i="3" s="1"/>
  <c r="D704" i="3"/>
  <c r="U539" i="3"/>
  <c r="T539" i="3"/>
  <c r="R539" i="3" s="1"/>
  <c r="AA538" i="3"/>
  <c r="AB273" i="2"/>
  <c r="J429" i="2"/>
  <c r="K429" i="2" s="1"/>
  <c r="G429" i="2"/>
  <c r="U272" i="2"/>
  <c r="T272" i="2"/>
  <c r="V272" i="2" l="1"/>
  <c r="L429" i="2"/>
  <c r="M704" i="3"/>
  <c r="L704" i="3"/>
  <c r="N705" i="3"/>
  <c r="K705" i="3" s="1"/>
  <c r="D705" i="3"/>
  <c r="AJ276" i="2"/>
  <c r="AI276" i="2"/>
  <c r="U540" i="3"/>
  <c r="T540" i="3"/>
  <c r="R540" i="3" s="1"/>
  <c r="AD539" i="3"/>
  <c r="AC539" i="3"/>
  <c r="AA539" i="3" s="1"/>
  <c r="V539" i="3"/>
  <c r="S272" i="2"/>
  <c r="G430" i="2"/>
  <c r="J430" i="2"/>
  <c r="K430" i="2" s="1"/>
  <c r="AD274" i="2"/>
  <c r="AC274" i="2"/>
  <c r="AL276" i="2" l="1"/>
  <c r="AM276" i="2" s="1"/>
  <c r="W539" i="3"/>
  <c r="AI539" i="3"/>
  <c r="W272" i="2"/>
  <c r="AP272" i="2"/>
  <c r="AE274" i="2"/>
  <c r="AF274" i="2" s="1"/>
  <c r="L430" i="2"/>
  <c r="M705" i="3"/>
  <c r="L705" i="3"/>
  <c r="AK276" i="2"/>
  <c r="D706" i="3"/>
  <c r="N706" i="3"/>
  <c r="K706" i="3" s="1"/>
  <c r="AE539" i="3"/>
  <c r="AF539" i="3" s="1"/>
  <c r="AD540" i="3"/>
  <c r="AC540" i="3"/>
  <c r="U541" i="3"/>
  <c r="T541" i="3"/>
  <c r="V540" i="3"/>
  <c r="U273" i="2"/>
  <c r="T273" i="2"/>
  <c r="AB274" i="2"/>
  <c r="G431" i="2"/>
  <c r="J431" i="2"/>
  <c r="K431" i="2" s="1"/>
  <c r="W540" i="3" l="1"/>
  <c r="AI540" i="3"/>
  <c r="V541" i="3"/>
  <c r="V273" i="2"/>
  <c r="L431" i="2"/>
  <c r="M706" i="3"/>
  <c r="L706" i="3"/>
  <c r="AE540" i="3"/>
  <c r="AF540" i="3" s="1"/>
  <c r="D707" i="3"/>
  <c r="N707" i="3"/>
  <c r="K707" i="3" s="1"/>
  <c r="AJ277" i="2"/>
  <c r="AI277" i="2"/>
  <c r="AA540" i="3"/>
  <c r="R541" i="3"/>
  <c r="AD275" i="2"/>
  <c r="AC275" i="2"/>
  <c r="G432" i="2"/>
  <c r="J432" i="2"/>
  <c r="K432" i="2" s="1"/>
  <c r="S273" i="2"/>
  <c r="W541" i="3" l="1"/>
  <c r="AI541" i="3"/>
  <c r="W273" i="2"/>
  <c r="AP273" i="2"/>
  <c r="AE275" i="2"/>
  <c r="AF275" i="2" s="1"/>
  <c r="AL277" i="2"/>
  <c r="AM277" i="2" s="1"/>
  <c r="L432" i="2"/>
  <c r="M707" i="3"/>
  <c r="L707" i="3"/>
  <c r="AK277" i="2"/>
  <c r="D708" i="3"/>
  <c r="N708" i="3"/>
  <c r="K708" i="3" s="1"/>
  <c r="U542" i="3"/>
  <c r="T542" i="3"/>
  <c r="R542" i="3" s="1"/>
  <c r="AD541" i="3"/>
  <c r="AC541" i="3"/>
  <c r="J433" i="2"/>
  <c r="K433" i="2" s="1"/>
  <c r="G433" i="2"/>
  <c r="U274" i="2"/>
  <c r="T274" i="2"/>
  <c r="AB275" i="2"/>
  <c r="V274" i="2" l="1"/>
  <c r="L433" i="2"/>
  <c r="M708" i="3"/>
  <c r="L708" i="3"/>
  <c r="AE541" i="3"/>
  <c r="AF541" i="3" s="1"/>
  <c r="D709" i="3"/>
  <c r="N709" i="3"/>
  <c r="K709" i="3" s="1"/>
  <c r="AJ278" i="2"/>
  <c r="AI278" i="2"/>
  <c r="U543" i="3"/>
  <c r="T543" i="3"/>
  <c r="R543" i="3" s="1"/>
  <c r="AA541" i="3"/>
  <c r="V542" i="3"/>
  <c r="AD276" i="2"/>
  <c r="AC276" i="2"/>
  <c r="G434" i="2"/>
  <c r="J434" i="2"/>
  <c r="K434" i="2" s="1"/>
  <c r="S274" i="2"/>
  <c r="W542" i="3" l="1"/>
  <c r="AI542" i="3"/>
  <c r="W274" i="2"/>
  <c r="AP274" i="2"/>
  <c r="L434" i="2"/>
  <c r="L709" i="3"/>
  <c r="M709" i="3"/>
  <c r="AL278" i="2"/>
  <c r="AM278" i="2" s="1"/>
  <c r="AE276" i="2"/>
  <c r="AF276" i="2" s="1"/>
  <c r="AK278" i="2"/>
  <c r="N710" i="3"/>
  <c r="K710" i="3" s="1"/>
  <c r="D710" i="3"/>
  <c r="U544" i="3"/>
  <c r="T544" i="3"/>
  <c r="AD542" i="3"/>
  <c r="AC542" i="3"/>
  <c r="V543" i="3"/>
  <c r="U275" i="2"/>
  <c r="T275" i="2"/>
  <c r="AB276" i="2"/>
  <c r="G435" i="2"/>
  <c r="J435" i="2"/>
  <c r="K435" i="2" s="1"/>
  <c r="W543" i="3" l="1"/>
  <c r="AI543" i="3"/>
  <c r="V275" i="2"/>
  <c r="L435" i="2"/>
  <c r="L710" i="3"/>
  <c r="M710" i="3"/>
  <c r="V544" i="3"/>
  <c r="D711" i="3"/>
  <c r="N711" i="3"/>
  <c r="K711" i="3" s="1"/>
  <c r="AE542" i="3"/>
  <c r="AF542" i="3" s="1"/>
  <c r="AJ279" i="2"/>
  <c r="AI279" i="2"/>
  <c r="AA542" i="3"/>
  <c r="R544" i="3"/>
  <c r="AD277" i="2"/>
  <c r="AC277" i="2"/>
  <c r="S275" i="2"/>
  <c r="G436" i="2"/>
  <c r="J436" i="2"/>
  <c r="K436" i="2" s="1"/>
  <c r="W544" i="3" l="1"/>
  <c r="AI544" i="3"/>
  <c r="W275" i="2"/>
  <c r="AP275" i="2"/>
  <c r="AL279" i="2"/>
  <c r="AM279" i="2" s="1"/>
  <c r="L436" i="2"/>
  <c r="M711" i="3"/>
  <c r="L711" i="3"/>
  <c r="AE277" i="2"/>
  <c r="AF277" i="2" s="1"/>
  <c r="AK279" i="2"/>
  <c r="D712" i="3"/>
  <c r="N712" i="3"/>
  <c r="K712" i="3" s="1"/>
  <c r="U545" i="3"/>
  <c r="T545" i="3"/>
  <c r="AD543" i="3"/>
  <c r="AC543" i="3"/>
  <c r="U276" i="2"/>
  <c r="T276" i="2"/>
  <c r="AB277" i="2"/>
  <c r="J437" i="2"/>
  <c r="K437" i="2" s="1"/>
  <c r="G437" i="2"/>
  <c r="V276" i="2" l="1"/>
  <c r="L437" i="2"/>
  <c r="L712" i="3"/>
  <c r="M712" i="3"/>
  <c r="V545" i="3"/>
  <c r="D713" i="3"/>
  <c r="N713" i="3"/>
  <c r="K713" i="3" s="1"/>
  <c r="AE543" i="3"/>
  <c r="AF543" i="3" s="1"/>
  <c r="AJ280" i="2"/>
  <c r="AI280" i="2"/>
  <c r="R545" i="3"/>
  <c r="AA543" i="3"/>
  <c r="G438" i="2"/>
  <c r="J438" i="2"/>
  <c r="K438" i="2" s="1"/>
  <c r="S276" i="2"/>
  <c r="AD278" i="2"/>
  <c r="AC278" i="2"/>
  <c r="W545" i="3" l="1"/>
  <c r="AI545" i="3"/>
  <c r="W276" i="2"/>
  <c r="AP276" i="2"/>
  <c r="AL280" i="2"/>
  <c r="AM280" i="2" s="1"/>
  <c r="L438" i="2"/>
  <c r="M713" i="3"/>
  <c r="L713" i="3"/>
  <c r="AE278" i="2"/>
  <c r="AF278" i="2" s="1"/>
  <c r="AK280" i="2"/>
  <c r="N714" i="3"/>
  <c r="K714" i="3" s="1"/>
  <c r="D714" i="3"/>
  <c r="AD544" i="3"/>
  <c r="AC544" i="3"/>
  <c r="AA544" i="3" s="1"/>
  <c r="U546" i="3"/>
  <c r="T546" i="3"/>
  <c r="G439" i="2"/>
  <c r="J439" i="2"/>
  <c r="K439" i="2" s="1"/>
  <c r="AB278" i="2"/>
  <c r="U277" i="2"/>
  <c r="T277" i="2"/>
  <c r="V546" i="3" l="1"/>
  <c r="L439" i="2"/>
  <c r="L714" i="3"/>
  <c r="M714" i="3"/>
  <c r="V277" i="2"/>
  <c r="D715" i="3"/>
  <c r="N715" i="3"/>
  <c r="K715" i="3" s="1"/>
  <c r="AJ281" i="2"/>
  <c r="AI281" i="2"/>
  <c r="AD545" i="3"/>
  <c r="AC545" i="3"/>
  <c r="R546" i="3"/>
  <c r="AE544" i="3"/>
  <c r="AF544" i="3" s="1"/>
  <c r="S277" i="2"/>
  <c r="AD279" i="2"/>
  <c r="AC279" i="2"/>
  <c r="G440" i="2"/>
  <c r="J440" i="2"/>
  <c r="K440" i="2" s="1"/>
  <c r="W546" i="3" l="1"/>
  <c r="AI546" i="3"/>
  <c r="W277" i="2"/>
  <c r="AP277" i="2"/>
  <c r="L440" i="2"/>
  <c r="M715" i="3"/>
  <c r="L715" i="3"/>
  <c r="AL281" i="2"/>
  <c r="AM281" i="2" s="1"/>
  <c r="AE545" i="3"/>
  <c r="AF545" i="3" s="1"/>
  <c r="AE279" i="2"/>
  <c r="AF279" i="2" s="1"/>
  <c r="AK281" i="2"/>
  <c r="D716" i="3"/>
  <c r="N716" i="3"/>
  <c r="K716" i="3" s="1"/>
  <c r="U547" i="3"/>
  <c r="T547" i="3"/>
  <c r="AA545" i="3"/>
  <c r="AB279" i="2"/>
  <c r="J441" i="2"/>
  <c r="K441" i="2" s="1"/>
  <c r="G441" i="2"/>
  <c r="U278" i="2"/>
  <c r="T278" i="2"/>
  <c r="V278" i="2" l="1"/>
  <c r="L441" i="2"/>
  <c r="M716" i="3"/>
  <c r="L716" i="3"/>
  <c r="V547" i="3"/>
  <c r="N717" i="3"/>
  <c r="K717" i="3" s="1"/>
  <c r="D717" i="3"/>
  <c r="AJ282" i="2"/>
  <c r="AI282" i="2"/>
  <c r="AD546" i="3"/>
  <c r="AC546" i="3"/>
  <c r="AA546" i="3" s="1"/>
  <c r="R547" i="3"/>
  <c r="G442" i="2"/>
  <c r="J442" i="2"/>
  <c r="K442" i="2" s="1"/>
  <c r="S278" i="2"/>
  <c r="AD280" i="2"/>
  <c r="AC280" i="2"/>
  <c r="W547" i="3" l="1"/>
  <c r="AI547" i="3"/>
  <c r="W278" i="2"/>
  <c r="AP278" i="2"/>
  <c r="L442" i="2"/>
  <c r="L717" i="3"/>
  <c r="M717" i="3"/>
  <c r="AE280" i="2"/>
  <c r="AF280" i="2" s="1"/>
  <c r="AL282" i="2"/>
  <c r="AM282" i="2" s="1"/>
  <c r="AK282" i="2"/>
  <c r="D718" i="3"/>
  <c r="N718" i="3"/>
  <c r="K718" i="3" s="1"/>
  <c r="U548" i="3"/>
  <c r="T548" i="3"/>
  <c r="AD547" i="3"/>
  <c r="AC547" i="3"/>
  <c r="AE546" i="3"/>
  <c r="AF546" i="3" s="1"/>
  <c r="U279" i="2"/>
  <c r="T279" i="2"/>
  <c r="AB280" i="2"/>
  <c r="G443" i="2"/>
  <c r="J443" i="2"/>
  <c r="K443" i="2" s="1"/>
  <c r="V279" i="2" l="1"/>
  <c r="L443" i="2"/>
  <c r="M718" i="3"/>
  <c r="L718" i="3"/>
  <c r="AE547" i="3"/>
  <c r="AF547" i="3" s="1"/>
  <c r="V548" i="3"/>
  <c r="N719" i="3"/>
  <c r="K719" i="3" s="1"/>
  <c r="D719" i="3"/>
  <c r="AJ283" i="2"/>
  <c r="AI283" i="2"/>
  <c r="R548" i="3"/>
  <c r="AA547" i="3"/>
  <c r="AD281" i="2"/>
  <c r="AC281" i="2"/>
  <c r="S279" i="2"/>
  <c r="G444" i="2"/>
  <c r="J444" i="2"/>
  <c r="K444" i="2" s="1"/>
  <c r="W548" i="3" l="1"/>
  <c r="AI548" i="3"/>
  <c r="W279" i="2"/>
  <c r="AP279" i="2"/>
  <c r="L444" i="2"/>
  <c r="L719" i="3"/>
  <c r="M719" i="3"/>
  <c r="AE281" i="2"/>
  <c r="AF281" i="2" s="1"/>
  <c r="AL283" i="2"/>
  <c r="AM283" i="2" s="1"/>
  <c r="AK283" i="2"/>
  <c r="N720" i="3"/>
  <c r="K720" i="3" s="1"/>
  <c r="D720" i="3"/>
  <c r="AD548" i="3"/>
  <c r="AC548" i="3"/>
  <c r="U549" i="3"/>
  <c r="T549" i="3"/>
  <c r="AB281" i="2"/>
  <c r="J445" i="2"/>
  <c r="K445" i="2" s="1"/>
  <c r="G445" i="2"/>
  <c r="U280" i="2"/>
  <c r="T280" i="2"/>
  <c r="V280" i="2" l="1"/>
  <c r="L445" i="2"/>
  <c r="M720" i="3"/>
  <c r="L720" i="3"/>
  <c r="AE548" i="3"/>
  <c r="AF548" i="3" s="1"/>
  <c r="N721" i="3"/>
  <c r="K721" i="3" s="1"/>
  <c r="D721" i="3"/>
  <c r="V549" i="3"/>
  <c r="AJ284" i="2"/>
  <c r="AI284" i="2"/>
  <c r="AA548" i="3"/>
  <c r="R549" i="3"/>
  <c r="AD282" i="2"/>
  <c r="AC282" i="2"/>
  <c r="S280" i="2"/>
  <c r="G446" i="2"/>
  <c r="J446" i="2"/>
  <c r="K446" i="2" s="1"/>
  <c r="W549" i="3" l="1"/>
  <c r="AI549" i="3"/>
  <c r="W280" i="2"/>
  <c r="AP280" i="2"/>
  <c r="AL284" i="2"/>
  <c r="AM284" i="2" s="1"/>
  <c r="L446" i="2"/>
  <c r="M721" i="3"/>
  <c r="L721" i="3"/>
  <c r="AE282" i="2"/>
  <c r="AF282" i="2" s="1"/>
  <c r="AK284" i="2"/>
  <c r="D722" i="3"/>
  <c r="N722" i="3"/>
  <c r="K722" i="3" s="1"/>
  <c r="U550" i="3"/>
  <c r="T550" i="3"/>
  <c r="AD549" i="3"/>
  <c r="AC549" i="3"/>
  <c r="AE549" i="3" s="1"/>
  <c r="AF549" i="3" s="1"/>
  <c r="U281" i="2"/>
  <c r="T281" i="2"/>
  <c r="G447" i="2"/>
  <c r="J447" i="2"/>
  <c r="K447" i="2" s="1"/>
  <c r="AB282" i="2"/>
  <c r="V281" i="2" l="1"/>
  <c r="L447" i="2"/>
  <c r="M722" i="3"/>
  <c r="L722" i="3"/>
  <c r="V550" i="3"/>
  <c r="D723" i="3"/>
  <c r="N723" i="3"/>
  <c r="K723" i="3" s="1"/>
  <c r="AJ285" i="2"/>
  <c r="AI285" i="2"/>
  <c r="R550" i="3"/>
  <c r="AA549" i="3"/>
  <c r="G448" i="2"/>
  <c r="J448" i="2"/>
  <c r="K448" i="2" s="1"/>
  <c r="AD283" i="2"/>
  <c r="AC283" i="2"/>
  <c r="S281" i="2"/>
  <c r="W550" i="3" l="1"/>
  <c r="AI550" i="3"/>
  <c r="W281" i="2"/>
  <c r="AP281" i="2"/>
  <c r="AE283" i="2"/>
  <c r="AF283" i="2" s="1"/>
  <c r="L448" i="2"/>
  <c r="L723" i="3"/>
  <c r="M723" i="3"/>
  <c r="AL285" i="2"/>
  <c r="AM285" i="2" s="1"/>
  <c r="AK285" i="2"/>
  <c r="D724" i="3"/>
  <c r="N724" i="3"/>
  <c r="K724" i="3" s="1"/>
  <c r="AD550" i="3"/>
  <c r="AC550" i="3"/>
  <c r="AA550" i="3" s="1"/>
  <c r="U551" i="3"/>
  <c r="T551" i="3"/>
  <c r="AB283" i="2"/>
  <c r="U282" i="2"/>
  <c r="T282" i="2"/>
  <c r="J449" i="2"/>
  <c r="K449" i="2" s="1"/>
  <c r="G449" i="2"/>
  <c r="V282" i="2" l="1"/>
  <c r="L449" i="2"/>
  <c r="M724" i="3"/>
  <c r="L724" i="3"/>
  <c r="D725" i="3"/>
  <c r="N725" i="3"/>
  <c r="K725" i="3" s="1"/>
  <c r="V551" i="3"/>
  <c r="AJ286" i="2"/>
  <c r="AI286" i="2"/>
  <c r="AD551" i="3"/>
  <c r="AC551" i="3"/>
  <c r="R551" i="3"/>
  <c r="AE550" i="3"/>
  <c r="AF550" i="3" s="1"/>
  <c r="S282" i="2"/>
  <c r="G450" i="2"/>
  <c r="J450" i="2"/>
  <c r="K450" i="2" s="1"/>
  <c r="AD284" i="2"/>
  <c r="AC284" i="2"/>
  <c r="W551" i="3" l="1"/>
  <c r="AI551" i="3"/>
  <c r="W282" i="2"/>
  <c r="AP282" i="2"/>
  <c r="L450" i="2"/>
  <c r="M725" i="3"/>
  <c r="L725" i="3"/>
  <c r="AE551" i="3"/>
  <c r="AF551" i="3" s="1"/>
  <c r="AL286" i="2"/>
  <c r="AM286" i="2" s="1"/>
  <c r="AK286" i="2"/>
  <c r="AE284" i="2"/>
  <c r="AF284" i="2" s="1"/>
  <c r="N726" i="3"/>
  <c r="K726" i="3" s="1"/>
  <c r="D726" i="3"/>
  <c r="U552" i="3"/>
  <c r="T552" i="3"/>
  <c r="AA551" i="3"/>
  <c r="G451" i="2"/>
  <c r="J451" i="2"/>
  <c r="K451" i="2" s="1"/>
  <c r="AB284" i="2"/>
  <c r="U283" i="2"/>
  <c r="T283" i="2"/>
  <c r="L451" i="2" l="1"/>
  <c r="L726" i="3"/>
  <c r="M726" i="3"/>
  <c r="V552" i="3"/>
  <c r="V283" i="2"/>
  <c r="N727" i="3"/>
  <c r="K727" i="3" s="1"/>
  <c r="D727" i="3"/>
  <c r="AJ287" i="2"/>
  <c r="AI287" i="2"/>
  <c r="AD552" i="3"/>
  <c r="AC552" i="3"/>
  <c r="R552" i="3"/>
  <c r="AD285" i="2"/>
  <c r="AC285" i="2"/>
  <c r="S283" i="2"/>
  <c r="G452" i="2"/>
  <c r="J452" i="2"/>
  <c r="K452" i="2" s="1"/>
  <c r="W552" i="3" l="1"/>
  <c r="AI552" i="3"/>
  <c r="W283" i="2"/>
  <c r="AP283" i="2"/>
  <c r="AL287" i="2"/>
  <c r="AM287" i="2" s="1"/>
  <c r="L452" i="2"/>
  <c r="L727" i="3"/>
  <c r="M727" i="3"/>
  <c r="AE285" i="2"/>
  <c r="AF285" i="2" s="1"/>
  <c r="AK287" i="2"/>
  <c r="D728" i="3"/>
  <c r="N728" i="3"/>
  <c r="K728" i="3" s="1"/>
  <c r="AE552" i="3"/>
  <c r="AF552" i="3" s="1"/>
  <c r="AA552" i="3"/>
  <c r="U553" i="3"/>
  <c r="T553" i="3"/>
  <c r="AB285" i="2"/>
  <c r="U284" i="2"/>
  <c r="T284" i="2"/>
  <c r="J453" i="2"/>
  <c r="K453" i="2" s="1"/>
  <c r="G453" i="2"/>
  <c r="L453" i="2" l="1"/>
  <c r="M728" i="3"/>
  <c r="L728" i="3"/>
  <c r="V553" i="3"/>
  <c r="V284" i="2"/>
  <c r="N729" i="3"/>
  <c r="K729" i="3" s="1"/>
  <c r="D729" i="3"/>
  <c r="AJ288" i="2"/>
  <c r="AI288" i="2"/>
  <c r="R553" i="3"/>
  <c r="AD553" i="3"/>
  <c r="AC553" i="3"/>
  <c r="G454" i="2"/>
  <c r="J454" i="2"/>
  <c r="K454" i="2" s="1"/>
  <c r="S284" i="2"/>
  <c r="AD286" i="2"/>
  <c r="AC286" i="2"/>
  <c r="W553" i="3" l="1"/>
  <c r="AI553" i="3"/>
  <c r="W284" i="2"/>
  <c r="AP284" i="2"/>
  <c r="AL288" i="2"/>
  <c r="AM288" i="2" s="1"/>
  <c r="AE286" i="2"/>
  <c r="AF286" i="2" s="1"/>
  <c r="L454" i="2"/>
  <c r="M729" i="3"/>
  <c r="L729" i="3"/>
  <c r="AE553" i="3"/>
  <c r="AF553" i="3" s="1"/>
  <c r="AK288" i="2"/>
  <c r="N730" i="3"/>
  <c r="K730" i="3" s="1"/>
  <c r="D730" i="3"/>
  <c r="AA553" i="3"/>
  <c r="U554" i="3"/>
  <c r="T554" i="3"/>
  <c r="AB286" i="2"/>
  <c r="U285" i="2"/>
  <c r="T285" i="2"/>
  <c r="G455" i="2"/>
  <c r="J455" i="2"/>
  <c r="K455" i="2" s="1"/>
  <c r="L455" i="2" l="1"/>
  <c r="V554" i="3"/>
  <c r="L730" i="3"/>
  <c r="M730" i="3"/>
  <c r="V285" i="2"/>
  <c r="D731" i="3"/>
  <c r="N731" i="3"/>
  <c r="K731" i="3" s="1"/>
  <c r="AJ289" i="2"/>
  <c r="AI289" i="2"/>
  <c r="AD554" i="3"/>
  <c r="AC554" i="3"/>
  <c r="R554" i="3"/>
  <c r="S285" i="2"/>
  <c r="G456" i="2"/>
  <c r="J456" i="2"/>
  <c r="K456" i="2" s="1"/>
  <c r="AD287" i="2"/>
  <c r="AC287" i="2"/>
  <c r="W554" i="3" l="1"/>
  <c r="AI554" i="3"/>
  <c r="W285" i="2"/>
  <c r="AP285" i="2"/>
  <c r="L456" i="2"/>
  <c r="M731" i="3"/>
  <c r="L731" i="3"/>
  <c r="AE554" i="3"/>
  <c r="AF554" i="3" s="1"/>
  <c r="AE287" i="2"/>
  <c r="AF287" i="2" s="1"/>
  <c r="AL289" i="2"/>
  <c r="AM289" i="2" s="1"/>
  <c r="AK289" i="2"/>
  <c r="D732" i="3"/>
  <c r="N732" i="3"/>
  <c r="K732" i="3" s="1"/>
  <c r="AA554" i="3"/>
  <c r="U555" i="3"/>
  <c r="T555" i="3"/>
  <c r="AB287" i="2"/>
  <c r="J457" i="2"/>
  <c r="K457" i="2" s="1"/>
  <c r="G457" i="2"/>
  <c r="U286" i="2"/>
  <c r="T286" i="2"/>
  <c r="L457" i="2" l="1"/>
  <c r="M732" i="3"/>
  <c r="L732" i="3"/>
  <c r="V555" i="3"/>
  <c r="V286" i="2"/>
  <c r="D733" i="3"/>
  <c r="N733" i="3"/>
  <c r="K733" i="3" s="1"/>
  <c r="AJ290" i="2"/>
  <c r="AI290" i="2"/>
  <c r="R555" i="3"/>
  <c r="AD555" i="3"/>
  <c r="AC555" i="3"/>
  <c r="G458" i="2"/>
  <c r="J458" i="2"/>
  <c r="K458" i="2" s="1"/>
  <c r="S286" i="2"/>
  <c r="AD288" i="2"/>
  <c r="AC288" i="2"/>
  <c r="W555" i="3" l="1"/>
  <c r="AI555" i="3"/>
  <c r="W286" i="2"/>
  <c r="AP286" i="2"/>
  <c r="AE288" i="2"/>
  <c r="AF288" i="2" s="1"/>
  <c r="AL290" i="2"/>
  <c r="AM290" i="2" s="1"/>
  <c r="L458" i="2"/>
  <c r="M733" i="3"/>
  <c r="L733" i="3"/>
  <c r="AE555" i="3"/>
  <c r="AF555" i="3" s="1"/>
  <c r="AK290" i="2"/>
  <c r="D734" i="3"/>
  <c r="N734" i="3"/>
  <c r="K734" i="3" s="1"/>
  <c r="AA555" i="3"/>
  <c r="U556" i="3"/>
  <c r="T556" i="3"/>
  <c r="U287" i="2"/>
  <c r="T287" i="2"/>
  <c r="AB288" i="2"/>
  <c r="G459" i="2"/>
  <c r="J459" i="2"/>
  <c r="K459" i="2" s="1"/>
  <c r="L459" i="2" l="1"/>
  <c r="V556" i="3"/>
  <c r="L734" i="3"/>
  <c r="M734" i="3"/>
  <c r="V287" i="2"/>
  <c r="N735" i="3"/>
  <c r="K735" i="3" s="1"/>
  <c r="D735" i="3"/>
  <c r="AJ291" i="2"/>
  <c r="AI291" i="2"/>
  <c r="R556" i="3"/>
  <c r="AD556" i="3"/>
  <c r="AC556" i="3"/>
  <c r="AD289" i="2"/>
  <c r="AC289" i="2"/>
  <c r="S287" i="2"/>
  <c r="G460" i="2"/>
  <c r="J460" i="2"/>
  <c r="K460" i="2" s="1"/>
  <c r="W556" i="3" l="1"/>
  <c r="AI556" i="3"/>
  <c r="W287" i="2"/>
  <c r="AP287" i="2"/>
  <c r="AE556" i="3"/>
  <c r="AF556" i="3" s="1"/>
  <c r="L460" i="2"/>
  <c r="L735" i="3"/>
  <c r="M735" i="3"/>
  <c r="AL291" i="2"/>
  <c r="AM291" i="2" s="1"/>
  <c r="AE289" i="2"/>
  <c r="AF289" i="2" s="1"/>
  <c r="AK291" i="2"/>
  <c r="N736" i="3"/>
  <c r="K736" i="3" s="1"/>
  <c r="D736" i="3"/>
  <c r="AA556" i="3"/>
  <c r="U557" i="3"/>
  <c r="T557" i="3"/>
  <c r="U288" i="2"/>
  <c r="T288" i="2"/>
  <c r="AB289" i="2"/>
  <c r="J461" i="2"/>
  <c r="K461" i="2" s="1"/>
  <c r="G461" i="2"/>
  <c r="V557" i="3" l="1"/>
  <c r="L461" i="2"/>
  <c r="M736" i="3"/>
  <c r="L736" i="3"/>
  <c r="V288" i="2"/>
  <c r="D737" i="3"/>
  <c r="N737" i="3"/>
  <c r="K737" i="3" s="1"/>
  <c r="AJ292" i="2"/>
  <c r="AI292" i="2"/>
  <c r="R557" i="3"/>
  <c r="AD557" i="3"/>
  <c r="AC557" i="3"/>
  <c r="G462" i="2"/>
  <c r="J462" i="2"/>
  <c r="K462" i="2" s="1"/>
  <c r="AD290" i="2"/>
  <c r="AC290" i="2"/>
  <c r="S288" i="2"/>
  <c r="W557" i="3" l="1"/>
  <c r="AI557" i="3"/>
  <c r="W288" i="2"/>
  <c r="AP288" i="2"/>
  <c r="AE557" i="3"/>
  <c r="AF557" i="3" s="1"/>
  <c r="AE290" i="2"/>
  <c r="AF290" i="2" s="1"/>
  <c r="L462" i="2"/>
  <c r="L737" i="3"/>
  <c r="M737" i="3"/>
  <c r="AL292" i="2"/>
  <c r="AM292" i="2" s="1"/>
  <c r="AK292" i="2"/>
  <c r="D738" i="3"/>
  <c r="N738" i="3"/>
  <c r="K738" i="3" s="1"/>
  <c r="AA557" i="3"/>
  <c r="U558" i="3"/>
  <c r="T558" i="3"/>
  <c r="AB290" i="2"/>
  <c r="U289" i="2"/>
  <c r="T289" i="2"/>
  <c r="G463" i="2"/>
  <c r="J463" i="2"/>
  <c r="K463" i="2" s="1"/>
  <c r="V558" i="3" l="1"/>
  <c r="L463" i="2"/>
  <c r="L738" i="3"/>
  <c r="M738" i="3"/>
  <c r="V289" i="2"/>
  <c r="D739" i="3"/>
  <c r="N739" i="3"/>
  <c r="K739" i="3" s="1"/>
  <c r="AJ293" i="2"/>
  <c r="AI293" i="2"/>
  <c r="R558" i="3"/>
  <c r="AD558" i="3"/>
  <c r="AC558" i="3"/>
  <c r="S289" i="2"/>
  <c r="G464" i="2"/>
  <c r="J464" i="2"/>
  <c r="K464" i="2" s="1"/>
  <c r="AD291" i="2"/>
  <c r="AC291" i="2"/>
  <c r="W558" i="3" l="1"/>
  <c r="AI558" i="3"/>
  <c r="W289" i="2"/>
  <c r="AP289" i="2"/>
  <c r="AE558" i="3"/>
  <c r="AF558" i="3" s="1"/>
  <c r="L464" i="2"/>
  <c r="M739" i="3"/>
  <c r="L739" i="3"/>
  <c r="AE291" i="2"/>
  <c r="AF291" i="2" s="1"/>
  <c r="AL293" i="2"/>
  <c r="AM293" i="2" s="1"/>
  <c r="AK293" i="2"/>
  <c r="N740" i="3"/>
  <c r="K740" i="3" s="1"/>
  <c r="D740" i="3"/>
  <c r="U559" i="3"/>
  <c r="T559" i="3"/>
  <c r="AA558" i="3"/>
  <c r="AB291" i="2"/>
  <c r="J465" i="2"/>
  <c r="K465" i="2" s="1"/>
  <c r="G465" i="2"/>
  <c r="U290" i="2"/>
  <c r="T290" i="2"/>
  <c r="L465" i="2" l="1"/>
  <c r="L740" i="3"/>
  <c r="M740" i="3"/>
  <c r="V559" i="3"/>
  <c r="V290" i="2"/>
  <c r="AJ294" i="2"/>
  <c r="AI294" i="2"/>
  <c r="D741" i="3"/>
  <c r="N741" i="3"/>
  <c r="K741" i="3" s="1"/>
  <c r="AD559" i="3"/>
  <c r="AC559" i="3"/>
  <c r="AE559" i="3" s="1"/>
  <c r="AF559" i="3" s="1"/>
  <c r="R559" i="3"/>
  <c r="G466" i="2"/>
  <c r="J466" i="2"/>
  <c r="K466" i="2" s="1"/>
  <c r="S290" i="2"/>
  <c r="AD292" i="2"/>
  <c r="AC292" i="2"/>
  <c r="W559" i="3" l="1"/>
  <c r="AI559" i="3"/>
  <c r="W290" i="2"/>
  <c r="AP290" i="2"/>
  <c r="AE292" i="2"/>
  <c r="AF292" i="2" s="1"/>
  <c r="L466" i="2"/>
  <c r="M741" i="3"/>
  <c r="L741" i="3"/>
  <c r="AL294" i="2"/>
  <c r="AM294" i="2" s="1"/>
  <c r="N742" i="3"/>
  <c r="K742" i="3" s="1"/>
  <c r="D742" i="3"/>
  <c r="AK294" i="2"/>
  <c r="U560" i="3"/>
  <c r="T560" i="3"/>
  <c r="AA559" i="3"/>
  <c r="U291" i="2"/>
  <c r="T291" i="2"/>
  <c r="AB292" i="2"/>
  <c r="G467" i="2"/>
  <c r="J467" i="2"/>
  <c r="K467" i="2" s="1"/>
  <c r="L467" i="2" l="1"/>
  <c r="L742" i="3"/>
  <c r="M742" i="3"/>
  <c r="V560" i="3"/>
  <c r="V291" i="2"/>
  <c r="AJ295" i="2"/>
  <c r="AI295" i="2"/>
  <c r="D743" i="3"/>
  <c r="N743" i="3"/>
  <c r="K743" i="3" s="1"/>
  <c r="AD560" i="3"/>
  <c r="AC560" i="3"/>
  <c r="R560" i="3"/>
  <c r="AD293" i="2"/>
  <c r="AC293" i="2"/>
  <c r="S291" i="2"/>
  <c r="G468" i="2"/>
  <c r="J468" i="2"/>
  <c r="K468" i="2" s="1"/>
  <c r="W560" i="3" l="1"/>
  <c r="AI560" i="3"/>
  <c r="AP291" i="2"/>
  <c r="W291" i="2"/>
  <c r="AL295" i="2"/>
  <c r="AM295" i="2" s="1"/>
  <c r="L468" i="2"/>
  <c r="L743" i="3"/>
  <c r="M743" i="3"/>
  <c r="AE293" i="2"/>
  <c r="AF293" i="2" s="1"/>
  <c r="D744" i="3"/>
  <c r="N744" i="3"/>
  <c r="K744" i="3" s="1"/>
  <c r="AE560" i="3"/>
  <c r="AF560" i="3" s="1"/>
  <c r="AK295" i="2"/>
  <c r="AA560" i="3"/>
  <c r="U561" i="3"/>
  <c r="T561" i="3"/>
  <c r="AB293" i="2"/>
  <c r="U292" i="2"/>
  <c r="T292" i="2"/>
  <c r="J469" i="2"/>
  <c r="K469" i="2" s="1"/>
  <c r="G469" i="2"/>
  <c r="V561" i="3" l="1"/>
  <c r="L469" i="2"/>
  <c r="L744" i="3"/>
  <c r="M744" i="3"/>
  <c r="V292" i="2"/>
  <c r="AJ296" i="2"/>
  <c r="AI296" i="2"/>
  <c r="D745" i="3"/>
  <c r="N745" i="3"/>
  <c r="K745" i="3" s="1"/>
  <c r="R561" i="3"/>
  <c r="AD561" i="3"/>
  <c r="AC561" i="3"/>
  <c r="G470" i="2"/>
  <c r="J470" i="2"/>
  <c r="K470" i="2" s="1"/>
  <c r="S292" i="2"/>
  <c r="AD294" i="2"/>
  <c r="AC294" i="2"/>
  <c r="W561" i="3" l="1"/>
  <c r="AI561" i="3"/>
  <c r="W292" i="2"/>
  <c r="AP292" i="2"/>
  <c r="AE561" i="3"/>
  <c r="AF561" i="3" s="1"/>
  <c r="L470" i="2"/>
  <c r="L745" i="3"/>
  <c r="M745" i="3"/>
  <c r="AE294" i="2"/>
  <c r="AF294" i="2" s="1"/>
  <c r="AL296" i="2"/>
  <c r="AM296" i="2" s="1"/>
  <c r="D746" i="3"/>
  <c r="N746" i="3"/>
  <c r="K746" i="3" s="1"/>
  <c r="AK296" i="2"/>
  <c r="AA561" i="3"/>
  <c r="U562" i="3"/>
  <c r="T562" i="3"/>
  <c r="AB294" i="2"/>
  <c r="U293" i="2"/>
  <c r="T293" i="2"/>
  <c r="G471" i="2"/>
  <c r="J471" i="2"/>
  <c r="K471" i="2" s="1"/>
  <c r="V562" i="3" l="1"/>
  <c r="L471" i="2"/>
  <c r="M746" i="3"/>
  <c r="L746" i="3"/>
  <c r="V293" i="2"/>
  <c r="AJ297" i="2"/>
  <c r="AI297" i="2"/>
  <c r="N747" i="3"/>
  <c r="K747" i="3" s="1"/>
  <c r="D747" i="3"/>
  <c r="R562" i="3"/>
  <c r="AD562" i="3"/>
  <c r="AC562" i="3"/>
  <c r="S293" i="2"/>
  <c r="G472" i="2"/>
  <c r="J472" i="2"/>
  <c r="K472" i="2" s="1"/>
  <c r="AD295" i="2"/>
  <c r="AC295" i="2"/>
  <c r="W562" i="3" l="1"/>
  <c r="AI562" i="3"/>
  <c r="W293" i="2"/>
  <c r="AP293" i="2"/>
  <c r="AE562" i="3"/>
  <c r="AF562" i="3" s="1"/>
  <c r="L472" i="2"/>
  <c r="M747" i="3"/>
  <c r="L747" i="3"/>
  <c r="AL297" i="2"/>
  <c r="AM297" i="2" s="1"/>
  <c r="AE295" i="2"/>
  <c r="AF295" i="2" s="1"/>
  <c r="N748" i="3"/>
  <c r="K748" i="3" s="1"/>
  <c r="D748" i="3"/>
  <c r="AK297" i="2"/>
  <c r="AA562" i="3"/>
  <c r="U563" i="3"/>
  <c r="T563" i="3"/>
  <c r="AB295" i="2"/>
  <c r="J473" i="2"/>
  <c r="K473" i="2" s="1"/>
  <c r="G473" i="2"/>
  <c r="U294" i="2"/>
  <c r="T294" i="2"/>
  <c r="V563" i="3" l="1"/>
  <c r="L473" i="2"/>
  <c r="L748" i="3"/>
  <c r="M748" i="3"/>
  <c r="V294" i="2"/>
  <c r="AJ298" i="2"/>
  <c r="AI298" i="2"/>
  <c r="N749" i="3"/>
  <c r="K749" i="3" s="1"/>
  <c r="D749" i="3"/>
  <c r="R563" i="3"/>
  <c r="AD563" i="3"/>
  <c r="AC563" i="3"/>
  <c r="G474" i="2"/>
  <c r="J474" i="2"/>
  <c r="K474" i="2" s="1"/>
  <c r="S294" i="2"/>
  <c r="AD296" i="2"/>
  <c r="AC296" i="2"/>
  <c r="AL298" i="2" l="1"/>
  <c r="AM298" i="2" s="1"/>
  <c r="W563" i="3"/>
  <c r="AI563" i="3"/>
  <c r="W294" i="2"/>
  <c r="AP294" i="2"/>
  <c r="AE563" i="3"/>
  <c r="AF563" i="3" s="1"/>
  <c r="L474" i="2"/>
  <c r="L749" i="3"/>
  <c r="M749" i="3"/>
  <c r="AE296" i="2"/>
  <c r="AF296" i="2" s="1"/>
  <c r="D750" i="3"/>
  <c r="N750" i="3"/>
  <c r="K750" i="3" s="1"/>
  <c r="AK298" i="2"/>
  <c r="AA563" i="3"/>
  <c r="U564" i="3"/>
  <c r="T564" i="3"/>
  <c r="U295" i="2"/>
  <c r="T295" i="2"/>
  <c r="AB296" i="2"/>
  <c r="G475" i="2"/>
  <c r="J475" i="2"/>
  <c r="K475" i="2" s="1"/>
  <c r="V564" i="3" l="1"/>
  <c r="W564" i="3"/>
  <c r="AI564" i="3"/>
  <c r="L475" i="2"/>
  <c r="L750" i="3"/>
  <c r="M750" i="3"/>
  <c r="V295" i="2"/>
  <c r="AJ299" i="2"/>
  <c r="AI299" i="2"/>
  <c r="N751" i="3"/>
  <c r="K751" i="3" s="1"/>
  <c r="D751" i="3"/>
  <c r="AD564" i="3"/>
  <c r="AC564" i="3"/>
  <c r="R564" i="3"/>
  <c r="S295" i="2"/>
  <c r="AD297" i="2"/>
  <c r="AC297" i="2"/>
  <c r="G476" i="2"/>
  <c r="J476" i="2"/>
  <c r="K476" i="2" s="1"/>
  <c r="AE297" i="2" l="1"/>
  <c r="AF297" i="2" s="1"/>
  <c r="AE564" i="3"/>
  <c r="AF564" i="3" s="1"/>
  <c r="AL299" i="2"/>
  <c r="AM299" i="2" s="1"/>
  <c r="W295" i="2"/>
  <c r="AP295" i="2"/>
  <c r="L476" i="2"/>
  <c r="L751" i="3"/>
  <c r="M751" i="3"/>
  <c r="N752" i="3"/>
  <c r="K752" i="3" s="1"/>
  <c r="D752" i="3"/>
  <c r="AK299" i="2"/>
  <c r="U565" i="3"/>
  <c r="T565" i="3"/>
  <c r="AA564" i="3"/>
  <c r="AB297" i="2"/>
  <c r="J477" i="2"/>
  <c r="K477" i="2" s="1"/>
  <c r="G477" i="2"/>
  <c r="U296" i="2"/>
  <c r="T296" i="2"/>
  <c r="V296" i="2" l="1"/>
  <c r="L477" i="2"/>
  <c r="L752" i="3"/>
  <c r="M752" i="3"/>
  <c r="V565" i="3"/>
  <c r="D753" i="3"/>
  <c r="N753" i="3"/>
  <c r="K753" i="3" s="1"/>
  <c r="AJ300" i="2"/>
  <c r="AI300" i="2"/>
  <c r="R565" i="3"/>
  <c r="AD565" i="3"/>
  <c r="AC565" i="3"/>
  <c r="G478" i="2"/>
  <c r="J478" i="2"/>
  <c r="K478" i="2" s="1"/>
  <c r="S296" i="2"/>
  <c r="AD298" i="2"/>
  <c r="AC298" i="2"/>
  <c r="W565" i="3" l="1"/>
  <c r="AI565" i="3"/>
  <c r="W296" i="2"/>
  <c r="AP296" i="2"/>
  <c r="AE565" i="3"/>
  <c r="AF565" i="3" s="1"/>
  <c r="L478" i="2"/>
  <c r="M753" i="3"/>
  <c r="L753" i="3"/>
  <c r="AE298" i="2"/>
  <c r="AF298" i="2" s="1"/>
  <c r="AL300" i="2"/>
  <c r="AM300" i="2" s="1"/>
  <c r="AK300" i="2"/>
  <c r="N754" i="3"/>
  <c r="K754" i="3" s="1"/>
  <c r="D754" i="3"/>
  <c r="U566" i="3"/>
  <c r="T566" i="3"/>
  <c r="AA565" i="3"/>
  <c r="AB298" i="2"/>
  <c r="U297" i="2"/>
  <c r="T297" i="2"/>
  <c r="G479" i="2"/>
  <c r="J479" i="2"/>
  <c r="K479" i="2" s="1"/>
  <c r="L479" i="2" l="1"/>
  <c r="M754" i="3"/>
  <c r="L754" i="3"/>
  <c r="V566" i="3"/>
  <c r="V297" i="2"/>
  <c r="N755" i="3"/>
  <c r="K755" i="3" s="1"/>
  <c r="D755" i="3"/>
  <c r="AJ301" i="2"/>
  <c r="AI301" i="2"/>
  <c r="AD566" i="3"/>
  <c r="AC566" i="3"/>
  <c r="R566" i="3"/>
  <c r="S297" i="2"/>
  <c r="G480" i="2"/>
  <c r="J480" i="2"/>
  <c r="K480" i="2" s="1"/>
  <c r="AD299" i="2"/>
  <c r="AC299" i="2"/>
  <c r="W566" i="3" l="1"/>
  <c r="AI566" i="3"/>
  <c r="W297" i="2"/>
  <c r="AP297" i="2"/>
  <c r="AE299" i="2"/>
  <c r="AF299" i="2" s="1"/>
  <c r="AL301" i="2"/>
  <c r="AM301" i="2" s="1"/>
  <c r="AE566" i="3"/>
  <c r="AF566" i="3" s="1"/>
  <c r="L480" i="2"/>
  <c r="M755" i="3"/>
  <c r="L755" i="3"/>
  <c r="AK301" i="2"/>
  <c r="N756" i="3"/>
  <c r="K756" i="3" s="1"/>
  <c r="D756" i="3"/>
  <c r="U567" i="3"/>
  <c r="T567" i="3"/>
  <c r="AA566" i="3"/>
  <c r="AB299" i="2"/>
  <c r="J481" i="2"/>
  <c r="K481" i="2" s="1"/>
  <c r="G481" i="2"/>
  <c r="U298" i="2"/>
  <c r="T298" i="2"/>
  <c r="L481" i="2" l="1"/>
  <c r="M756" i="3"/>
  <c r="L756" i="3"/>
  <c r="V298" i="2"/>
  <c r="V567" i="3"/>
  <c r="N757" i="3"/>
  <c r="K757" i="3" s="1"/>
  <c r="D757" i="3"/>
  <c r="AJ302" i="2"/>
  <c r="AI302" i="2"/>
  <c r="R567" i="3"/>
  <c r="AD567" i="3"/>
  <c r="AC567" i="3"/>
  <c r="G482" i="2"/>
  <c r="J482" i="2"/>
  <c r="K482" i="2" s="1"/>
  <c r="S298" i="2"/>
  <c r="AD300" i="2"/>
  <c r="AC300" i="2"/>
  <c r="W567" i="3" l="1"/>
  <c r="AI567" i="3"/>
  <c r="W298" i="2"/>
  <c r="AP298" i="2"/>
  <c r="AE300" i="2"/>
  <c r="AF300" i="2" s="1"/>
  <c r="AL302" i="2"/>
  <c r="AM302" i="2" s="1"/>
  <c r="L482" i="2"/>
  <c r="M757" i="3"/>
  <c r="L757" i="3"/>
  <c r="AE567" i="3"/>
  <c r="AF567" i="3" s="1"/>
  <c r="AK302" i="2"/>
  <c r="D758" i="3"/>
  <c r="N758" i="3"/>
  <c r="K758" i="3" s="1"/>
  <c r="AA567" i="3"/>
  <c r="U568" i="3"/>
  <c r="T568" i="3"/>
  <c r="U299" i="2"/>
  <c r="T299" i="2"/>
  <c r="AB300" i="2"/>
  <c r="J483" i="2"/>
  <c r="K483" i="2" s="1"/>
  <c r="G483" i="2"/>
  <c r="V568" i="3" l="1"/>
  <c r="L483" i="2"/>
  <c r="M758" i="3"/>
  <c r="L758" i="3"/>
  <c r="V299" i="2"/>
  <c r="N759" i="3"/>
  <c r="K759" i="3" s="1"/>
  <c r="D759" i="3"/>
  <c r="AJ303" i="2"/>
  <c r="AI303" i="2"/>
  <c r="AD568" i="3"/>
  <c r="AC568" i="3"/>
  <c r="R568" i="3"/>
  <c r="AD301" i="2"/>
  <c r="AC301" i="2"/>
  <c r="J484" i="2"/>
  <c r="K484" i="2" s="1"/>
  <c r="G484" i="2"/>
  <c r="S299" i="2"/>
  <c r="W568" i="3" l="1"/>
  <c r="AI568" i="3"/>
  <c r="W299" i="2"/>
  <c r="AP299" i="2"/>
  <c r="L484" i="2"/>
  <c r="L759" i="3"/>
  <c r="M759" i="3"/>
  <c r="AL303" i="2"/>
  <c r="AM303" i="2" s="1"/>
  <c r="AE568" i="3"/>
  <c r="AF568" i="3" s="1"/>
  <c r="AE301" i="2"/>
  <c r="AF301" i="2" s="1"/>
  <c r="AK303" i="2"/>
  <c r="N760" i="3"/>
  <c r="K760" i="3" s="1"/>
  <c r="D760" i="3"/>
  <c r="U569" i="3"/>
  <c r="T569" i="3"/>
  <c r="AA568" i="3"/>
  <c r="U300" i="2"/>
  <c r="T300" i="2"/>
  <c r="AB301" i="2"/>
  <c r="G485" i="2"/>
  <c r="J485" i="2"/>
  <c r="K485" i="2" s="1"/>
  <c r="V569" i="3" l="1"/>
  <c r="L485" i="2"/>
  <c r="M760" i="3"/>
  <c r="L760" i="3"/>
  <c r="V300" i="2"/>
  <c r="N761" i="3"/>
  <c r="K761" i="3" s="1"/>
  <c r="D761" i="3"/>
  <c r="AJ304" i="2"/>
  <c r="AI304" i="2"/>
  <c r="AD569" i="3"/>
  <c r="AC569" i="3"/>
  <c r="R569" i="3"/>
  <c r="AD302" i="2"/>
  <c r="AC302" i="2"/>
  <c r="G486" i="2"/>
  <c r="J486" i="2"/>
  <c r="K486" i="2" s="1"/>
  <c r="S300" i="2"/>
  <c r="W569" i="3" l="1"/>
  <c r="AI569" i="3"/>
  <c r="W300" i="2"/>
  <c r="AP300" i="2"/>
  <c r="L486" i="2"/>
  <c r="M761" i="3"/>
  <c r="L761" i="3"/>
  <c r="AE302" i="2"/>
  <c r="AF302" i="2" s="1"/>
  <c r="AL304" i="2"/>
  <c r="AM304" i="2" s="1"/>
  <c r="AK304" i="2"/>
  <c r="N762" i="3"/>
  <c r="K762" i="3" s="1"/>
  <c r="D762" i="3"/>
  <c r="AE569" i="3"/>
  <c r="AF569" i="3" s="1"/>
  <c r="AA569" i="3"/>
  <c r="U570" i="3"/>
  <c r="T570" i="3"/>
  <c r="G487" i="2"/>
  <c r="J487" i="2"/>
  <c r="K487" i="2" s="1"/>
  <c r="U301" i="2"/>
  <c r="T301" i="2"/>
  <c r="AB302" i="2"/>
  <c r="L487" i="2" l="1"/>
  <c r="L762" i="3"/>
  <c r="M762" i="3"/>
  <c r="V301" i="2"/>
  <c r="V570" i="3"/>
  <c r="N763" i="3"/>
  <c r="K763" i="3" s="1"/>
  <c r="D763" i="3"/>
  <c r="AJ305" i="2"/>
  <c r="AI305" i="2"/>
  <c r="R570" i="3"/>
  <c r="AD570" i="3"/>
  <c r="AC570" i="3"/>
  <c r="S301" i="2"/>
  <c r="AD303" i="2"/>
  <c r="AC303" i="2"/>
  <c r="J488" i="2"/>
  <c r="K488" i="2" s="1"/>
  <c r="G488" i="2"/>
  <c r="W570" i="3" l="1"/>
  <c r="AI570" i="3"/>
  <c r="W301" i="2"/>
  <c r="AP301" i="2"/>
  <c r="AL305" i="2"/>
  <c r="AM305" i="2" s="1"/>
  <c r="L488" i="2"/>
  <c r="L763" i="3"/>
  <c r="M763" i="3"/>
  <c r="AE570" i="3"/>
  <c r="AF570" i="3" s="1"/>
  <c r="AE303" i="2"/>
  <c r="AF303" i="2" s="1"/>
  <c r="AK305" i="2"/>
  <c r="D764" i="3"/>
  <c r="N764" i="3"/>
  <c r="K764" i="3" s="1"/>
  <c r="U571" i="3"/>
  <c r="T571" i="3"/>
  <c r="AA570" i="3"/>
  <c r="G489" i="2"/>
  <c r="J489" i="2"/>
  <c r="K489" i="2" s="1"/>
  <c r="AB303" i="2"/>
  <c r="U302" i="2"/>
  <c r="T302" i="2"/>
  <c r="V571" i="3" l="1"/>
  <c r="L489" i="2"/>
  <c r="L764" i="3"/>
  <c r="M764" i="3"/>
  <c r="V302" i="2"/>
  <c r="N765" i="3"/>
  <c r="K765" i="3" s="1"/>
  <c r="D765" i="3"/>
  <c r="AJ306" i="2"/>
  <c r="AI306" i="2"/>
  <c r="R571" i="3"/>
  <c r="AD571" i="3"/>
  <c r="AC571" i="3"/>
  <c r="AD304" i="2"/>
  <c r="AC304" i="2"/>
  <c r="S302" i="2"/>
  <c r="G490" i="2"/>
  <c r="J490" i="2"/>
  <c r="K490" i="2" s="1"/>
  <c r="W571" i="3" l="1"/>
  <c r="AI571" i="3"/>
  <c r="W302" i="2"/>
  <c r="AP302" i="2"/>
  <c r="AE571" i="3"/>
  <c r="AF571" i="3" s="1"/>
  <c r="L490" i="2"/>
  <c r="L765" i="3"/>
  <c r="M765" i="3"/>
  <c r="AL306" i="2"/>
  <c r="AM306" i="2" s="1"/>
  <c r="AE304" i="2"/>
  <c r="AF304" i="2" s="1"/>
  <c r="AK306" i="2"/>
  <c r="D766" i="3"/>
  <c r="N766" i="3"/>
  <c r="K766" i="3" s="1"/>
  <c r="AA571" i="3"/>
  <c r="U572" i="3"/>
  <c r="T572" i="3"/>
  <c r="U303" i="2"/>
  <c r="T303" i="2"/>
  <c r="AB304" i="2"/>
  <c r="G491" i="2"/>
  <c r="J491" i="2"/>
  <c r="K491" i="2" s="1"/>
  <c r="V572" i="3" l="1"/>
  <c r="L491" i="2"/>
  <c r="L766" i="3"/>
  <c r="M766" i="3"/>
  <c r="V303" i="2"/>
  <c r="N767" i="3"/>
  <c r="K767" i="3" s="1"/>
  <c r="D767" i="3"/>
  <c r="AJ307" i="2"/>
  <c r="AI307" i="2"/>
  <c r="AD572" i="3"/>
  <c r="AC572" i="3"/>
  <c r="R572" i="3"/>
  <c r="AD305" i="2"/>
  <c r="AC305" i="2"/>
  <c r="S303" i="2"/>
  <c r="J492" i="2"/>
  <c r="K492" i="2" s="1"/>
  <c r="G492" i="2"/>
  <c r="W572" i="3" l="1"/>
  <c r="AI572" i="3"/>
  <c r="W303" i="2"/>
  <c r="AP303" i="2"/>
  <c r="AE572" i="3"/>
  <c r="AF572" i="3" s="1"/>
  <c r="L492" i="2"/>
  <c r="M767" i="3"/>
  <c r="L767" i="3"/>
  <c r="AL307" i="2"/>
  <c r="AM307" i="2" s="1"/>
  <c r="AE305" i="2"/>
  <c r="AF305" i="2" s="1"/>
  <c r="AK307" i="2"/>
  <c r="N768" i="3"/>
  <c r="K768" i="3" s="1"/>
  <c r="D768" i="3"/>
  <c r="U573" i="3"/>
  <c r="T573" i="3"/>
  <c r="AA572" i="3"/>
  <c r="G493" i="2"/>
  <c r="J493" i="2"/>
  <c r="K493" i="2" s="1"/>
  <c r="AB305" i="2"/>
  <c r="U304" i="2"/>
  <c r="T304" i="2"/>
  <c r="L493" i="2" l="1"/>
  <c r="L768" i="3"/>
  <c r="M768" i="3"/>
  <c r="V304" i="2"/>
  <c r="V573" i="3"/>
  <c r="N769" i="3"/>
  <c r="K769" i="3" s="1"/>
  <c r="D769" i="3"/>
  <c r="AJ308" i="2"/>
  <c r="AI308" i="2"/>
  <c r="AD573" i="3"/>
  <c r="AC573" i="3"/>
  <c r="R573" i="3"/>
  <c r="AD306" i="2"/>
  <c r="AC306" i="2"/>
  <c r="S304" i="2"/>
  <c r="G494" i="2"/>
  <c r="J494" i="2"/>
  <c r="K494" i="2" s="1"/>
  <c r="W573" i="3" l="1"/>
  <c r="AI573" i="3"/>
  <c r="W304" i="2"/>
  <c r="AP304" i="2"/>
  <c r="L494" i="2"/>
  <c r="M769" i="3"/>
  <c r="L769" i="3"/>
  <c r="AL308" i="2"/>
  <c r="AM308" i="2" s="1"/>
  <c r="AE306" i="2"/>
  <c r="AF306" i="2" s="1"/>
  <c r="AK308" i="2"/>
  <c r="D770" i="3"/>
  <c r="N770" i="3"/>
  <c r="K770" i="3" s="1"/>
  <c r="AE573" i="3"/>
  <c r="AF573" i="3" s="1"/>
  <c r="AA573" i="3"/>
  <c r="U574" i="3"/>
  <c r="T574" i="3"/>
  <c r="U305" i="2"/>
  <c r="T305" i="2"/>
  <c r="G495" i="2"/>
  <c r="J495" i="2"/>
  <c r="K495" i="2" s="1"/>
  <c r="AB306" i="2"/>
  <c r="L495" i="2" l="1"/>
  <c r="M770" i="3"/>
  <c r="L770" i="3"/>
  <c r="V574" i="3"/>
  <c r="V305" i="2"/>
  <c r="D771" i="3"/>
  <c r="N771" i="3"/>
  <c r="K771" i="3" s="1"/>
  <c r="AJ309" i="2"/>
  <c r="AI309" i="2"/>
  <c r="R574" i="3"/>
  <c r="AD574" i="3"/>
  <c r="AC574" i="3"/>
  <c r="J496" i="2"/>
  <c r="K496" i="2" s="1"/>
  <c r="G496" i="2"/>
  <c r="AD307" i="2"/>
  <c r="AC307" i="2"/>
  <c r="S305" i="2"/>
  <c r="W574" i="3" l="1"/>
  <c r="AI574" i="3"/>
  <c r="W305" i="2"/>
  <c r="AP305" i="2"/>
  <c r="AL309" i="2"/>
  <c r="AM309" i="2" s="1"/>
  <c r="L496" i="2"/>
  <c r="M771" i="3"/>
  <c r="L771" i="3"/>
  <c r="AE574" i="3"/>
  <c r="AF574" i="3" s="1"/>
  <c r="AE307" i="2"/>
  <c r="AF307" i="2" s="1"/>
  <c r="AK309" i="2"/>
  <c r="N772" i="3"/>
  <c r="K772" i="3" s="1"/>
  <c r="D772" i="3"/>
  <c r="U575" i="3"/>
  <c r="T575" i="3"/>
  <c r="AA574" i="3"/>
  <c r="AB307" i="2"/>
  <c r="U306" i="2"/>
  <c r="T306" i="2"/>
  <c r="G497" i="2"/>
  <c r="J497" i="2"/>
  <c r="K497" i="2" s="1"/>
  <c r="L497" i="2" l="1"/>
  <c r="M772" i="3"/>
  <c r="L772" i="3"/>
  <c r="V575" i="3"/>
  <c r="V306" i="2"/>
  <c r="N773" i="3"/>
  <c r="K773" i="3" s="1"/>
  <c r="D773" i="3"/>
  <c r="AJ310" i="2"/>
  <c r="AI310" i="2"/>
  <c r="AD575" i="3"/>
  <c r="AC575" i="3"/>
  <c r="R575" i="3"/>
  <c r="S306" i="2"/>
  <c r="G498" i="2"/>
  <c r="J498" i="2"/>
  <c r="K498" i="2" s="1"/>
  <c r="AD308" i="2"/>
  <c r="AC308" i="2"/>
  <c r="W575" i="3" l="1"/>
  <c r="AI575" i="3"/>
  <c r="W306" i="2"/>
  <c r="AP306" i="2"/>
  <c r="AE308" i="2"/>
  <c r="AF308" i="2" s="1"/>
  <c r="AL310" i="2"/>
  <c r="AM310" i="2" s="1"/>
  <c r="L498" i="2"/>
  <c r="L773" i="3"/>
  <c r="M773" i="3"/>
  <c r="AK310" i="2"/>
  <c r="D774" i="3"/>
  <c r="N774" i="3"/>
  <c r="K774" i="3" s="1"/>
  <c r="AE575" i="3"/>
  <c r="AF575" i="3" s="1"/>
  <c r="U576" i="3"/>
  <c r="T576" i="3"/>
  <c r="AA575" i="3"/>
  <c r="G499" i="2"/>
  <c r="J499" i="2"/>
  <c r="K499" i="2" s="1"/>
  <c r="AB308" i="2"/>
  <c r="U307" i="2"/>
  <c r="T307" i="2"/>
  <c r="V307" i="2" l="1"/>
  <c r="L499" i="2"/>
  <c r="M774" i="3"/>
  <c r="L774" i="3"/>
  <c r="V576" i="3"/>
  <c r="N775" i="3"/>
  <c r="K775" i="3" s="1"/>
  <c r="E293" i="3" s="1"/>
  <c r="D775" i="3"/>
  <c r="AJ311" i="2"/>
  <c r="AI311" i="2"/>
  <c r="AD576" i="3"/>
  <c r="AC576" i="3"/>
  <c r="R576" i="3"/>
  <c r="AD309" i="2"/>
  <c r="AC309" i="2"/>
  <c r="S307" i="2"/>
  <c r="J500" i="2"/>
  <c r="K500" i="2" s="1"/>
  <c r="G500" i="2"/>
  <c r="W576" i="3" l="1"/>
  <c r="AI576" i="3"/>
  <c r="W307" i="2"/>
  <c r="AP307" i="2"/>
  <c r="L500" i="2"/>
  <c r="M775" i="3"/>
  <c r="AL311" i="2"/>
  <c r="AM311" i="2" s="1"/>
  <c r="AE576" i="3"/>
  <c r="AF576" i="3" s="1"/>
  <c r="AE309" i="2"/>
  <c r="AF309" i="2" s="1"/>
  <c r="AK311" i="2"/>
  <c r="AA576" i="3"/>
  <c r="U577" i="3"/>
  <c r="T577" i="3"/>
  <c r="U308" i="2"/>
  <c r="T308" i="2"/>
  <c r="J501" i="2"/>
  <c r="K501" i="2" s="1"/>
  <c r="G501" i="2"/>
  <c r="AB309" i="2"/>
  <c r="L501" i="2" l="1"/>
  <c r="C28" i="4"/>
  <c r="E294" i="3"/>
  <c r="L775" i="3"/>
  <c r="V308" i="2"/>
  <c r="V577" i="3"/>
  <c r="AJ312" i="2"/>
  <c r="AI312" i="2"/>
  <c r="R577" i="3"/>
  <c r="AD577" i="3"/>
  <c r="AC577" i="3"/>
  <c r="AD310" i="2"/>
  <c r="AC310" i="2"/>
  <c r="J502" i="2"/>
  <c r="K502" i="2" s="1"/>
  <c r="G502" i="2"/>
  <c r="S308" i="2"/>
  <c r="W577" i="3" l="1"/>
  <c r="AI577" i="3"/>
  <c r="W308" i="2"/>
  <c r="AP308" i="2"/>
  <c r="AL312" i="2"/>
  <c r="AM312" i="2" s="1"/>
  <c r="L502" i="2"/>
  <c r="AE310" i="2"/>
  <c r="AF310" i="2" s="1"/>
  <c r="AE577" i="3"/>
  <c r="AF577" i="3" s="1"/>
  <c r="AK312" i="2"/>
  <c r="AA577" i="3"/>
  <c r="U578" i="3"/>
  <c r="T578" i="3"/>
  <c r="U309" i="2"/>
  <c r="T309" i="2"/>
  <c r="J503" i="2"/>
  <c r="K503" i="2" s="1"/>
  <c r="G503" i="2"/>
  <c r="AB310" i="2"/>
  <c r="V309" i="2" l="1"/>
  <c r="V578" i="3"/>
  <c r="L503" i="2"/>
  <c r="AJ313" i="2"/>
  <c r="AI313" i="2"/>
  <c r="R578" i="3"/>
  <c r="AD578" i="3"/>
  <c r="AC578" i="3"/>
  <c r="AD311" i="2"/>
  <c r="AC311" i="2"/>
  <c r="S309" i="2"/>
  <c r="J504" i="2"/>
  <c r="K504" i="2" s="1"/>
  <c r="G504" i="2"/>
  <c r="W578" i="3" l="1"/>
  <c r="AI578" i="3"/>
  <c r="W309" i="2"/>
  <c r="AP309" i="2"/>
  <c r="AL313" i="2"/>
  <c r="AM313" i="2" s="1"/>
  <c r="AE311" i="2"/>
  <c r="AF311" i="2" s="1"/>
  <c r="L504" i="2"/>
  <c r="AE578" i="3"/>
  <c r="AF578" i="3" s="1"/>
  <c r="AK313" i="2"/>
  <c r="AA578" i="3"/>
  <c r="U579" i="3"/>
  <c r="T579" i="3"/>
  <c r="U310" i="2"/>
  <c r="T310" i="2"/>
  <c r="J505" i="2"/>
  <c r="K505" i="2" s="1"/>
  <c r="G505" i="2"/>
  <c r="AB311" i="2"/>
  <c r="V310" i="2" l="1"/>
  <c r="L505" i="2"/>
  <c r="V579" i="3"/>
  <c r="AJ314" i="2"/>
  <c r="AI314" i="2"/>
  <c r="R579" i="3"/>
  <c r="AD579" i="3"/>
  <c r="AC579" i="3"/>
  <c r="AD312" i="2"/>
  <c r="AC312" i="2"/>
  <c r="S310" i="2"/>
  <c r="J506" i="2"/>
  <c r="K506" i="2" s="1"/>
  <c r="G506" i="2"/>
  <c r="W579" i="3" l="1"/>
  <c r="AI579" i="3"/>
  <c r="AP310" i="2"/>
  <c r="W310" i="2"/>
  <c r="AE579" i="3"/>
  <c r="AF579" i="3" s="1"/>
  <c r="AE312" i="2"/>
  <c r="AF312" i="2" s="1"/>
  <c r="AL314" i="2"/>
  <c r="AM314" i="2" s="1"/>
  <c r="L506" i="2"/>
  <c r="AK314" i="2"/>
  <c r="AA579" i="3"/>
  <c r="U580" i="3"/>
  <c r="T580" i="3"/>
  <c r="U311" i="2"/>
  <c r="T311" i="2"/>
  <c r="J507" i="2"/>
  <c r="K507" i="2" s="1"/>
  <c r="G507" i="2"/>
  <c r="AB312" i="2"/>
  <c r="V580" i="3" l="1"/>
  <c r="L507" i="2"/>
  <c r="V311" i="2"/>
  <c r="AJ315" i="2"/>
  <c r="AI315" i="2"/>
  <c r="AD580" i="3"/>
  <c r="AC580" i="3"/>
  <c r="R580" i="3"/>
  <c r="AD313" i="2"/>
  <c r="AC313" i="2"/>
  <c r="J508" i="2"/>
  <c r="K508" i="2" s="1"/>
  <c r="G508" i="2"/>
  <c r="S311" i="2"/>
  <c r="W580" i="3" l="1"/>
  <c r="AI580" i="3"/>
  <c r="W311" i="2"/>
  <c r="AP311" i="2"/>
  <c r="AE313" i="2"/>
  <c r="AF313" i="2" s="1"/>
  <c r="AL315" i="2"/>
  <c r="AM315" i="2" s="1"/>
  <c r="L508" i="2"/>
  <c r="AE580" i="3"/>
  <c r="AF580" i="3" s="1"/>
  <c r="AK315" i="2"/>
  <c r="U581" i="3"/>
  <c r="T581" i="3"/>
  <c r="AA580" i="3"/>
  <c r="U312" i="2"/>
  <c r="T312" i="2"/>
  <c r="J509" i="2"/>
  <c r="K509" i="2" s="1"/>
  <c r="G509" i="2"/>
  <c r="AB313" i="2"/>
  <c r="V581" i="3" l="1"/>
  <c r="V312" i="2"/>
  <c r="L509" i="2"/>
  <c r="AJ316" i="2"/>
  <c r="AI316" i="2"/>
  <c r="AD581" i="3"/>
  <c r="AC581" i="3"/>
  <c r="R581" i="3"/>
  <c r="AD314" i="2"/>
  <c r="AC314" i="2"/>
  <c r="J510" i="2"/>
  <c r="K510" i="2" s="1"/>
  <c r="G510" i="2"/>
  <c r="S312" i="2"/>
  <c r="W581" i="3" l="1"/>
  <c r="AI581" i="3"/>
  <c r="W312" i="2"/>
  <c r="AP312" i="2"/>
  <c r="AE581" i="3"/>
  <c r="AF581" i="3" s="1"/>
  <c r="AL316" i="2"/>
  <c r="AM316" i="2" s="1"/>
  <c r="AE314" i="2"/>
  <c r="AF314" i="2" s="1"/>
  <c r="L510" i="2"/>
  <c r="AK316" i="2"/>
  <c r="U582" i="3"/>
  <c r="T582" i="3"/>
  <c r="AA581" i="3"/>
  <c r="U313" i="2"/>
  <c r="T313" i="2"/>
  <c r="J511" i="2"/>
  <c r="K511" i="2" s="1"/>
  <c r="G511" i="2"/>
  <c r="AB314" i="2"/>
  <c r="V582" i="3" l="1"/>
  <c r="W582" i="3" s="1"/>
  <c r="V313" i="2"/>
  <c r="L511" i="2"/>
  <c r="AJ317" i="2"/>
  <c r="AI317" i="2"/>
  <c r="AD582" i="3"/>
  <c r="AC582" i="3"/>
  <c r="R582" i="3"/>
  <c r="AD315" i="2"/>
  <c r="AC315" i="2"/>
  <c r="S313" i="2"/>
  <c r="J512" i="2"/>
  <c r="K512" i="2" s="1"/>
  <c r="G512" i="2"/>
  <c r="AL317" i="2" l="1"/>
  <c r="AM317" i="2" s="1"/>
  <c r="AI582" i="3"/>
  <c r="W313" i="2"/>
  <c r="AP313" i="2"/>
  <c r="AE582" i="3"/>
  <c r="AF582" i="3" s="1"/>
  <c r="L512" i="2"/>
  <c r="AE315" i="2"/>
  <c r="AF315" i="2" s="1"/>
  <c r="AK317" i="2"/>
  <c r="U583" i="3"/>
  <c r="T583" i="3"/>
  <c r="AA582" i="3"/>
  <c r="U314" i="2"/>
  <c r="T314" i="2"/>
  <c r="J513" i="2"/>
  <c r="K513" i="2" s="1"/>
  <c r="G513" i="2"/>
  <c r="AB315" i="2"/>
  <c r="V583" i="3" l="1"/>
  <c r="V314" i="2"/>
  <c r="L513" i="2"/>
  <c r="AJ318" i="2"/>
  <c r="AI318" i="2"/>
  <c r="AD583" i="3"/>
  <c r="AC583" i="3"/>
  <c r="R583" i="3"/>
  <c r="AD316" i="2"/>
  <c r="AC316" i="2"/>
  <c r="S314" i="2"/>
  <c r="J514" i="2"/>
  <c r="K514" i="2" s="1"/>
  <c r="G514" i="2"/>
  <c r="W583" i="3" l="1"/>
  <c r="AI583" i="3"/>
  <c r="W314" i="2"/>
  <c r="AP314" i="2"/>
  <c r="AE583" i="3"/>
  <c r="AF583" i="3" s="1"/>
  <c r="AE316" i="2"/>
  <c r="AF316" i="2" s="1"/>
  <c r="AL318" i="2"/>
  <c r="AM318" i="2" s="1"/>
  <c r="L514" i="2"/>
  <c r="AK318" i="2"/>
  <c r="U584" i="3"/>
  <c r="T584" i="3"/>
  <c r="AA583" i="3"/>
  <c r="U315" i="2"/>
  <c r="T315" i="2"/>
  <c r="V315" i="2" s="1"/>
  <c r="J515" i="2"/>
  <c r="K515" i="2" s="1"/>
  <c r="G515" i="2"/>
  <c r="AB316" i="2"/>
  <c r="W315" i="2" l="1"/>
  <c r="AP315" i="2"/>
  <c r="V584" i="3"/>
  <c r="L515" i="2"/>
  <c r="AJ319" i="2"/>
  <c r="AI319" i="2"/>
  <c r="AD584" i="3"/>
  <c r="AC584" i="3"/>
  <c r="R584" i="3"/>
  <c r="AD317" i="2"/>
  <c r="AC317" i="2"/>
  <c r="J516" i="2"/>
  <c r="K516" i="2" s="1"/>
  <c r="G516" i="2"/>
  <c r="S315" i="2"/>
  <c r="W584" i="3" l="1"/>
  <c r="AI584" i="3"/>
  <c r="AE584" i="3"/>
  <c r="AF584" i="3" s="1"/>
  <c r="AL319" i="2"/>
  <c r="AM319" i="2" s="1"/>
  <c r="L516" i="2"/>
  <c r="AE317" i="2"/>
  <c r="AF317" i="2" s="1"/>
  <c r="AK319" i="2"/>
  <c r="U585" i="3"/>
  <c r="T585" i="3"/>
  <c r="AA584" i="3"/>
  <c r="U316" i="2"/>
  <c r="T316" i="2"/>
  <c r="J517" i="2"/>
  <c r="K517" i="2" s="1"/>
  <c r="G517" i="2"/>
  <c r="AB317" i="2"/>
  <c r="V585" i="3" l="1"/>
  <c r="V316" i="2"/>
  <c r="L517" i="2"/>
  <c r="AK320" i="2"/>
  <c r="AJ320" i="2"/>
  <c r="AL320" i="2" s="1"/>
  <c r="AM320" i="2" s="1"/>
  <c r="AD585" i="3"/>
  <c r="AC585" i="3"/>
  <c r="R585" i="3"/>
  <c r="AD318" i="2"/>
  <c r="AC318" i="2"/>
  <c r="J518" i="2"/>
  <c r="K518" i="2" s="1"/>
  <c r="G518" i="2"/>
  <c r="S316" i="2"/>
  <c r="W585" i="3" l="1"/>
  <c r="AI585" i="3"/>
  <c r="W316" i="2"/>
  <c r="AP316" i="2"/>
  <c r="AE318" i="2"/>
  <c r="AF318" i="2" s="1"/>
  <c r="AE585" i="3"/>
  <c r="AF585" i="3" s="1"/>
  <c r="L518" i="2"/>
  <c r="AK321" i="2"/>
  <c r="AJ321" i="2"/>
  <c r="AL321" i="2" s="1"/>
  <c r="AM321" i="2" s="1"/>
  <c r="U586" i="3"/>
  <c r="T586" i="3"/>
  <c r="AA585" i="3"/>
  <c r="U317" i="2"/>
  <c r="T317" i="2"/>
  <c r="J519" i="2"/>
  <c r="K519" i="2" s="1"/>
  <c r="G519" i="2"/>
  <c r="AB318" i="2"/>
  <c r="V586" i="3" l="1"/>
  <c r="V317" i="2"/>
  <c r="L519" i="2"/>
  <c r="AK322" i="2"/>
  <c r="AJ322" i="2"/>
  <c r="AL322" i="2" s="1"/>
  <c r="AM322" i="2" s="1"/>
  <c r="AD586" i="3"/>
  <c r="AC586" i="3"/>
  <c r="R586" i="3"/>
  <c r="AD319" i="2"/>
  <c r="AC319" i="2"/>
  <c r="S317" i="2"/>
  <c r="J520" i="2"/>
  <c r="K520" i="2" s="1"/>
  <c r="G520" i="2"/>
  <c r="W586" i="3" l="1"/>
  <c r="AI586" i="3"/>
  <c r="W317" i="2"/>
  <c r="AP317" i="2"/>
  <c r="AE586" i="3"/>
  <c r="AF586" i="3" s="1"/>
  <c r="AE319" i="2"/>
  <c r="AF319" i="2" s="1"/>
  <c r="L520" i="2"/>
  <c r="AK323" i="2"/>
  <c r="AJ323" i="2"/>
  <c r="AL323" i="2" s="1"/>
  <c r="AM323" i="2" s="1"/>
  <c r="U587" i="3"/>
  <c r="T587" i="3"/>
  <c r="AA586" i="3"/>
  <c r="J521" i="2"/>
  <c r="K521" i="2" s="1"/>
  <c r="G521" i="2"/>
  <c r="AB319" i="2"/>
  <c r="U318" i="2"/>
  <c r="T318" i="2"/>
  <c r="V587" i="3" l="1"/>
  <c r="V318" i="2"/>
  <c r="L521" i="2"/>
  <c r="AK324" i="2"/>
  <c r="AJ324" i="2"/>
  <c r="AL324" i="2" s="1"/>
  <c r="AM324" i="2" s="1"/>
  <c r="AD587" i="3"/>
  <c r="AC587" i="3"/>
  <c r="R587" i="3"/>
  <c r="AD320" i="2"/>
  <c r="AE320" i="2" s="1"/>
  <c r="AF320" i="2" s="1"/>
  <c r="AB320" i="2"/>
  <c r="J522" i="2"/>
  <c r="K522" i="2" s="1"/>
  <c r="G522" i="2"/>
  <c r="S318" i="2"/>
  <c r="W587" i="3" l="1"/>
  <c r="AI587" i="3"/>
  <c r="W318" i="2"/>
  <c r="AP318" i="2"/>
  <c r="AE587" i="3"/>
  <c r="AF587" i="3" s="1"/>
  <c r="L522" i="2"/>
  <c r="AK325" i="2"/>
  <c r="AJ325" i="2"/>
  <c r="AL325" i="2" s="1"/>
  <c r="AM325" i="2" s="1"/>
  <c r="U588" i="3"/>
  <c r="T588" i="3"/>
  <c r="AA587" i="3"/>
  <c r="J523" i="2"/>
  <c r="K523" i="2" s="1"/>
  <c r="G523" i="2"/>
  <c r="AB321" i="2"/>
  <c r="AD321" i="2"/>
  <c r="AE321" i="2" s="1"/>
  <c r="AF321" i="2" s="1"/>
  <c r="U319" i="2"/>
  <c r="T319" i="2"/>
  <c r="V588" i="3" l="1"/>
  <c r="L523" i="2"/>
  <c r="V319" i="2"/>
  <c r="AK326" i="2"/>
  <c r="AJ326" i="2"/>
  <c r="AL326" i="2" s="1"/>
  <c r="AM326" i="2" s="1"/>
  <c r="AD588" i="3"/>
  <c r="AC588" i="3"/>
  <c r="R588" i="3"/>
  <c r="AB322" i="2"/>
  <c r="AD322" i="2"/>
  <c r="AE322" i="2" s="1"/>
  <c r="AF322" i="2" s="1"/>
  <c r="J524" i="2"/>
  <c r="K524" i="2" s="1"/>
  <c r="G524" i="2"/>
  <c r="S319" i="2"/>
  <c r="W588" i="3" l="1"/>
  <c r="AI588" i="3"/>
  <c r="W319" i="2"/>
  <c r="AP319" i="2"/>
  <c r="L524" i="2"/>
  <c r="AE588" i="3"/>
  <c r="AF588" i="3" s="1"/>
  <c r="AK327" i="2"/>
  <c r="AJ327" i="2"/>
  <c r="AL327" i="2" s="1"/>
  <c r="AM327" i="2" s="1"/>
  <c r="U589" i="3"/>
  <c r="T589" i="3"/>
  <c r="AA588" i="3"/>
  <c r="J525" i="2"/>
  <c r="K525" i="2" s="1"/>
  <c r="G525" i="2"/>
  <c r="S320" i="2"/>
  <c r="U320" i="2"/>
  <c r="V320" i="2" s="1"/>
  <c r="AD323" i="2"/>
  <c r="AE323" i="2" s="1"/>
  <c r="AF323" i="2" s="1"/>
  <c r="AB323" i="2"/>
  <c r="AP320" i="2" l="1"/>
  <c r="W320" i="2"/>
  <c r="L525" i="2"/>
  <c r="V589" i="3"/>
  <c r="AK328" i="2"/>
  <c r="AJ328" i="2"/>
  <c r="AL328" i="2" s="1"/>
  <c r="AM328" i="2" s="1"/>
  <c r="R589" i="3"/>
  <c r="AD589" i="3"/>
  <c r="AC589" i="3"/>
  <c r="U321" i="2"/>
  <c r="V321" i="2" s="1"/>
  <c r="S321" i="2"/>
  <c r="AD324" i="2"/>
  <c r="AE324" i="2" s="1"/>
  <c r="AF324" i="2" s="1"/>
  <c r="AB324" i="2"/>
  <c r="J526" i="2"/>
  <c r="K526" i="2" s="1"/>
  <c r="G526" i="2"/>
  <c r="W589" i="3" l="1"/>
  <c r="AI589" i="3"/>
  <c r="AP321" i="2"/>
  <c r="W321" i="2"/>
  <c r="L526" i="2"/>
  <c r="AE589" i="3"/>
  <c r="AF589" i="3" s="1"/>
  <c r="AK329" i="2"/>
  <c r="AJ329" i="2"/>
  <c r="AL329" i="2" s="1"/>
  <c r="AM329" i="2" s="1"/>
  <c r="AA589" i="3"/>
  <c r="U590" i="3"/>
  <c r="T590" i="3"/>
  <c r="AB325" i="2"/>
  <c r="AD325" i="2"/>
  <c r="AE325" i="2" s="1"/>
  <c r="AF325" i="2" s="1"/>
  <c r="G527" i="2"/>
  <c r="J527" i="2"/>
  <c r="K527" i="2" s="1"/>
  <c r="U322" i="2"/>
  <c r="V322" i="2" s="1"/>
  <c r="S322" i="2"/>
  <c r="AP322" i="2" l="1"/>
  <c r="W322" i="2"/>
  <c r="V590" i="3"/>
  <c r="L527" i="2"/>
  <c r="AK330" i="2"/>
  <c r="AJ330" i="2"/>
  <c r="AL330" i="2" s="1"/>
  <c r="AM330" i="2" s="1"/>
  <c r="R590" i="3"/>
  <c r="AD590" i="3"/>
  <c r="AC590" i="3"/>
  <c r="J528" i="2"/>
  <c r="K528" i="2" s="1"/>
  <c r="G528" i="2"/>
  <c r="S323" i="2"/>
  <c r="U323" i="2"/>
  <c r="V323" i="2" s="1"/>
  <c r="AB326" i="2"/>
  <c r="AD326" i="2"/>
  <c r="AE326" i="2" s="1"/>
  <c r="AF326" i="2" s="1"/>
  <c r="W590" i="3" l="1"/>
  <c r="AI590" i="3"/>
  <c r="AP323" i="2"/>
  <c r="W323" i="2"/>
  <c r="L528" i="2"/>
  <c r="AE590" i="3"/>
  <c r="AF590" i="3" s="1"/>
  <c r="AK331" i="2"/>
  <c r="AJ331" i="2"/>
  <c r="AL331" i="2" s="1"/>
  <c r="AM331" i="2" s="1"/>
  <c r="AA590" i="3"/>
  <c r="U591" i="3"/>
  <c r="T591" i="3"/>
  <c r="S324" i="2"/>
  <c r="U324" i="2"/>
  <c r="V324" i="2" s="1"/>
  <c r="J529" i="2"/>
  <c r="K529" i="2" s="1"/>
  <c r="G529" i="2"/>
  <c r="AD327" i="2"/>
  <c r="AE327" i="2" s="1"/>
  <c r="AF327" i="2" s="1"/>
  <c r="AB327" i="2"/>
  <c r="W324" i="2" l="1"/>
  <c r="AP324" i="2"/>
  <c r="V591" i="3"/>
  <c r="L529" i="2"/>
  <c r="AK332" i="2"/>
  <c r="AJ332" i="2"/>
  <c r="AL332" i="2" s="1"/>
  <c r="AM332" i="2" s="1"/>
  <c r="AD591" i="3"/>
  <c r="AC591" i="3"/>
  <c r="R591" i="3"/>
  <c r="G530" i="2"/>
  <c r="J530" i="2"/>
  <c r="K530" i="2" s="1"/>
  <c r="AD328" i="2"/>
  <c r="AE328" i="2" s="1"/>
  <c r="AF328" i="2" s="1"/>
  <c r="AB328" i="2"/>
  <c r="U325" i="2"/>
  <c r="V325" i="2" s="1"/>
  <c r="S325" i="2"/>
  <c r="W591" i="3" l="1"/>
  <c r="AI591" i="3"/>
  <c r="AP325" i="2"/>
  <c r="W325" i="2"/>
  <c r="AE591" i="3"/>
  <c r="AF591" i="3" s="1"/>
  <c r="L530" i="2"/>
  <c r="AK333" i="2"/>
  <c r="AJ333" i="2"/>
  <c r="AL333" i="2" s="1"/>
  <c r="AM333" i="2" s="1"/>
  <c r="U592" i="3"/>
  <c r="T592" i="3"/>
  <c r="AA591" i="3"/>
  <c r="AB329" i="2"/>
  <c r="AD329" i="2"/>
  <c r="AE329" i="2" s="1"/>
  <c r="AF329" i="2" s="1"/>
  <c r="U326" i="2"/>
  <c r="V326" i="2" s="1"/>
  <c r="S326" i="2"/>
  <c r="G531" i="2"/>
  <c r="J531" i="2"/>
  <c r="K531" i="2" s="1"/>
  <c r="AP326" i="2" l="1"/>
  <c r="W326" i="2"/>
  <c r="V592" i="3"/>
  <c r="L531" i="2"/>
  <c r="AK334" i="2"/>
  <c r="AJ334" i="2"/>
  <c r="AL334" i="2" s="1"/>
  <c r="AM334" i="2" s="1"/>
  <c r="R592" i="3"/>
  <c r="AD592" i="3"/>
  <c r="AC592" i="3"/>
  <c r="S327" i="2"/>
  <c r="U327" i="2"/>
  <c r="V327" i="2" s="1"/>
  <c r="G532" i="2"/>
  <c r="J532" i="2"/>
  <c r="K532" i="2" s="1"/>
  <c r="AB330" i="2"/>
  <c r="AD330" i="2"/>
  <c r="AE330" i="2" s="1"/>
  <c r="AF330" i="2" s="1"/>
  <c r="W592" i="3" l="1"/>
  <c r="AI592" i="3"/>
  <c r="AP327" i="2"/>
  <c r="W327" i="2"/>
  <c r="L532" i="2"/>
  <c r="AE592" i="3"/>
  <c r="AF592" i="3" s="1"/>
  <c r="AK335" i="2"/>
  <c r="AJ335" i="2"/>
  <c r="AL335" i="2" s="1"/>
  <c r="AM335" i="2" s="1"/>
  <c r="AA592" i="3"/>
  <c r="U593" i="3"/>
  <c r="T593" i="3"/>
  <c r="G533" i="2"/>
  <c r="J533" i="2"/>
  <c r="K533" i="2" s="1"/>
  <c r="AD331" i="2"/>
  <c r="AE331" i="2" s="1"/>
  <c r="AF331" i="2" s="1"/>
  <c r="AB331" i="2"/>
  <c r="S328" i="2"/>
  <c r="U328" i="2"/>
  <c r="V328" i="2" s="1"/>
  <c r="AP328" i="2" l="1"/>
  <c r="W328" i="2"/>
  <c r="L533" i="2"/>
  <c r="V593" i="3"/>
  <c r="AK336" i="2"/>
  <c r="AJ336" i="2"/>
  <c r="AL336" i="2" s="1"/>
  <c r="AM336" i="2" s="1"/>
  <c r="R593" i="3"/>
  <c r="AD593" i="3"/>
  <c r="AC593" i="3"/>
  <c r="AD332" i="2"/>
  <c r="AE332" i="2" s="1"/>
  <c r="AF332" i="2" s="1"/>
  <c r="AB332" i="2"/>
  <c r="U329" i="2"/>
  <c r="V329" i="2" s="1"/>
  <c r="S329" i="2"/>
  <c r="G534" i="2"/>
  <c r="J534" i="2"/>
  <c r="K534" i="2" s="1"/>
  <c r="W593" i="3" l="1"/>
  <c r="AI593" i="3"/>
  <c r="AP329" i="2"/>
  <c r="W329" i="2"/>
  <c r="L534" i="2"/>
  <c r="AE593" i="3"/>
  <c r="AF593" i="3" s="1"/>
  <c r="AK337" i="2"/>
  <c r="AJ337" i="2"/>
  <c r="AL337" i="2" s="1"/>
  <c r="AM337" i="2" s="1"/>
  <c r="U594" i="3"/>
  <c r="T594" i="3"/>
  <c r="AA593" i="3"/>
  <c r="U330" i="2"/>
  <c r="V330" i="2" s="1"/>
  <c r="S330" i="2"/>
  <c r="AB333" i="2"/>
  <c r="AD333" i="2"/>
  <c r="AE333" i="2" s="1"/>
  <c r="AF333" i="2" s="1"/>
  <c r="G535" i="2"/>
  <c r="J535" i="2"/>
  <c r="K535" i="2" s="1"/>
  <c r="W330" i="2" l="1"/>
  <c r="AP330" i="2"/>
  <c r="L535" i="2"/>
  <c r="V594" i="3"/>
  <c r="AK338" i="2"/>
  <c r="AJ338" i="2"/>
  <c r="AL338" i="2" s="1"/>
  <c r="AM338" i="2" s="1"/>
  <c r="AD594" i="3"/>
  <c r="AC594" i="3"/>
  <c r="R594" i="3"/>
  <c r="AB334" i="2"/>
  <c r="AD334" i="2"/>
  <c r="AE334" i="2" s="1"/>
  <c r="AF334" i="2" s="1"/>
  <c r="S331" i="2"/>
  <c r="U331" i="2"/>
  <c r="V331" i="2" s="1"/>
  <c r="G536" i="2"/>
  <c r="J536" i="2"/>
  <c r="K536" i="2" s="1"/>
  <c r="W594" i="3" l="1"/>
  <c r="AI594" i="3"/>
  <c r="AP331" i="2"/>
  <c r="W331" i="2"/>
  <c r="L536" i="2"/>
  <c r="AE594" i="3"/>
  <c r="AF594" i="3" s="1"/>
  <c r="AK339" i="2"/>
  <c r="AJ339" i="2"/>
  <c r="AL339" i="2" s="1"/>
  <c r="AM339" i="2" s="1"/>
  <c r="U595" i="3"/>
  <c r="T595" i="3"/>
  <c r="AA594" i="3"/>
  <c r="S332" i="2"/>
  <c r="U332" i="2"/>
  <c r="V332" i="2" s="1"/>
  <c r="G537" i="2"/>
  <c r="J537" i="2"/>
  <c r="K537" i="2" s="1"/>
  <c r="AD335" i="2"/>
  <c r="AE335" i="2" s="1"/>
  <c r="AF335" i="2" s="1"/>
  <c r="AB335" i="2"/>
  <c r="W332" i="2" l="1"/>
  <c r="AP332" i="2"/>
  <c r="L537" i="2"/>
  <c r="V595" i="3"/>
  <c r="AK340" i="2"/>
  <c r="AJ340" i="2"/>
  <c r="AL340" i="2" s="1"/>
  <c r="AM340" i="2" s="1"/>
  <c r="AD595" i="3"/>
  <c r="AC595" i="3"/>
  <c r="R595" i="3"/>
  <c r="G538" i="2"/>
  <c r="J538" i="2"/>
  <c r="K538" i="2" s="1"/>
  <c r="AD336" i="2"/>
  <c r="AE336" i="2" s="1"/>
  <c r="AF336" i="2" s="1"/>
  <c r="AB336" i="2"/>
  <c r="U333" i="2"/>
  <c r="V333" i="2" s="1"/>
  <c r="S333" i="2"/>
  <c r="W595" i="3" l="1"/>
  <c r="AI595" i="3"/>
  <c r="W333" i="2"/>
  <c r="AP333" i="2"/>
  <c r="L538" i="2"/>
  <c r="AE595" i="3"/>
  <c r="AF595" i="3" s="1"/>
  <c r="AK341" i="2"/>
  <c r="AJ341" i="2"/>
  <c r="AL341" i="2" s="1"/>
  <c r="AM341" i="2" s="1"/>
  <c r="R596" i="3"/>
  <c r="U596" i="3"/>
  <c r="V596" i="3" s="1"/>
  <c r="AA595" i="3"/>
  <c r="AB337" i="2"/>
  <c r="AD337" i="2"/>
  <c r="AE337" i="2" s="1"/>
  <c r="AF337" i="2" s="1"/>
  <c r="U334" i="2"/>
  <c r="V334" i="2" s="1"/>
  <c r="S334" i="2"/>
  <c r="G539" i="2"/>
  <c r="J539" i="2"/>
  <c r="K539" i="2" s="1"/>
  <c r="AI596" i="3" l="1"/>
  <c r="W596" i="3"/>
  <c r="AP334" i="2"/>
  <c r="W334" i="2"/>
  <c r="L539" i="2"/>
  <c r="AK342" i="2"/>
  <c r="AJ342" i="2"/>
  <c r="AL342" i="2" s="1"/>
  <c r="AM342" i="2" s="1"/>
  <c r="AA596" i="3"/>
  <c r="AD596" i="3"/>
  <c r="AE596" i="3" s="1"/>
  <c r="AF596" i="3" s="1"/>
  <c r="U597" i="3"/>
  <c r="V597" i="3" s="1"/>
  <c r="R597" i="3"/>
  <c r="S335" i="2"/>
  <c r="U335" i="2"/>
  <c r="V335" i="2" s="1"/>
  <c r="G540" i="2"/>
  <c r="J540" i="2"/>
  <c r="K540" i="2" s="1"/>
  <c r="AB338" i="2"/>
  <c r="AD338" i="2"/>
  <c r="AE338" i="2" s="1"/>
  <c r="AF338" i="2" s="1"/>
  <c r="AI597" i="3" l="1"/>
  <c r="W597" i="3"/>
  <c r="AP335" i="2"/>
  <c r="W335" i="2"/>
  <c r="L540" i="2"/>
  <c r="AK343" i="2"/>
  <c r="AJ343" i="2"/>
  <c r="AL343" i="2" s="1"/>
  <c r="AM343" i="2" s="1"/>
  <c r="R598" i="3"/>
  <c r="U598" i="3"/>
  <c r="V598" i="3" s="1"/>
  <c r="AA597" i="3"/>
  <c r="AD597" i="3"/>
  <c r="AE597" i="3" s="1"/>
  <c r="AF597" i="3" s="1"/>
  <c r="G541" i="2"/>
  <c r="J541" i="2"/>
  <c r="K541" i="2" s="1"/>
  <c r="AD339" i="2"/>
  <c r="AE339" i="2" s="1"/>
  <c r="AF339" i="2" s="1"/>
  <c r="AB339" i="2"/>
  <c r="S336" i="2"/>
  <c r="U336" i="2"/>
  <c r="V336" i="2" s="1"/>
  <c r="AI598" i="3" l="1"/>
  <c r="W598" i="3"/>
  <c r="W336" i="2"/>
  <c r="AP336" i="2"/>
  <c r="L541" i="2"/>
  <c r="AK344" i="2"/>
  <c r="AJ344" i="2"/>
  <c r="AL344" i="2" s="1"/>
  <c r="AM344" i="2" s="1"/>
  <c r="AA598" i="3"/>
  <c r="AD598" i="3"/>
  <c r="AE598" i="3" s="1"/>
  <c r="AF598" i="3" s="1"/>
  <c r="R599" i="3"/>
  <c r="U599" i="3"/>
  <c r="V599" i="3" s="1"/>
  <c r="AD340" i="2"/>
  <c r="AE340" i="2" s="1"/>
  <c r="AF340" i="2" s="1"/>
  <c r="AB340" i="2"/>
  <c r="U337" i="2"/>
  <c r="V337" i="2" s="1"/>
  <c r="S337" i="2"/>
  <c r="G542" i="2"/>
  <c r="J542" i="2"/>
  <c r="K542" i="2" s="1"/>
  <c r="AI599" i="3" l="1"/>
  <c r="W599" i="3"/>
  <c r="AP337" i="2"/>
  <c r="W337" i="2"/>
  <c r="L542" i="2"/>
  <c r="AK345" i="2"/>
  <c r="AJ345" i="2"/>
  <c r="AL345" i="2" s="1"/>
  <c r="AM345" i="2" s="1"/>
  <c r="AA599" i="3"/>
  <c r="AD599" i="3"/>
  <c r="AE599" i="3" s="1"/>
  <c r="AF599" i="3" s="1"/>
  <c r="R600" i="3"/>
  <c r="U600" i="3"/>
  <c r="V600" i="3" s="1"/>
  <c r="U338" i="2"/>
  <c r="V338" i="2" s="1"/>
  <c r="S338" i="2"/>
  <c r="AB341" i="2"/>
  <c r="AD341" i="2"/>
  <c r="AE341" i="2" s="1"/>
  <c r="AF341" i="2" s="1"/>
  <c r="G543" i="2"/>
  <c r="J543" i="2"/>
  <c r="K543" i="2" s="1"/>
  <c r="AI600" i="3" l="1"/>
  <c r="W600" i="3"/>
  <c r="AP338" i="2"/>
  <c r="W338" i="2"/>
  <c r="L543" i="2"/>
  <c r="AK346" i="2"/>
  <c r="AJ346" i="2"/>
  <c r="AL346" i="2" s="1"/>
  <c r="AM346" i="2" s="1"/>
  <c r="R601" i="3"/>
  <c r="U601" i="3"/>
  <c r="V601" i="3" s="1"/>
  <c r="AD600" i="3"/>
  <c r="AE600" i="3" s="1"/>
  <c r="AF600" i="3" s="1"/>
  <c r="AA600" i="3"/>
  <c r="AB342" i="2"/>
  <c r="AD342" i="2"/>
  <c r="AE342" i="2" s="1"/>
  <c r="AF342" i="2" s="1"/>
  <c r="S339" i="2"/>
  <c r="U339" i="2"/>
  <c r="V339" i="2" s="1"/>
  <c r="G544" i="2"/>
  <c r="J544" i="2"/>
  <c r="K544" i="2" s="1"/>
  <c r="AI601" i="3" l="1"/>
  <c r="W601" i="3"/>
  <c r="AP339" i="2"/>
  <c r="W339" i="2"/>
  <c r="L544" i="2"/>
  <c r="AK347" i="2"/>
  <c r="AJ347" i="2"/>
  <c r="AL347" i="2" s="1"/>
  <c r="AM347" i="2" s="1"/>
  <c r="AA601" i="3"/>
  <c r="AD601" i="3"/>
  <c r="AE601" i="3" s="1"/>
  <c r="AF601" i="3" s="1"/>
  <c r="U602" i="3"/>
  <c r="V602" i="3" s="1"/>
  <c r="R602" i="3"/>
  <c r="S340" i="2"/>
  <c r="U340" i="2"/>
  <c r="V340" i="2" s="1"/>
  <c r="G545" i="2"/>
  <c r="J545" i="2"/>
  <c r="K545" i="2" s="1"/>
  <c r="AD343" i="2"/>
  <c r="AE343" i="2" s="1"/>
  <c r="AF343" i="2" s="1"/>
  <c r="AB343" i="2"/>
  <c r="AI602" i="3" l="1"/>
  <c r="W602" i="3"/>
  <c r="W340" i="2"/>
  <c r="AP340" i="2"/>
  <c r="L545" i="2"/>
  <c r="AK348" i="2"/>
  <c r="AJ348" i="2"/>
  <c r="AL348" i="2" s="1"/>
  <c r="AM348" i="2" s="1"/>
  <c r="R603" i="3"/>
  <c r="U603" i="3"/>
  <c r="V603" i="3" s="1"/>
  <c r="AA602" i="3"/>
  <c r="AD602" i="3"/>
  <c r="AE602" i="3" s="1"/>
  <c r="AF602" i="3" s="1"/>
  <c r="G546" i="2"/>
  <c r="J546" i="2"/>
  <c r="K546" i="2" s="1"/>
  <c r="AD344" i="2"/>
  <c r="AE344" i="2" s="1"/>
  <c r="AF344" i="2" s="1"/>
  <c r="AB344" i="2"/>
  <c r="U341" i="2"/>
  <c r="V341" i="2" s="1"/>
  <c r="S341" i="2"/>
  <c r="AI603" i="3" l="1"/>
  <c r="W603" i="3"/>
  <c r="AP341" i="2"/>
  <c r="W341" i="2"/>
  <c r="L546" i="2"/>
  <c r="AK349" i="2"/>
  <c r="AJ349" i="2"/>
  <c r="AL349" i="2" s="1"/>
  <c r="AM349" i="2" s="1"/>
  <c r="AA603" i="3"/>
  <c r="AD603" i="3"/>
  <c r="AE603" i="3" s="1"/>
  <c r="AF603" i="3" s="1"/>
  <c r="R604" i="3"/>
  <c r="U604" i="3"/>
  <c r="V604" i="3" s="1"/>
  <c r="AB345" i="2"/>
  <c r="AD345" i="2"/>
  <c r="AE345" i="2" s="1"/>
  <c r="AF345" i="2" s="1"/>
  <c r="U342" i="2"/>
  <c r="V342" i="2" s="1"/>
  <c r="S342" i="2"/>
  <c r="G547" i="2"/>
  <c r="J547" i="2"/>
  <c r="K547" i="2" s="1"/>
  <c r="AI604" i="3" l="1"/>
  <c r="W604" i="3"/>
  <c r="AP342" i="2"/>
  <c r="W342" i="2"/>
  <c r="L547" i="2"/>
  <c r="AK350" i="2"/>
  <c r="AJ350" i="2"/>
  <c r="AL350" i="2" s="1"/>
  <c r="AM350" i="2" s="1"/>
  <c r="AD604" i="3"/>
  <c r="AE604" i="3" s="1"/>
  <c r="AF604" i="3" s="1"/>
  <c r="AA604" i="3"/>
  <c r="R605" i="3"/>
  <c r="U605" i="3"/>
  <c r="V605" i="3" s="1"/>
  <c r="S343" i="2"/>
  <c r="U343" i="2"/>
  <c r="V343" i="2" s="1"/>
  <c r="G548" i="2"/>
  <c r="J548" i="2"/>
  <c r="K548" i="2" s="1"/>
  <c r="AB346" i="2"/>
  <c r="AD346" i="2"/>
  <c r="AE346" i="2" s="1"/>
  <c r="AF346" i="2" s="1"/>
  <c r="AI605" i="3" l="1"/>
  <c r="W605" i="3"/>
  <c r="AP343" i="2"/>
  <c r="W343" i="2"/>
  <c r="L548" i="2"/>
  <c r="AK351" i="2"/>
  <c r="AJ351" i="2"/>
  <c r="AL351" i="2" s="1"/>
  <c r="AM351" i="2" s="1"/>
  <c r="U606" i="3"/>
  <c r="V606" i="3" s="1"/>
  <c r="R606" i="3"/>
  <c r="AA605" i="3"/>
  <c r="AD605" i="3"/>
  <c r="AE605" i="3" s="1"/>
  <c r="AF605" i="3" s="1"/>
  <c r="G549" i="2"/>
  <c r="J549" i="2"/>
  <c r="K549" i="2" s="1"/>
  <c r="AD347" i="2"/>
  <c r="AE347" i="2" s="1"/>
  <c r="AF347" i="2" s="1"/>
  <c r="AB347" i="2"/>
  <c r="S344" i="2"/>
  <c r="U344" i="2"/>
  <c r="V344" i="2" s="1"/>
  <c r="AI606" i="3" l="1"/>
  <c r="W606" i="3"/>
  <c r="AP344" i="2"/>
  <c r="W344" i="2"/>
  <c r="L549" i="2"/>
  <c r="AK352" i="2"/>
  <c r="AJ352" i="2"/>
  <c r="AL352" i="2" s="1"/>
  <c r="AM352" i="2" s="1"/>
  <c r="AA606" i="3"/>
  <c r="AD606" i="3"/>
  <c r="AE606" i="3" s="1"/>
  <c r="AF606" i="3" s="1"/>
  <c r="R607" i="3"/>
  <c r="U607" i="3"/>
  <c r="V607" i="3" s="1"/>
  <c r="AD348" i="2"/>
  <c r="AE348" i="2" s="1"/>
  <c r="AF348" i="2" s="1"/>
  <c r="AB348" i="2"/>
  <c r="U345" i="2"/>
  <c r="V345" i="2" s="1"/>
  <c r="S345" i="2"/>
  <c r="G550" i="2"/>
  <c r="J550" i="2"/>
  <c r="K550" i="2" s="1"/>
  <c r="AI607" i="3" l="1"/>
  <c r="W607" i="3"/>
  <c r="AP345" i="2"/>
  <c r="W345" i="2"/>
  <c r="L550" i="2"/>
  <c r="AK353" i="2"/>
  <c r="AJ353" i="2"/>
  <c r="AL353" i="2" s="1"/>
  <c r="AM353" i="2" s="1"/>
  <c r="AA607" i="3"/>
  <c r="AD607" i="3"/>
  <c r="AE607" i="3" s="1"/>
  <c r="AF607" i="3" s="1"/>
  <c r="R608" i="3"/>
  <c r="U608" i="3"/>
  <c r="V608" i="3" s="1"/>
  <c r="U346" i="2"/>
  <c r="V346" i="2" s="1"/>
  <c r="S346" i="2"/>
  <c r="AB349" i="2"/>
  <c r="AD349" i="2"/>
  <c r="AE349" i="2" s="1"/>
  <c r="AF349" i="2" s="1"/>
  <c r="G551" i="2"/>
  <c r="J551" i="2"/>
  <c r="K551" i="2" s="1"/>
  <c r="AI608" i="3" l="1"/>
  <c r="W608" i="3"/>
  <c r="W346" i="2"/>
  <c r="AP346" i="2"/>
  <c r="L551" i="2"/>
  <c r="AK354" i="2"/>
  <c r="AJ354" i="2"/>
  <c r="AL354" i="2" s="1"/>
  <c r="AM354" i="2" s="1"/>
  <c r="R609" i="3"/>
  <c r="U609" i="3"/>
  <c r="V609" i="3" s="1"/>
  <c r="AD608" i="3"/>
  <c r="AE608" i="3" s="1"/>
  <c r="AF608" i="3" s="1"/>
  <c r="AA608" i="3"/>
  <c r="G552" i="2"/>
  <c r="J552" i="2"/>
  <c r="K552" i="2" s="1"/>
  <c r="AB350" i="2"/>
  <c r="AD350" i="2"/>
  <c r="AE350" i="2" s="1"/>
  <c r="AF350" i="2" s="1"/>
  <c r="S347" i="2"/>
  <c r="U347" i="2"/>
  <c r="V347" i="2" s="1"/>
  <c r="AI609" i="3" l="1"/>
  <c r="W609" i="3"/>
  <c r="AP347" i="2"/>
  <c r="W347" i="2"/>
  <c r="L552" i="2"/>
  <c r="AK355" i="2"/>
  <c r="AJ355" i="2"/>
  <c r="AL355" i="2" s="1"/>
  <c r="AM355" i="2" s="1"/>
  <c r="AA609" i="3"/>
  <c r="AD609" i="3"/>
  <c r="AE609" i="3" s="1"/>
  <c r="AF609" i="3" s="1"/>
  <c r="U610" i="3"/>
  <c r="V610" i="3" s="1"/>
  <c r="R610" i="3"/>
  <c r="AD351" i="2"/>
  <c r="AE351" i="2" s="1"/>
  <c r="AF351" i="2" s="1"/>
  <c r="AB351" i="2"/>
  <c r="S348" i="2"/>
  <c r="U348" i="2"/>
  <c r="V348" i="2" s="1"/>
  <c r="G553" i="2"/>
  <c r="J553" i="2"/>
  <c r="K553" i="2" s="1"/>
  <c r="AI610" i="3" l="1"/>
  <c r="W610" i="3"/>
  <c r="W348" i="2"/>
  <c r="AP348" i="2"/>
  <c r="L553" i="2"/>
  <c r="AK356" i="2"/>
  <c r="AJ356" i="2"/>
  <c r="AL356" i="2" s="1"/>
  <c r="AM356" i="2" s="1"/>
  <c r="R611" i="3"/>
  <c r="U611" i="3"/>
  <c r="V611" i="3" s="1"/>
  <c r="AA610" i="3"/>
  <c r="AD610" i="3"/>
  <c r="AE610" i="3" s="1"/>
  <c r="AF610" i="3" s="1"/>
  <c r="U349" i="2"/>
  <c r="V349" i="2" s="1"/>
  <c r="S349" i="2"/>
  <c r="AD352" i="2"/>
  <c r="AE352" i="2" s="1"/>
  <c r="AF352" i="2" s="1"/>
  <c r="AB352" i="2"/>
  <c r="G554" i="2"/>
  <c r="J554" i="2"/>
  <c r="K554" i="2" s="1"/>
  <c r="AI611" i="3" l="1"/>
  <c r="W611" i="3"/>
  <c r="W349" i="2"/>
  <c r="AP349" i="2"/>
  <c r="L554" i="2"/>
  <c r="AK357" i="2"/>
  <c r="AJ357" i="2"/>
  <c r="AL357" i="2" s="1"/>
  <c r="AM357" i="2" s="1"/>
  <c r="AA611" i="3"/>
  <c r="AD611" i="3"/>
  <c r="AE611" i="3" s="1"/>
  <c r="AF611" i="3" s="1"/>
  <c r="R612" i="3"/>
  <c r="U612" i="3"/>
  <c r="V612" i="3" s="1"/>
  <c r="G555" i="2"/>
  <c r="J555" i="2"/>
  <c r="K555" i="2" s="1"/>
  <c r="AB353" i="2"/>
  <c r="AD353" i="2"/>
  <c r="AE353" i="2" s="1"/>
  <c r="AF353" i="2" s="1"/>
  <c r="U350" i="2"/>
  <c r="V350" i="2" s="1"/>
  <c r="S350" i="2"/>
  <c r="AI612" i="3" l="1"/>
  <c r="W612" i="3"/>
  <c r="AP350" i="2"/>
  <c r="W350" i="2"/>
  <c r="L555" i="2"/>
  <c r="AK358" i="2"/>
  <c r="AJ358" i="2"/>
  <c r="AL358" i="2" s="1"/>
  <c r="AM358" i="2" s="1"/>
  <c r="AD612" i="3"/>
  <c r="AE612" i="3" s="1"/>
  <c r="AF612" i="3" s="1"/>
  <c r="AA612" i="3"/>
  <c r="R613" i="3"/>
  <c r="U613" i="3"/>
  <c r="V613" i="3" s="1"/>
  <c r="AB354" i="2"/>
  <c r="AD354" i="2"/>
  <c r="AE354" i="2" s="1"/>
  <c r="AF354" i="2" s="1"/>
  <c r="S351" i="2"/>
  <c r="U351" i="2"/>
  <c r="V351" i="2" s="1"/>
  <c r="G556" i="2"/>
  <c r="J556" i="2"/>
  <c r="K556" i="2" s="1"/>
  <c r="AI613" i="3" l="1"/>
  <c r="W613" i="3"/>
  <c r="AP351" i="2"/>
  <c r="W351" i="2"/>
  <c r="L556" i="2"/>
  <c r="AK359" i="2"/>
  <c r="AJ359" i="2"/>
  <c r="AL359" i="2" s="1"/>
  <c r="AM359" i="2" s="1"/>
  <c r="U614" i="3"/>
  <c r="V614" i="3" s="1"/>
  <c r="R614" i="3"/>
  <c r="AA613" i="3"/>
  <c r="AD613" i="3"/>
  <c r="AE613" i="3" s="1"/>
  <c r="AF613" i="3" s="1"/>
  <c r="S352" i="2"/>
  <c r="U352" i="2"/>
  <c r="V352" i="2" s="1"/>
  <c r="G557" i="2"/>
  <c r="J557" i="2"/>
  <c r="K557" i="2" s="1"/>
  <c r="AD355" i="2"/>
  <c r="AE355" i="2" s="1"/>
  <c r="AF355" i="2" s="1"/>
  <c r="AB355" i="2"/>
  <c r="AI614" i="3" l="1"/>
  <c r="W614" i="3"/>
  <c r="W352" i="2"/>
  <c r="AP352" i="2"/>
  <c r="L557" i="2"/>
  <c r="AK360" i="2"/>
  <c r="AJ360" i="2"/>
  <c r="AL360" i="2" s="1"/>
  <c r="AM360" i="2" s="1"/>
  <c r="AA614" i="3"/>
  <c r="AD614" i="3"/>
  <c r="AE614" i="3" s="1"/>
  <c r="AF614" i="3" s="1"/>
  <c r="R615" i="3"/>
  <c r="U615" i="3"/>
  <c r="V615" i="3" s="1"/>
  <c r="G558" i="2"/>
  <c r="J558" i="2"/>
  <c r="K558" i="2" s="1"/>
  <c r="AD356" i="2"/>
  <c r="AE356" i="2" s="1"/>
  <c r="AF356" i="2" s="1"/>
  <c r="AB356" i="2"/>
  <c r="U353" i="2"/>
  <c r="V353" i="2" s="1"/>
  <c r="S353" i="2"/>
  <c r="AI615" i="3" l="1"/>
  <c r="W615" i="3"/>
  <c r="AP353" i="2"/>
  <c r="W353" i="2"/>
  <c r="L558" i="2"/>
  <c r="AK361" i="2"/>
  <c r="AJ361" i="2"/>
  <c r="AL361" i="2" s="1"/>
  <c r="AM361" i="2" s="1"/>
  <c r="R616" i="3"/>
  <c r="U616" i="3"/>
  <c r="V616" i="3" s="1"/>
  <c r="AA615" i="3"/>
  <c r="AD615" i="3"/>
  <c r="AE615" i="3" s="1"/>
  <c r="AF615" i="3" s="1"/>
  <c r="AB357" i="2"/>
  <c r="AD357" i="2"/>
  <c r="AE357" i="2" s="1"/>
  <c r="AF357" i="2" s="1"/>
  <c r="U354" i="2"/>
  <c r="V354" i="2" s="1"/>
  <c r="S354" i="2"/>
  <c r="G559" i="2"/>
  <c r="J559" i="2"/>
  <c r="K559" i="2" s="1"/>
  <c r="AI616" i="3" l="1"/>
  <c r="W616" i="3"/>
  <c r="AP354" i="2"/>
  <c r="W354" i="2"/>
  <c r="L559" i="2"/>
  <c r="AK362" i="2"/>
  <c r="AJ362" i="2"/>
  <c r="AL362" i="2" s="1"/>
  <c r="AM362" i="2" s="1"/>
  <c r="AD616" i="3"/>
  <c r="AE616" i="3" s="1"/>
  <c r="AF616" i="3" s="1"/>
  <c r="AA616" i="3"/>
  <c r="R617" i="3"/>
  <c r="U617" i="3"/>
  <c r="V617" i="3" s="1"/>
  <c r="S355" i="2"/>
  <c r="U355" i="2"/>
  <c r="V355" i="2" s="1"/>
  <c r="G560" i="2"/>
  <c r="J560" i="2"/>
  <c r="K560" i="2" s="1"/>
  <c r="AB358" i="2"/>
  <c r="AD358" i="2"/>
  <c r="AE358" i="2" s="1"/>
  <c r="AF358" i="2" s="1"/>
  <c r="AI617" i="3" l="1"/>
  <c r="W617" i="3"/>
  <c r="AP355" i="2"/>
  <c r="W355" i="2"/>
  <c r="L560" i="2"/>
  <c r="AK363" i="2"/>
  <c r="AJ363" i="2"/>
  <c r="AL363" i="2" s="1"/>
  <c r="AM363" i="2" s="1"/>
  <c r="U618" i="3"/>
  <c r="V618" i="3" s="1"/>
  <c r="R618" i="3"/>
  <c r="AA617" i="3"/>
  <c r="AD617" i="3"/>
  <c r="AE617" i="3" s="1"/>
  <c r="AF617" i="3" s="1"/>
  <c r="G561" i="2"/>
  <c r="J561" i="2"/>
  <c r="K561" i="2" s="1"/>
  <c r="AD359" i="2"/>
  <c r="AE359" i="2" s="1"/>
  <c r="AF359" i="2" s="1"/>
  <c r="AB359" i="2"/>
  <c r="S356" i="2"/>
  <c r="U356" i="2"/>
  <c r="V356" i="2" s="1"/>
  <c r="AI618" i="3" l="1"/>
  <c r="W618" i="3"/>
  <c r="AP356" i="2"/>
  <c r="W356" i="2"/>
  <c r="L561" i="2"/>
  <c r="AK364" i="2"/>
  <c r="AJ364" i="2"/>
  <c r="AL364" i="2" s="1"/>
  <c r="AM364" i="2" s="1"/>
  <c r="AA618" i="3"/>
  <c r="AD618" i="3"/>
  <c r="AE618" i="3" s="1"/>
  <c r="AF618" i="3" s="1"/>
  <c r="R619" i="3"/>
  <c r="U619" i="3"/>
  <c r="V619" i="3" s="1"/>
  <c r="AD360" i="2"/>
  <c r="AE360" i="2" s="1"/>
  <c r="AF360" i="2" s="1"/>
  <c r="AB360" i="2"/>
  <c r="U357" i="2"/>
  <c r="V357" i="2" s="1"/>
  <c r="S357" i="2"/>
  <c r="G562" i="2"/>
  <c r="J562" i="2"/>
  <c r="K562" i="2" s="1"/>
  <c r="AI619" i="3" l="1"/>
  <c r="W619" i="3"/>
  <c r="AP357" i="2"/>
  <c r="W357" i="2"/>
  <c r="L562" i="2"/>
  <c r="AK365" i="2"/>
  <c r="AJ365" i="2"/>
  <c r="AL365" i="2" s="1"/>
  <c r="AM365" i="2" s="1"/>
  <c r="R620" i="3"/>
  <c r="U620" i="3"/>
  <c r="V620" i="3" s="1"/>
  <c r="AA619" i="3"/>
  <c r="AD619" i="3"/>
  <c r="AE619" i="3" s="1"/>
  <c r="AF619" i="3" s="1"/>
  <c r="J563" i="2"/>
  <c r="K563" i="2" s="1"/>
  <c r="G563" i="2"/>
  <c r="U358" i="2"/>
  <c r="V358" i="2" s="1"/>
  <c r="S358" i="2"/>
  <c r="AB361" i="2"/>
  <c r="AD361" i="2"/>
  <c r="AE361" i="2" s="1"/>
  <c r="AF361" i="2" s="1"/>
  <c r="AI620" i="3" l="1"/>
  <c r="W620" i="3"/>
  <c r="AP358" i="2"/>
  <c r="W358" i="2"/>
  <c r="L563" i="2"/>
  <c r="AK366" i="2"/>
  <c r="AJ366" i="2"/>
  <c r="AL366" i="2" s="1"/>
  <c r="AM366" i="2" s="1"/>
  <c r="AD620" i="3"/>
  <c r="AE620" i="3" s="1"/>
  <c r="AF620" i="3" s="1"/>
  <c r="AA620" i="3"/>
  <c r="R621" i="3"/>
  <c r="U621" i="3"/>
  <c r="V621" i="3" s="1"/>
  <c r="S359" i="2"/>
  <c r="U359" i="2"/>
  <c r="V359" i="2" s="1"/>
  <c r="J564" i="2"/>
  <c r="K564" i="2" s="1"/>
  <c r="G564" i="2"/>
  <c r="AB362" i="2"/>
  <c r="AD362" i="2"/>
  <c r="AE362" i="2" s="1"/>
  <c r="AF362" i="2" s="1"/>
  <c r="AI621" i="3" l="1"/>
  <c r="W621" i="3"/>
  <c r="AP359" i="2"/>
  <c r="W359" i="2"/>
  <c r="L564" i="2"/>
  <c r="AK367" i="2"/>
  <c r="AJ367" i="2"/>
  <c r="AL367" i="2" s="1"/>
  <c r="AM367" i="2" s="1"/>
  <c r="U622" i="3"/>
  <c r="V622" i="3" s="1"/>
  <c r="R622" i="3"/>
  <c r="AA621" i="3"/>
  <c r="AD621" i="3"/>
  <c r="AE621" i="3" s="1"/>
  <c r="AF621" i="3" s="1"/>
  <c r="J565" i="2"/>
  <c r="K565" i="2" s="1"/>
  <c r="G565" i="2"/>
  <c r="AD363" i="2"/>
  <c r="AE363" i="2" s="1"/>
  <c r="AF363" i="2" s="1"/>
  <c r="AB363" i="2"/>
  <c r="S360" i="2"/>
  <c r="U360" i="2"/>
  <c r="V360" i="2" s="1"/>
  <c r="AI622" i="3" l="1"/>
  <c r="W622" i="3"/>
  <c r="AP360" i="2"/>
  <c r="W360" i="2"/>
  <c r="L565" i="2"/>
  <c r="AK368" i="2"/>
  <c r="AJ368" i="2"/>
  <c r="AL368" i="2" s="1"/>
  <c r="AM368" i="2" s="1"/>
  <c r="AA622" i="3"/>
  <c r="AD622" i="3"/>
  <c r="AE622" i="3" s="1"/>
  <c r="AF622" i="3" s="1"/>
  <c r="R623" i="3"/>
  <c r="U623" i="3"/>
  <c r="V623" i="3" s="1"/>
  <c r="J566" i="2"/>
  <c r="K566" i="2" s="1"/>
  <c r="G566" i="2"/>
  <c r="AD364" i="2"/>
  <c r="AE364" i="2" s="1"/>
  <c r="AF364" i="2" s="1"/>
  <c r="AB364" i="2"/>
  <c r="U361" i="2"/>
  <c r="V361" i="2" s="1"/>
  <c r="S361" i="2"/>
  <c r="AI623" i="3" l="1"/>
  <c r="W623" i="3"/>
  <c r="AP361" i="2"/>
  <c r="W361" i="2"/>
  <c r="L566" i="2"/>
  <c r="AK369" i="2"/>
  <c r="AJ369" i="2"/>
  <c r="AL369" i="2" s="1"/>
  <c r="AM369" i="2" s="1"/>
  <c r="R624" i="3"/>
  <c r="U624" i="3"/>
  <c r="V624" i="3" s="1"/>
  <c r="AA623" i="3"/>
  <c r="AD623" i="3"/>
  <c r="AE623" i="3" s="1"/>
  <c r="AF623" i="3" s="1"/>
  <c r="AB365" i="2"/>
  <c r="AD365" i="2"/>
  <c r="AE365" i="2" s="1"/>
  <c r="AF365" i="2" s="1"/>
  <c r="U362" i="2"/>
  <c r="V362" i="2" s="1"/>
  <c r="S362" i="2"/>
  <c r="J567" i="2"/>
  <c r="K567" i="2" s="1"/>
  <c r="G567" i="2"/>
  <c r="AI624" i="3" l="1"/>
  <c r="W624" i="3"/>
  <c r="W362" i="2"/>
  <c r="AP362" i="2"/>
  <c r="L567" i="2"/>
  <c r="AK370" i="2"/>
  <c r="AJ370" i="2"/>
  <c r="AL370" i="2" s="1"/>
  <c r="AM370" i="2" s="1"/>
  <c r="R625" i="3"/>
  <c r="U625" i="3"/>
  <c r="V625" i="3" s="1"/>
  <c r="AD624" i="3"/>
  <c r="AE624" i="3" s="1"/>
  <c r="AF624" i="3" s="1"/>
  <c r="AA624" i="3"/>
  <c r="J568" i="2"/>
  <c r="K568" i="2" s="1"/>
  <c r="G568" i="2"/>
  <c r="S363" i="2"/>
  <c r="U363" i="2"/>
  <c r="V363" i="2" s="1"/>
  <c r="AB366" i="2"/>
  <c r="AD366" i="2"/>
  <c r="AE366" i="2" s="1"/>
  <c r="AF366" i="2" s="1"/>
  <c r="AI625" i="3" l="1"/>
  <c r="W625" i="3"/>
  <c r="AP363" i="2"/>
  <c r="W363" i="2"/>
  <c r="L568" i="2"/>
  <c r="AK371" i="2"/>
  <c r="AJ371" i="2"/>
  <c r="AL371" i="2" s="1"/>
  <c r="AM371" i="2" s="1"/>
  <c r="U626" i="3"/>
  <c r="V626" i="3" s="1"/>
  <c r="R626" i="3"/>
  <c r="AA625" i="3"/>
  <c r="AD625" i="3"/>
  <c r="AE625" i="3" s="1"/>
  <c r="AF625" i="3" s="1"/>
  <c r="S364" i="2"/>
  <c r="U364" i="2"/>
  <c r="V364" i="2" s="1"/>
  <c r="J569" i="2"/>
  <c r="K569" i="2" s="1"/>
  <c r="G569" i="2"/>
  <c r="AD367" i="2"/>
  <c r="AE367" i="2" s="1"/>
  <c r="AF367" i="2" s="1"/>
  <c r="AB367" i="2"/>
  <c r="AI626" i="3" l="1"/>
  <c r="W626" i="3"/>
  <c r="W364" i="2"/>
  <c r="AP364" i="2"/>
  <c r="L569" i="2"/>
  <c r="AK372" i="2"/>
  <c r="AJ372" i="2"/>
  <c r="AL372" i="2" s="1"/>
  <c r="AM372" i="2" s="1"/>
  <c r="AA626" i="3"/>
  <c r="AD626" i="3"/>
  <c r="AE626" i="3" s="1"/>
  <c r="AF626" i="3" s="1"/>
  <c r="R627" i="3"/>
  <c r="U627" i="3"/>
  <c r="V627" i="3" s="1"/>
  <c r="J570" i="2"/>
  <c r="K570" i="2" s="1"/>
  <c r="G570" i="2"/>
  <c r="AD368" i="2"/>
  <c r="AE368" i="2" s="1"/>
  <c r="AF368" i="2" s="1"/>
  <c r="AB368" i="2"/>
  <c r="U365" i="2"/>
  <c r="V365" i="2" s="1"/>
  <c r="S365" i="2"/>
  <c r="AI627" i="3" l="1"/>
  <c r="W627" i="3"/>
  <c r="W365" i="2"/>
  <c r="AP365" i="2"/>
  <c r="L570" i="2"/>
  <c r="AK373" i="2"/>
  <c r="AJ373" i="2"/>
  <c r="AL373" i="2" s="1"/>
  <c r="AM373" i="2" s="1"/>
  <c r="R628" i="3"/>
  <c r="U628" i="3"/>
  <c r="V628" i="3" s="1"/>
  <c r="AA627" i="3"/>
  <c r="AD627" i="3"/>
  <c r="AE627" i="3" s="1"/>
  <c r="AF627" i="3" s="1"/>
  <c r="AB369" i="2"/>
  <c r="AD369" i="2"/>
  <c r="AE369" i="2" s="1"/>
  <c r="AF369" i="2" s="1"/>
  <c r="U366" i="2"/>
  <c r="V366" i="2" s="1"/>
  <c r="S366" i="2"/>
  <c r="J571" i="2"/>
  <c r="K571" i="2" s="1"/>
  <c r="G571" i="2"/>
  <c r="AI628" i="3" l="1"/>
  <c r="W628" i="3"/>
  <c r="AP366" i="2"/>
  <c r="W366" i="2"/>
  <c r="L571" i="2"/>
  <c r="AK374" i="2"/>
  <c r="AJ374" i="2"/>
  <c r="AL374" i="2" s="1"/>
  <c r="AM374" i="2" s="1"/>
  <c r="AD628" i="3"/>
  <c r="AE628" i="3" s="1"/>
  <c r="AF628" i="3" s="1"/>
  <c r="AA628" i="3"/>
  <c r="R629" i="3"/>
  <c r="U629" i="3"/>
  <c r="V629" i="3" s="1"/>
  <c r="G572" i="2"/>
  <c r="J572" i="2"/>
  <c r="K572" i="2" s="1"/>
  <c r="S367" i="2"/>
  <c r="U367" i="2"/>
  <c r="V367" i="2" s="1"/>
  <c r="AB370" i="2"/>
  <c r="AD370" i="2"/>
  <c r="AE370" i="2" s="1"/>
  <c r="AF370" i="2" s="1"/>
  <c r="AI629" i="3" l="1"/>
  <c r="W629" i="3"/>
  <c r="AP367" i="2"/>
  <c r="W367" i="2"/>
  <c r="L572" i="2"/>
  <c r="AK375" i="2"/>
  <c r="AJ375" i="2"/>
  <c r="AL375" i="2" s="1"/>
  <c r="AM375" i="2" s="1"/>
  <c r="U630" i="3"/>
  <c r="V630" i="3" s="1"/>
  <c r="R630" i="3"/>
  <c r="AA629" i="3"/>
  <c r="AD629" i="3"/>
  <c r="AE629" i="3" s="1"/>
  <c r="AF629" i="3" s="1"/>
  <c r="S368" i="2"/>
  <c r="U368" i="2"/>
  <c r="V368" i="2" s="1"/>
  <c r="AD371" i="2"/>
  <c r="AE371" i="2" s="1"/>
  <c r="AF371" i="2" s="1"/>
  <c r="AB371" i="2"/>
  <c r="G573" i="2"/>
  <c r="J573" i="2"/>
  <c r="K573" i="2" s="1"/>
  <c r="AI630" i="3" l="1"/>
  <c r="W630" i="3"/>
  <c r="AP368" i="2"/>
  <c r="W368" i="2"/>
  <c r="L573" i="2"/>
  <c r="AK376" i="2"/>
  <c r="AJ376" i="2"/>
  <c r="AL376" i="2" s="1"/>
  <c r="AM376" i="2" s="1"/>
  <c r="AA630" i="3"/>
  <c r="AD630" i="3"/>
  <c r="AE630" i="3" s="1"/>
  <c r="AF630" i="3" s="1"/>
  <c r="R631" i="3"/>
  <c r="U631" i="3"/>
  <c r="V631" i="3" s="1"/>
  <c r="AD372" i="2"/>
  <c r="AE372" i="2" s="1"/>
  <c r="AF372" i="2" s="1"/>
  <c r="AB372" i="2"/>
  <c r="G574" i="2"/>
  <c r="J574" i="2"/>
  <c r="K574" i="2" s="1"/>
  <c r="U369" i="2"/>
  <c r="V369" i="2" s="1"/>
  <c r="S369" i="2"/>
  <c r="AI631" i="3" l="1"/>
  <c r="W631" i="3"/>
  <c r="AP369" i="2"/>
  <c r="W369" i="2"/>
  <c r="L574" i="2"/>
  <c r="AK377" i="2"/>
  <c r="AJ377" i="2"/>
  <c r="AL377" i="2" s="1"/>
  <c r="AM377" i="2" s="1"/>
  <c r="AA631" i="3"/>
  <c r="AD631" i="3"/>
  <c r="AE631" i="3" s="1"/>
  <c r="AF631" i="3" s="1"/>
  <c r="R632" i="3"/>
  <c r="U632" i="3"/>
  <c r="V632" i="3" s="1"/>
  <c r="G575" i="2"/>
  <c r="J575" i="2"/>
  <c r="K575" i="2" s="1"/>
  <c r="U370" i="2"/>
  <c r="V370" i="2" s="1"/>
  <c r="S370" i="2"/>
  <c r="AB373" i="2"/>
  <c r="AD373" i="2"/>
  <c r="AE373" i="2" s="1"/>
  <c r="AF373" i="2" s="1"/>
  <c r="AI632" i="3" l="1"/>
  <c r="W632" i="3"/>
  <c r="AP370" i="2"/>
  <c r="W370" i="2"/>
  <c r="L575" i="2"/>
  <c r="AK378" i="2"/>
  <c r="AJ378" i="2"/>
  <c r="AL378" i="2" s="1"/>
  <c r="AM378" i="2" s="1"/>
  <c r="AD632" i="3"/>
  <c r="AE632" i="3" s="1"/>
  <c r="AF632" i="3" s="1"/>
  <c r="AA632" i="3"/>
  <c r="R633" i="3"/>
  <c r="U633" i="3"/>
  <c r="V633" i="3" s="1"/>
  <c r="S371" i="2"/>
  <c r="U371" i="2"/>
  <c r="V371" i="2" s="1"/>
  <c r="AB374" i="2"/>
  <c r="AD374" i="2"/>
  <c r="AE374" i="2" s="1"/>
  <c r="AF374" i="2" s="1"/>
  <c r="G576" i="2"/>
  <c r="J576" i="2"/>
  <c r="K576" i="2" s="1"/>
  <c r="AI633" i="3" l="1"/>
  <c r="W633" i="3"/>
  <c r="AP371" i="2"/>
  <c r="W371" i="2"/>
  <c r="L576" i="2"/>
  <c r="AK379" i="2"/>
  <c r="AJ379" i="2"/>
  <c r="AL379" i="2" s="1"/>
  <c r="AM379" i="2" s="1"/>
  <c r="U634" i="3"/>
  <c r="V634" i="3" s="1"/>
  <c r="R634" i="3"/>
  <c r="AA633" i="3"/>
  <c r="AD633" i="3"/>
  <c r="AE633" i="3" s="1"/>
  <c r="AF633" i="3" s="1"/>
  <c r="AD375" i="2"/>
  <c r="AE375" i="2" s="1"/>
  <c r="AF375" i="2" s="1"/>
  <c r="AB375" i="2"/>
  <c r="G577" i="2"/>
  <c r="J577" i="2"/>
  <c r="K577" i="2" s="1"/>
  <c r="S372" i="2"/>
  <c r="U372" i="2"/>
  <c r="V372" i="2" s="1"/>
  <c r="AI634" i="3" l="1"/>
  <c r="W634" i="3"/>
  <c r="AP372" i="2"/>
  <c r="W372" i="2"/>
  <c r="L577" i="2"/>
  <c r="AK380" i="2"/>
  <c r="AJ380" i="2"/>
  <c r="AL380" i="2" s="1"/>
  <c r="AM380" i="2" s="1"/>
  <c r="AA634" i="3"/>
  <c r="AD634" i="3"/>
  <c r="AE634" i="3" s="1"/>
  <c r="AF634" i="3" s="1"/>
  <c r="R635" i="3"/>
  <c r="U635" i="3"/>
  <c r="V635" i="3" s="1"/>
  <c r="G578" i="2"/>
  <c r="J578" i="2"/>
  <c r="K578" i="2" s="1"/>
  <c r="AD376" i="2"/>
  <c r="AE376" i="2" s="1"/>
  <c r="AF376" i="2" s="1"/>
  <c r="AB376" i="2"/>
  <c r="U373" i="2"/>
  <c r="V373" i="2" s="1"/>
  <c r="S373" i="2"/>
  <c r="AI635" i="3" l="1"/>
  <c r="W635" i="3"/>
  <c r="AP373" i="2"/>
  <c r="W373" i="2"/>
  <c r="L578" i="2"/>
  <c r="AK381" i="2"/>
  <c r="AJ381" i="2"/>
  <c r="AL381" i="2" s="1"/>
  <c r="AM381" i="2" s="1"/>
  <c r="R636" i="3"/>
  <c r="U636" i="3"/>
  <c r="V636" i="3" s="1"/>
  <c r="AA635" i="3"/>
  <c r="AD635" i="3"/>
  <c r="AE635" i="3" s="1"/>
  <c r="AF635" i="3" s="1"/>
  <c r="AB377" i="2"/>
  <c r="AD377" i="2"/>
  <c r="AE377" i="2" s="1"/>
  <c r="AF377" i="2" s="1"/>
  <c r="U374" i="2"/>
  <c r="V374" i="2" s="1"/>
  <c r="S374" i="2"/>
  <c r="G579" i="2"/>
  <c r="J579" i="2"/>
  <c r="K579" i="2" s="1"/>
  <c r="AI636" i="3" l="1"/>
  <c r="W636" i="3"/>
  <c r="AP374" i="2"/>
  <c r="W374" i="2"/>
  <c r="L579" i="2"/>
  <c r="AK382" i="2"/>
  <c r="AJ382" i="2"/>
  <c r="AL382" i="2" s="1"/>
  <c r="AM382" i="2" s="1"/>
  <c r="R637" i="3"/>
  <c r="U637" i="3"/>
  <c r="V637" i="3" s="1"/>
  <c r="AD636" i="3"/>
  <c r="AE636" i="3" s="1"/>
  <c r="AF636" i="3" s="1"/>
  <c r="AA636" i="3"/>
  <c r="S375" i="2"/>
  <c r="U375" i="2"/>
  <c r="V375" i="2" s="1"/>
  <c r="G580" i="2"/>
  <c r="J580" i="2"/>
  <c r="K580" i="2" s="1"/>
  <c r="AB378" i="2"/>
  <c r="AD378" i="2"/>
  <c r="AE378" i="2" s="1"/>
  <c r="AF378" i="2" s="1"/>
  <c r="AI637" i="3" l="1"/>
  <c r="W637" i="3"/>
  <c r="AP375" i="2"/>
  <c r="W375" i="2"/>
  <c r="L580" i="2"/>
  <c r="AK383" i="2"/>
  <c r="AJ383" i="2"/>
  <c r="AL383" i="2" s="1"/>
  <c r="AM383" i="2" s="1"/>
  <c r="U638" i="3"/>
  <c r="V638" i="3" s="1"/>
  <c r="R638" i="3"/>
  <c r="AA637" i="3"/>
  <c r="AD637" i="3"/>
  <c r="AE637" i="3" s="1"/>
  <c r="AF637" i="3" s="1"/>
  <c r="G581" i="2"/>
  <c r="J581" i="2"/>
  <c r="K581" i="2" s="1"/>
  <c r="AD379" i="2"/>
  <c r="AE379" i="2" s="1"/>
  <c r="AF379" i="2" s="1"/>
  <c r="AB379" i="2"/>
  <c r="S376" i="2"/>
  <c r="U376" i="2"/>
  <c r="V376" i="2" s="1"/>
  <c r="AI638" i="3" l="1"/>
  <c r="W638" i="3"/>
  <c r="AP376" i="2"/>
  <c r="W376" i="2"/>
  <c r="L581" i="2"/>
  <c r="AK384" i="2"/>
  <c r="AJ384" i="2"/>
  <c r="AL384" i="2" s="1"/>
  <c r="AM384" i="2" s="1"/>
  <c r="AA638" i="3"/>
  <c r="AD638" i="3"/>
  <c r="AE638" i="3" s="1"/>
  <c r="AF638" i="3" s="1"/>
  <c r="R639" i="3"/>
  <c r="U639" i="3"/>
  <c r="V639" i="3" s="1"/>
  <c r="AD380" i="2"/>
  <c r="AE380" i="2" s="1"/>
  <c r="AF380" i="2" s="1"/>
  <c r="AB380" i="2"/>
  <c r="U377" i="2"/>
  <c r="V377" i="2" s="1"/>
  <c r="S377" i="2"/>
  <c r="G582" i="2"/>
  <c r="J582" i="2"/>
  <c r="K582" i="2" s="1"/>
  <c r="AI639" i="3" l="1"/>
  <c r="W639" i="3"/>
  <c r="AP377" i="2"/>
  <c r="W377" i="2"/>
  <c r="L582" i="2"/>
  <c r="AK385" i="2"/>
  <c r="AJ385" i="2"/>
  <c r="AL385" i="2" s="1"/>
  <c r="AM385" i="2" s="1"/>
  <c r="AA639" i="3"/>
  <c r="AD639" i="3"/>
  <c r="AE639" i="3" s="1"/>
  <c r="AF639" i="3" s="1"/>
  <c r="R640" i="3"/>
  <c r="U640" i="3"/>
  <c r="V640" i="3" s="1"/>
  <c r="G583" i="2"/>
  <c r="J583" i="2"/>
  <c r="K583" i="2" s="1"/>
  <c r="U378" i="2"/>
  <c r="V378" i="2" s="1"/>
  <c r="S378" i="2"/>
  <c r="AB381" i="2"/>
  <c r="AD381" i="2"/>
  <c r="AE381" i="2" s="1"/>
  <c r="AF381" i="2" s="1"/>
  <c r="AI640" i="3" l="1"/>
  <c r="W640" i="3"/>
  <c r="W378" i="2"/>
  <c r="AP378" i="2"/>
  <c r="L583" i="2"/>
  <c r="AK386" i="2"/>
  <c r="AJ386" i="2"/>
  <c r="AL386" i="2" s="1"/>
  <c r="AM386" i="2" s="1"/>
  <c r="R641" i="3"/>
  <c r="U641" i="3"/>
  <c r="V641" i="3" s="1"/>
  <c r="AD640" i="3"/>
  <c r="AE640" i="3" s="1"/>
  <c r="AF640" i="3" s="1"/>
  <c r="AA640" i="3"/>
  <c r="S379" i="2"/>
  <c r="U379" i="2"/>
  <c r="V379" i="2" s="1"/>
  <c r="AB382" i="2"/>
  <c r="AD382" i="2"/>
  <c r="AE382" i="2" s="1"/>
  <c r="AF382" i="2" s="1"/>
  <c r="G584" i="2"/>
  <c r="J584" i="2"/>
  <c r="K584" i="2" s="1"/>
  <c r="AI641" i="3" l="1"/>
  <c r="W641" i="3"/>
  <c r="AP379" i="2"/>
  <c r="W379" i="2"/>
  <c r="L584" i="2"/>
  <c r="AK387" i="2"/>
  <c r="AJ387" i="2"/>
  <c r="AL387" i="2" s="1"/>
  <c r="AM387" i="2" s="1"/>
  <c r="AA641" i="3"/>
  <c r="AD641" i="3"/>
  <c r="AE641" i="3" s="1"/>
  <c r="AF641" i="3" s="1"/>
  <c r="U642" i="3"/>
  <c r="V642" i="3" s="1"/>
  <c r="R642" i="3"/>
  <c r="AD383" i="2"/>
  <c r="AE383" i="2" s="1"/>
  <c r="AF383" i="2" s="1"/>
  <c r="AB383" i="2"/>
  <c r="G585" i="2"/>
  <c r="J585" i="2"/>
  <c r="K585" i="2" s="1"/>
  <c r="S380" i="2"/>
  <c r="U380" i="2"/>
  <c r="V380" i="2" s="1"/>
  <c r="AI642" i="3" l="1"/>
  <c r="W642" i="3"/>
  <c r="W380" i="2"/>
  <c r="AP380" i="2"/>
  <c r="L585" i="2"/>
  <c r="AK388" i="2"/>
  <c r="AJ388" i="2"/>
  <c r="AL388" i="2" s="1"/>
  <c r="AM388" i="2" s="1"/>
  <c r="AA642" i="3"/>
  <c r="AD642" i="3"/>
  <c r="AE642" i="3" s="1"/>
  <c r="AF642" i="3" s="1"/>
  <c r="R643" i="3"/>
  <c r="U643" i="3"/>
  <c r="V643" i="3" s="1"/>
  <c r="G586" i="2"/>
  <c r="J586" i="2"/>
  <c r="K586" i="2" s="1"/>
  <c r="U381" i="2"/>
  <c r="V381" i="2" s="1"/>
  <c r="S381" i="2"/>
  <c r="AB384" i="2"/>
  <c r="AD384" i="2"/>
  <c r="AE384" i="2" s="1"/>
  <c r="AF384" i="2" s="1"/>
  <c r="AI643" i="3" l="1"/>
  <c r="W643" i="3"/>
  <c r="W381" i="2"/>
  <c r="AP381" i="2"/>
  <c r="L586" i="2"/>
  <c r="AK389" i="2"/>
  <c r="AJ389" i="2"/>
  <c r="AL389" i="2" s="1"/>
  <c r="AM389" i="2" s="1"/>
  <c r="R644" i="3"/>
  <c r="U644" i="3"/>
  <c r="V644" i="3" s="1"/>
  <c r="AA643" i="3"/>
  <c r="AD643" i="3"/>
  <c r="AE643" i="3" s="1"/>
  <c r="AF643" i="3" s="1"/>
  <c r="U382" i="2"/>
  <c r="V382" i="2" s="1"/>
  <c r="S382" i="2"/>
  <c r="AB385" i="2"/>
  <c r="AD385" i="2"/>
  <c r="AE385" i="2" s="1"/>
  <c r="AF385" i="2" s="1"/>
  <c r="G587" i="2"/>
  <c r="J587" i="2"/>
  <c r="K587" i="2" s="1"/>
  <c r="AI644" i="3" l="1"/>
  <c r="W644" i="3"/>
  <c r="AP382" i="2"/>
  <c r="W382" i="2"/>
  <c r="L587" i="2"/>
  <c r="AK390" i="2"/>
  <c r="AJ390" i="2"/>
  <c r="AL390" i="2" s="1"/>
  <c r="AM390" i="2" s="1"/>
  <c r="AD644" i="3"/>
  <c r="AE644" i="3" s="1"/>
  <c r="AF644" i="3" s="1"/>
  <c r="AA644" i="3"/>
  <c r="R645" i="3"/>
  <c r="U645" i="3"/>
  <c r="V645" i="3" s="1"/>
  <c r="S383" i="2"/>
  <c r="U383" i="2"/>
  <c r="V383" i="2" s="1"/>
  <c r="AD386" i="2"/>
  <c r="AE386" i="2" s="1"/>
  <c r="AF386" i="2" s="1"/>
  <c r="AB386" i="2"/>
  <c r="G588" i="2"/>
  <c r="J588" i="2"/>
  <c r="K588" i="2" s="1"/>
  <c r="AI645" i="3" l="1"/>
  <c r="W645" i="3"/>
  <c r="AP383" i="2"/>
  <c r="W383" i="2"/>
  <c r="L588" i="2"/>
  <c r="AK391" i="2"/>
  <c r="AJ391" i="2"/>
  <c r="AL391" i="2" s="1"/>
  <c r="AM391" i="2" s="1"/>
  <c r="U646" i="3"/>
  <c r="V646" i="3" s="1"/>
  <c r="R646" i="3"/>
  <c r="AA645" i="3"/>
  <c r="AD645" i="3"/>
  <c r="AE645" i="3" s="1"/>
  <c r="AF645" i="3" s="1"/>
  <c r="AD387" i="2"/>
  <c r="AE387" i="2" s="1"/>
  <c r="AF387" i="2" s="1"/>
  <c r="AB387" i="2"/>
  <c r="G589" i="2"/>
  <c r="J589" i="2"/>
  <c r="K589" i="2" s="1"/>
  <c r="U384" i="2"/>
  <c r="V384" i="2" s="1"/>
  <c r="S384" i="2"/>
  <c r="AI646" i="3" l="1"/>
  <c r="W646" i="3"/>
  <c r="AP384" i="2"/>
  <c r="W384" i="2"/>
  <c r="L589" i="2"/>
  <c r="AK392" i="2"/>
  <c r="AJ392" i="2"/>
  <c r="AL392" i="2" s="1"/>
  <c r="AM392" i="2" s="1"/>
  <c r="AA646" i="3"/>
  <c r="AD646" i="3"/>
  <c r="AE646" i="3" s="1"/>
  <c r="AF646" i="3" s="1"/>
  <c r="R647" i="3"/>
  <c r="U647" i="3"/>
  <c r="V647" i="3" s="1"/>
  <c r="G590" i="2"/>
  <c r="J590" i="2"/>
  <c r="K590" i="2" s="1"/>
  <c r="U385" i="2"/>
  <c r="V385" i="2" s="1"/>
  <c r="S385" i="2"/>
  <c r="AB388" i="2"/>
  <c r="AD388" i="2"/>
  <c r="AE388" i="2" s="1"/>
  <c r="AF388" i="2" s="1"/>
  <c r="AI647" i="3" l="1"/>
  <c r="W647" i="3"/>
  <c r="AP385" i="2"/>
  <c r="W385" i="2"/>
  <c r="L590" i="2"/>
  <c r="AK393" i="2"/>
  <c r="AJ393" i="2"/>
  <c r="AL393" i="2" s="1"/>
  <c r="AM393" i="2" s="1"/>
  <c r="R648" i="3"/>
  <c r="U648" i="3"/>
  <c r="V648" i="3" s="1"/>
  <c r="AA647" i="3"/>
  <c r="AD647" i="3"/>
  <c r="AE647" i="3" s="1"/>
  <c r="AF647" i="3" s="1"/>
  <c r="S386" i="2"/>
  <c r="U386" i="2"/>
  <c r="V386" i="2" s="1"/>
  <c r="AB389" i="2"/>
  <c r="AD389" i="2"/>
  <c r="AE389" i="2" s="1"/>
  <c r="AF389" i="2" s="1"/>
  <c r="G591" i="2"/>
  <c r="J591" i="2"/>
  <c r="K591" i="2" s="1"/>
  <c r="AI648" i="3" l="1"/>
  <c r="W648" i="3"/>
  <c r="AP386" i="2"/>
  <c r="W386" i="2"/>
  <c r="L591" i="2"/>
  <c r="AK394" i="2"/>
  <c r="AJ394" i="2"/>
  <c r="AL394" i="2" s="1"/>
  <c r="AM394" i="2" s="1"/>
  <c r="AD648" i="3"/>
  <c r="AE648" i="3" s="1"/>
  <c r="AF648" i="3" s="1"/>
  <c r="AA648" i="3"/>
  <c r="R649" i="3"/>
  <c r="U649" i="3"/>
  <c r="V649" i="3" s="1"/>
  <c r="AD390" i="2"/>
  <c r="AE390" i="2" s="1"/>
  <c r="AF390" i="2" s="1"/>
  <c r="AB390" i="2"/>
  <c r="G592" i="2"/>
  <c r="J592" i="2"/>
  <c r="K592" i="2" s="1"/>
  <c r="S387" i="2"/>
  <c r="U387" i="2"/>
  <c r="V387" i="2" s="1"/>
  <c r="AI649" i="3" l="1"/>
  <c r="W649" i="3"/>
  <c r="AP387" i="2"/>
  <c r="W387" i="2"/>
  <c r="L592" i="2"/>
  <c r="AK395" i="2"/>
  <c r="AJ395" i="2"/>
  <c r="AL395" i="2" s="1"/>
  <c r="AM395" i="2" s="1"/>
  <c r="U650" i="3"/>
  <c r="V650" i="3" s="1"/>
  <c r="R650" i="3"/>
  <c r="AA649" i="3"/>
  <c r="AD649" i="3"/>
  <c r="AE649" i="3" s="1"/>
  <c r="AF649" i="3" s="1"/>
  <c r="G593" i="2"/>
  <c r="J593" i="2"/>
  <c r="K593" i="2" s="1"/>
  <c r="AD391" i="2"/>
  <c r="AE391" i="2" s="1"/>
  <c r="AF391" i="2" s="1"/>
  <c r="AB391" i="2"/>
  <c r="U388" i="2"/>
  <c r="V388" i="2" s="1"/>
  <c r="S388" i="2"/>
  <c r="AI650" i="3" l="1"/>
  <c r="W650" i="3"/>
  <c r="AP388" i="2"/>
  <c r="W388" i="2"/>
  <c r="L593" i="2"/>
  <c r="AK396" i="2"/>
  <c r="AJ396" i="2"/>
  <c r="AL396" i="2" s="1"/>
  <c r="AM396" i="2" s="1"/>
  <c r="AA650" i="3"/>
  <c r="AD650" i="3"/>
  <c r="AE650" i="3" s="1"/>
  <c r="AF650" i="3" s="1"/>
  <c r="R651" i="3"/>
  <c r="U651" i="3"/>
  <c r="V651" i="3" s="1"/>
  <c r="U389" i="2"/>
  <c r="V389" i="2" s="1"/>
  <c r="S389" i="2"/>
  <c r="AB392" i="2"/>
  <c r="AD392" i="2"/>
  <c r="AE392" i="2" s="1"/>
  <c r="AF392" i="2" s="1"/>
  <c r="G594" i="2"/>
  <c r="J594" i="2"/>
  <c r="K594" i="2" s="1"/>
  <c r="AI651" i="3" l="1"/>
  <c r="W651" i="3"/>
  <c r="AP389" i="2"/>
  <c r="W389" i="2"/>
  <c r="L594" i="2"/>
  <c r="AK397" i="2"/>
  <c r="AJ397" i="2"/>
  <c r="AL397" i="2" s="1"/>
  <c r="AM397" i="2" s="1"/>
  <c r="R652" i="3"/>
  <c r="U652" i="3"/>
  <c r="V652" i="3" s="1"/>
  <c r="AA651" i="3"/>
  <c r="AD651" i="3"/>
  <c r="AE651" i="3" s="1"/>
  <c r="AF651" i="3" s="1"/>
  <c r="AB393" i="2"/>
  <c r="AD393" i="2"/>
  <c r="AE393" i="2" s="1"/>
  <c r="AF393" i="2" s="1"/>
  <c r="S390" i="2"/>
  <c r="U390" i="2"/>
  <c r="V390" i="2" s="1"/>
  <c r="G595" i="2"/>
  <c r="J595" i="2"/>
  <c r="K595" i="2" s="1"/>
  <c r="AI652" i="3" l="1"/>
  <c r="W652" i="3"/>
  <c r="AP390" i="2"/>
  <c r="W390" i="2"/>
  <c r="L595" i="2"/>
  <c r="AK398" i="2"/>
  <c r="AJ398" i="2"/>
  <c r="AL398" i="2" s="1"/>
  <c r="AM398" i="2" s="1"/>
  <c r="AD652" i="3"/>
  <c r="AE652" i="3" s="1"/>
  <c r="AF652" i="3" s="1"/>
  <c r="AA652" i="3"/>
  <c r="R653" i="3"/>
  <c r="U653" i="3"/>
  <c r="V653" i="3" s="1"/>
  <c r="S391" i="2"/>
  <c r="U391" i="2"/>
  <c r="V391" i="2" s="1"/>
  <c r="G596" i="2"/>
  <c r="J596" i="2"/>
  <c r="K596" i="2" s="1"/>
  <c r="AD394" i="2"/>
  <c r="AE394" i="2" s="1"/>
  <c r="AF394" i="2" s="1"/>
  <c r="AB394" i="2"/>
  <c r="AI653" i="3" l="1"/>
  <c r="W653" i="3"/>
  <c r="AP391" i="2"/>
  <c r="W391" i="2"/>
  <c r="L596" i="2"/>
  <c r="AK399" i="2"/>
  <c r="AJ399" i="2"/>
  <c r="AL399" i="2" s="1"/>
  <c r="AM399" i="2" s="1"/>
  <c r="U654" i="3"/>
  <c r="V654" i="3" s="1"/>
  <c r="R654" i="3"/>
  <c r="AA653" i="3"/>
  <c r="AD653" i="3"/>
  <c r="AE653" i="3" s="1"/>
  <c r="AF653" i="3" s="1"/>
  <c r="G597" i="2"/>
  <c r="J597" i="2"/>
  <c r="K597" i="2" s="1"/>
  <c r="AD395" i="2"/>
  <c r="AE395" i="2" s="1"/>
  <c r="AF395" i="2" s="1"/>
  <c r="AB395" i="2"/>
  <c r="U392" i="2"/>
  <c r="V392" i="2" s="1"/>
  <c r="S392" i="2"/>
  <c r="AI654" i="3" l="1"/>
  <c r="W654" i="3"/>
  <c r="AP392" i="2"/>
  <c r="W392" i="2"/>
  <c r="L597" i="2"/>
  <c r="AK400" i="2"/>
  <c r="AJ400" i="2"/>
  <c r="AL400" i="2" s="1"/>
  <c r="AM400" i="2" s="1"/>
  <c r="AA654" i="3"/>
  <c r="AD654" i="3"/>
  <c r="AE654" i="3" s="1"/>
  <c r="AF654" i="3" s="1"/>
  <c r="R655" i="3"/>
  <c r="U655" i="3"/>
  <c r="V655" i="3" s="1"/>
  <c r="AB396" i="2"/>
  <c r="AD396" i="2"/>
  <c r="AE396" i="2" s="1"/>
  <c r="AF396" i="2" s="1"/>
  <c r="U393" i="2"/>
  <c r="V393" i="2" s="1"/>
  <c r="S393" i="2"/>
  <c r="G598" i="2"/>
  <c r="J598" i="2"/>
  <c r="K598" i="2" s="1"/>
  <c r="AI655" i="3" l="1"/>
  <c r="W655" i="3"/>
  <c r="AP393" i="2"/>
  <c r="W393" i="2"/>
  <c r="L598" i="2"/>
  <c r="AK401" i="2"/>
  <c r="AJ401" i="2"/>
  <c r="AL401" i="2" s="1"/>
  <c r="AM401" i="2" s="1"/>
  <c r="R656" i="3"/>
  <c r="U656" i="3"/>
  <c r="V656" i="3" s="1"/>
  <c r="AA655" i="3"/>
  <c r="AD655" i="3"/>
  <c r="AE655" i="3" s="1"/>
  <c r="AF655" i="3" s="1"/>
  <c r="S394" i="2"/>
  <c r="U394" i="2"/>
  <c r="V394" i="2" s="1"/>
  <c r="G599" i="2"/>
  <c r="J599" i="2"/>
  <c r="K599" i="2" s="1"/>
  <c r="AB397" i="2"/>
  <c r="AD397" i="2"/>
  <c r="AE397" i="2" s="1"/>
  <c r="AF397" i="2" s="1"/>
  <c r="AI656" i="3" l="1"/>
  <c r="W656" i="3"/>
  <c r="W394" i="2"/>
  <c r="AP394" i="2"/>
  <c r="L599" i="2"/>
  <c r="AK402" i="2"/>
  <c r="AJ402" i="2"/>
  <c r="AL402" i="2" s="1"/>
  <c r="AM402" i="2" s="1"/>
  <c r="AD656" i="3"/>
  <c r="AE656" i="3" s="1"/>
  <c r="AF656" i="3" s="1"/>
  <c r="AA656" i="3"/>
  <c r="R657" i="3"/>
  <c r="U657" i="3"/>
  <c r="V657" i="3" s="1"/>
  <c r="G600" i="2"/>
  <c r="J600" i="2"/>
  <c r="K600" i="2" s="1"/>
  <c r="AD398" i="2"/>
  <c r="AE398" i="2" s="1"/>
  <c r="AF398" i="2" s="1"/>
  <c r="AB398" i="2"/>
  <c r="S395" i="2"/>
  <c r="U395" i="2"/>
  <c r="V395" i="2" s="1"/>
  <c r="AI657" i="3" l="1"/>
  <c r="W657" i="3"/>
  <c r="AP395" i="2"/>
  <c r="W395" i="2"/>
  <c r="L600" i="2"/>
  <c r="AK403" i="2"/>
  <c r="AJ403" i="2"/>
  <c r="AL403" i="2" s="1"/>
  <c r="AM403" i="2" s="1"/>
  <c r="U658" i="3"/>
  <c r="V658" i="3" s="1"/>
  <c r="R658" i="3"/>
  <c r="AA657" i="3"/>
  <c r="AD657" i="3"/>
  <c r="AE657" i="3" s="1"/>
  <c r="AF657" i="3" s="1"/>
  <c r="U396" i="2"/>
  <c r="V396" i="2" s="1"/>
  <c r="S396" i="2"/>
  <c r="G601" i="2"/>
  <c r="J601" i="2"/>
  <c r="K601" i="2" s="1"/>
  <c r="AD399" i="2"/>
  <c r="AE399" i="2" s="1"/>
  <c r="AF399" i="2" s="1"/>
  <c r="AB399" i="2"/>
  <c r="AI658" i="3" l="1"/>
  <c r="W658" i="3"/>
  <c r="W396" i="2"/>
  <c r="AP396" i="2"/>
  <c r="L601" i="2"/>
  <c r="AK404" i="2"/>
  <c r="AJ404" i="2"/>
  <c r="AL404" i="2" s="1"/>
  <c r="AM404" i="2" s="1"/>
  <c r="AA658" i="3"/>
  <c r="AD658" i="3"/>
  <c r="AE658" i="3" s="1"/>
  <c r="AF658" i="3" s="1"/>
  <c r="R659" i="3"/>
  <c r="U659" i="3"/>
  <c r="V659" i="3" s="1"/>
  <c r="G602" i="2"/>
  <c r="J602" i="2"/>
  <c r="K602" i="2" s="1"/>
  <c r="U397" i="2"/>
  <c r="V397" i="2" s="1"/>
  <c r="S397" i="2"/>
  <c r="AB400" i="2"/>
  <c r="AD400" i="2"/>
  <c r="AE400" i="2" s="1"/>
  <c r="AF400" i="2" s="1"/>
  <c r="AI659" i="3" l="1"/>
  <c r="W659" i="3"/>
  <c r="W397" i="2"/>
  <c r="AP397" i="2"/>
  <c r="L602" i="2"/>
  <c r="AK405" i="2"/>
  <c r="AJ405" i="2"/>
  <c r="AL405" i="2" s="1"/>
  <c r="AM405" i="2" s="1"/>
  <c r="R660" i="3"/>
  <c r="U660" i="3"/>
  <c r="V660" i="3" s="1"/>
  <c r="AA659" i="3"/>
  <c r="AD659" i="3"/>
  <c r="AE659" i="3" s="1"/>
  <c r="AF659" i="3" s="1"/>
  <c r="S398" i="2"/>
  <c r="U398" i="2"/>
  <c r="V398" i="2" s="1"/>
  <c r="AB401" i="2"/>
  <c r="AD401" i="2"/>
  <c r="AE401" i="2" s="1"/>
  <c r="AF401" i="2" s="1"/>
  <c r="J603" i="2"/>
  <c r="K603" i="2" s="1"/>
  <c r="G603" i="2"/>
  <c r="AI660" i="3" l="1"/>
  <c r="W660" i="3"/>
  <c r="AP398" i="2"/>
  <c r="W398" i="2"/>
  <c r="L603" i="2"/>
  <c r="AK406" i="2"/>
  <c r="AJ406" i="2"/>
  <c r="AL406" i="2" s="1"/>
  <c r="AM406" i="2" s="1"/>
  <c r="AD660" i="3"/>
  <c r="AE660" i="3" s="1"/>
  <c r="AF660" i="3" s="1"/>
  <c r="AA660" i="3"/>
  <c r="R661" i="3"/>
  <c r="U661" i="3"/>
  <c r="V661" i="3" s="1"/>
  <c r="AD402" i="2"/>
  <c r="AE402" i="2" s="1"/>
  <c r="AF402" i="2" s="1"/>
  <c r="AB402" i="2"/>
  <c r="J604" i="2"/>
  <c r="K604" i="2" s="1"/>
  <c r="G604" i="2"/>
  <c r="S399" i="2"/>
  <c r="U399" i="2"/>
  <c r="V399" i="2" s="1"/>
  <c r="AI661" i="3" l="1"/>
  <c r="W661" i="3"/>
  <c r="AP399" i="2"/>
  <c r="W399" i="2"/>
  <c r="L604" i="2"/>
  <c r="AK407" i="2"/>
  <c r="AJ407" i="2"/>
  <c r="AL407" i="2" s="1"/>
  <c r="AM407" i="2" s="1"/>
  <c r="U662" i="3"/>
  <c r="V662" i="3" s="1"/>
  <c r="R662" i="3"/>
  <c r="AA661" i="3"/>
  <c r="AD661" i="3"/>
  <c r="AE661" i="3" s="1"/>
  <c r="AF661" i="3" s="1"/>
  <c r="U400" i="2"/>
  <c r="V400" i="2" s="1"/>
  <c r="S400" i="2"/>
  <c r="G605" i="2"/>
  <c r="J605" i="2"/>
  <c r="K605" i="2" s="1"/>
  <c r="AD403" i="2"/>
  <c r="AE403" i="2" s="1"/>
  <c r="AF403" i="2" s="1"/>
  <c r="AB403" i="2"/>
  <c r="AI662" i="3" l="1"/>
  <c r="W662" i="3"/>
  <c r="AP400" i="2"/>
  <c r="W400" i="2"/>
  <c r="L605" i="2"/>
  <c r="AK408" i="2"/>
  <c r="AJ408" i="2"/>
  <c r="AL408" i="2" s="1"/>
  <c r="AM408" i="2" s="1"/>
  <c r="AA662" i="3"/>
  <c r="AD662" i="3"/>
  <c r="AE662" i="3" s="1"/>
  <c r="AF662" i="3" s="1"/>
  <c r="R663" i="3"/>
  <c r="U663" i="3"/>
  <c r="V663" i="3" s="1"/>
  <c r="G606" i="2"/>
  <c r="J606" i="2"/>
  <c r="K606" i="2" s="1"/>
  <c r="AB404" i="2"/>
  <c r="AD404" i="2"/>
  <c r="AE404" i="2" s="1"/>
  <c r="AF404" i="2" s="1"/>
  <c r="U401" i="2"/>
  <c r="V401" i="2" s="1"/>
  <c r="S401" i="2"/>
  <c r="AI663" i="3" l="1"/>
  <c r="W663" i="3"/>
  <c r="AP401" i="2"/>
  <c r="W401" i="2"/>
  <c r="L606" i="2"/>
  <c r="AK409" i="2"/>
  <c r="AJ409" i="2"/>
  <c r="AL409" i="2" s="1"/>
  <c r="AM409" i="2" s="1"/>
  <c r="R664" i="3"/>
  <c r="U664" i="3"/>
  <c r="V664" i="3" s="1"/>
  <c r="AA663" i="3"/>
  <c r="AD663" i="3"/>
  <c r="AE663" i="3" s="1"/>
  <c r="AF663" i="3" s="1"/>
  <c r="AB405" i="2"/>
  <c r="AD405" i="2"/>
  <c r="AE405" i="2" s="1"/>
  <c r="AF405" i="2" s="1"/>
  <c r="S402" i="2"/>
  <c r="U402" i="2"/>
  <c r="V402" i="2" s="1"/>
  <c r="G607" i="2"/>
  <c r="J607" i="2"/>
  <c r="K607" i="2" s="1"/>
  <c r="AI664" i="3" l="1"/>
  <c r="W664" i="3"/>
  <c r="AP402" i="2"/>
  <c r="W402" i="2"/>
  <c r="L607" i="2"/>
  <c r="AK410" i="2"/>
  <c r="AJ410" i="2"/>
  <c r="AL410" i="2" s="1"/>
  <c r="AM410" i="2" s="1"/>
  <c r="AD664" i="3"/>
  <c r="AE664" i="3" s="1"/>
  <c r="AF664" i="3" s="1"/>
  <c r="AA664" i="3"/>
  <c r="R665" i="3"/>
  <c r="U665" i="3"/>
  <c r="V665" i="3" s="1"/>
  <c r="S403" i="2"/>
  <c r="U403" i="2"/>
  <c r="V403" i="2" s="1"/>
  <c r="G608" i="2"/>
  <c r="J608" i="2"/>
  <c r="K608" i="2" s="1"/>
  <c r="AD406" i="2"/>
  <c r="AE406" i="2" s="1"/>
  <c r="AF406" i="2" s="1"/>
  <c r="AB406" i="2"/>
  <c r="AI665" i="3" l="1"/>
  <c r="W665" i="3"/>
  <c r="AP403" i="2"/>
  <c r="W403" i="2"/>
  <c r="L608" i="2"/>
  <c r="AK411" i="2"/>
  <c r="AJ411" i="2"/>
  <c r="AL411" i="2" s="1"/>
  <c r="AM411" i="2" s="1"/>
  <c r="U666" i="3"/>
  <c r="V666" i="3" s="1"/>
  <c r="R666" i="3"/>
  <c r="AA665" i="3"/>
  <c r="AD665" i="3"/>
  <c r="AE665" i="3" s="1"/>
  <c r="AF665" i="3" s="1"/>
  <c r="G609" i="2"/>
  <c r="J609" i="2"/>
  <c r="K609" i="2" s="1"/>
  <c r="AD407" i="2"/>
  <c r="AE407" i="2" s="1"/>
  <c r="AF407" i="2" s="1"/>
  <c r="AB407" i="2"/>
  <c r="U404" i="2"/>
  <c r="V404" i="2" s="1"/>
  <c r="S404" i="2"/>
  <c r="AI666" i="3" l="1"/>
  <c r="W666" i="3"/>
  <c r="AP404" i="2"/>
  <c r="W404" i="2"/>
  <c r="L609" i="2"/>
  <c r="AK412" i="2"/>
  <c r="AJ412" i="2"/>
  <c r="AL412" i="2" s="1"/>
  <c r="AM412" i="2" s="1"/>
  <c r="AA666" i="3"/>
  <c r="AD666" i="3"/>
  <c r="AE666" i="3" s="1"/>
  <c r="AF666" i="3" s="1"/>
  <c r="R667" i="3"/>
  <c r="U667" i="3"/>
  <c r="V667" i="3" s="1"/>
  <c r="AB408" i="2"/>
  <c r="AD408" i="2"/>
  <c r="AE408" i="2" s="1"/>
  <c r="AF408" i="2" s="1"/>
  <c r="U405" i="2"/>
  <c r="V405" i="2" s="1"/>
  <c r="S405" i="2"/>
  <c r="G610" i="2"/>
  <c r="J610" i="2"/>
  <c r="K610" i="2" s="1"/>
  <c r="AI667" i="3" l="1"/>
  <c r="W667" i="3"/>
  <c r="AP405" i="2"/>
  <c r="W405" i="2"/>
  <c r="L610" i="2"/>
  <c r="AK413" i="2"/>
  <c r="AJ413" i="2"/>
  <c r="AL413" i="2" s="1"/>
  <c r="AM413" i="2" s="1"/>
  <c r="R668" i="3"/>
  <c r="U668" i="3"/>
  <c r="V668" i="3" s="1"/>
  <c r="AA667" i="3"/>
  <c r="AD667" i="3"/>
  <c r="AE667" i="3" s="1"/>
  <c r="AF667" i="3" s="1"/>
  <c r="S406" i="2"/>
  <c r="U406" i="2"/>
  <c r="V406" i="2" s="1"/>
  <c r="G611" i="2"/>
  <c r="J611" i="2"/>
  <c r="K611" i="2" s="1"/>
  <c r="AB409" i="2"/>
  <c r="AD409" i="2"/>
  <c r="AE409" i="2" s="1"/>
  <c r="AF409" i="2" s="1"/>
  <c r="AI668" i="3" l="1"/>
  <c r="W668" i="3"/>
  <c r="AP406" i="2"/>
  <c r="W406" i="2"/>
  <c r="L611" i="2"/>
  <c r="AK414" i="2"/>
  <c r="AJ414" i="2"/>
  <c r="AL414" i="2" s="1"/>
  <c r="AM414" i="2" s="1"/>
  <c r="AD668" i="3"/>
  <c r="AE668" i="3" s="1"/>
  <c r="AF668" i="3" s="1"/>
  <c r="AA668" i="3"/>
  <c r="R669" i="3"/>
  <c r="U669" i="3"/>
  <c r="V669" i="3" s="1"/>
  <c r="G612" i="2"/>
  <c r="J612" i="2"/>
  <c r="K612" i="2" s="1"/>
  <c r="AD410" i="2"/>
  <c r="AE410" i="2" s="1"/>
  <c r="AF410" i="2" s="1"/>
  <c r="AB410" i="2"/>
  <c r="S407" i="2"/>
  <c r="U407" i="2"/>
  <c r="V407" i="2" s="1"/>
  <c r="AI669" i="3" l="1"/>
  <c r="W669" i="3"/>
  <c r="AP407" i="2"/>
  <c r="W407" i="2"/>
  <c r="L612" i="2"/>
  <c r="AK415" i="2"/>
  <c r="AJ415" i="2"/>
  <c r="AL415" i="2" s="1"/>
  <c r="AM415" i="2" s="1"/>
  <c r="U670" i="3"/>
  <c r="V670" i="3" s="1"/>
  <c r="R670" i="3"/>
  <c r="AA669" i="3"/>
  <c r="AD669" i="3"/>
  <c r="AE669" i="3" s="1"/>
  <c r="AF669" i="3" s="1"/>
  <c r="AD411" i="2"/>
  <c r="AE411" i="2" s="1"/>
  <c r="AF411" i="2" s="1"/>
  <c r="AB411" i="2"/>
  <c r="U408" i="2"/>
  <c r="V408" i="2" s="1"/>
  <c r="S408" i="2"/>
  <c r="G613" i="2"/>
  <c r="J613" i="2"/>
  <c r="K613" i="2" s="1"/>
  <c r="AI670" i="3" l="1"/>
  <c r="W670" i="3"/>
  <c r="AP408" i="2"/>
  <c r="W408" i="2"/>
  <c r="L613" i="2"/>
  <c r="AK416" i="2"/>
  <c r="AJ416" i="2"/>
  <c r="AL416" i="2" s="1"/>
  <c r="AM416" i="2" s="1"/>
  <c r="AA670" i="3"/>
  <c r="AD670" i="3"/>
  <c r="AE670" i="3" s="1"/>
  <c r="AF670" i="3" s="1"/>
  <c r="R671" i="3"/>
  <c r="U671" i="3"/>
  <c r="V671" i="3" s="1"/>
  <c r="G614" i="2"/>
  <c r="J614" i="2"/>
  <c r="K614" i="2" s="1"/>
  <c r="U409" i="2"/>
  <c r="V409" i="2" s="1"/>
  <c r="S409" i="2"/>
  <c r="AB412" i="2"/>
  <c r="AD412" i="2"/>
  <c r="AE412" i="2" s="1"/>
  <c r="AF412" i="2" s="1"/>
  <c r="AI671" i="3" l="1"/>
  <c r="W671" i="3"/>
  <c r="AP409" i="2"/>
  <c r="W409" i="2"/>
  <c r="L614" i="2"/>
  <c r="AK417" i="2"/>
  <c r="AJ417" i="2"/>
  <c r="AL417" i="2" s="1"/>
  <c r="AM417" i="2" s="1"/>
  <c r="R672" i="3"/>
  <c r="U672" i="3"/>
  <c r="V672" i="3" s="1"/>
  <c r="AA671" i="3"/>
  <c r="AD671" i="3"/>
  <c r="AE671" i="3" s="1"/>
  <c r="AF671" i="3" s="1"/>
  <c r="AB413" i="2"/>
  <c r="AD413" i="2"/>
  <c r="AE413" i="2" s="1"/>
  <c r="AF413" i="2" s="1"/>
  <c r="G615" i="2"/>
  <c r="J615" i="2"/>
  <c r="K615" i="2" s="1"/>
  <c r="S410" i="2"/>
  <c r="U410" i="2"/>
  <c r="V410" i="2" s="1"/>
  <c r="AI672" i="3" l="1"/>
  <c r="W672" i="3"/>
  <c r="W410" i="2"/>
  <c r="AP410" i="2"/>
  <c r="L615" i="2"/>
  <c r="AK418" i="2"/>
  <c r="AJ418" i="2"/>
  <c r="AL418" i="2" s="1"/>
  <c r="AM418" i="2" s="1"/>
  <c r="AD672" i="3"/>
  <c r="AE672" i="3" s="1"/>
  <c r="AF672" i="3" s="1"/>
  <c r="AA672" i="3"/>
  <c r="R673" i="3"/>
  <c r="U673" i="3"/>
  <c r="V673" i="3" s="1"/>
  <c r="S411" i="2"/>
  <c r="U411" i="2"/>
  <c r="V411" i="2" s="1"/>
  <c r="AD414" i="2"/>
  <c r="AE414" i="2" s="1"/>
  <c r="AF414" i="2" s="1"/>
  <c r="AB414" i="2"/>
  <c r="G616" i="2"/>
  <c r="J616" i="2"/>
  <c r="K616" i="2" s="1"/>
  <c r="AI673" i="3" l="1"/>
  <c r="W673" i="3"/>
  <c r="AP411" i="2"/>
  <c r="W411" i="2"/>
  <c r="L616" i="2"/>
  <c r="AK419" i="2"/>
  <c r="AJ419" i="2"/>
  <c r="AL419" i="2" s="1"/>
  <c r="AM419" i="2" s="1"/>
  <c r="U674" i="3"/>
  <c r="V674" i="3" s="1"/>
  <c r="R674" i="3"/>
  <c r="AA673" i="3"/>
  <c r="AD673" i="3"/>
  <c r="AE673" i="3" s="1"/>
  <c r="AF673" i="3" s="1"/>
  <c r="AD415" i="2"/>
  <c r="AE415" i="2" s="1"/>
  <c r="AF415" i="2" s="1"/>
  <c r="AB415" i="2"/>
  <c r="G617" i="2"/>
  <c r="J617" i="2"/>
  <c r="K617" i="2" s="1"/>
  <c r="U412" i="2"/>
  <c r="V412" i="2" s="1"/>
  <c r="S412" i="2"/>
  <c r="AI674" i="3" l="1"/>
  <c r="W674" i="3"/>
  <c r="W412" i="2"/>
  <c r="AP412" i="2"/>
  <c r="L617" i="2"/>
  <c r="AK420" i="2"/>
  <c r="AJ420" i="2"/>
  <c r="AL420" i="2" s="1"/>
  <c r="AM420" i="2" s="1"/>
  <c r="AA674" i="3"/>
  <c r="AD674" i="3"/>
  <c r="AE674" i="3" s="1"/>
  <c r="AF674" i="3" s="1"/>
  <c r="R675" i="3"/>
  <c r="U675" i="3"/>
  <c r="V675" i="3" s="1"/>
  <c r="G618" i="2"/>
  <c r="J618" i="2"/>
  <c r="K618" i="2" s="1"/>
  <c r="U413" i="2"/>
  <c r="V413" i="2" s="1"/>
  <c r="S413" i="2"/>
  <c r="AB416" i="2"/>
  <c r="AD416" i="2"/>
  <c r="AE416" i="2" s="1"/>
  <c r="AF416" i="2" s="1"/>
  <c r="AI675" i="3" l="1"/>
  <c r="W675" i="3"/>
  <c r="W413" i="2"/>
  <c r="AP413" i="2"/>
  <c r="L618" i="2"/>
  <c r="AK421" i="2"/>
  <c r="AJ421" i="2"/>
  <c r="AL421" i="2" s="1"/>
  <c r="AM421" i="2" s="1"/>
  <c r="R676" i="3"/>
  <c r="U676" i="3"/>
  <c r="V676" i="3" s="1"/>
  <c r="AA675" i="3"/>
  <c r="AD675" i="3"/>
  <c r="AE675" i="3" s="1"/>
  <c r="AF675" i="3" s="1"/>
  <c r="S414" i="2"/>
  <c r="U414" i="2"/>
  <c r="V414" i="2" s="1"/>
  <c r="AB417" i="2"/>
  <c r="AD417" i="2"/>
  <c r="AE417" i="2" s="1"/>
  <c r="AF417" i="2" s="1"/>
  <c r="G619" i="2"/>
  <c r="J619" i="2"/>
  <c r="K619" i="2" s="1"/>
  <c r="AI676" i="3" l="1"/>
  <c r="W676" i="3"/>
  <c r="AP414" i="2"/>
  <c r="W414" i="2"/>
  <c r="L619" i="2"/>
  <c r="AK422" i="2"/>
  <c r="AJ422" i="2"/>
  <c r="AL422" i="2" s="1"/>
  <c r="AM422" i="2" s="1"/>
  <c r="AD676" i="3"/>
  <c r="AE676" i="3" s="1"/>
  <c r="AF676" i="3" s="1"/>
  <c r="AA676" i="3"/>
  <c r="R677" i="3"/>
  <c r="U677" i="3"/>
  <c r="V677" i="3" s="1"/>
  <c r="AD418" i="2"/>
  <c r="AE418" i="2" s="1"/>
  <c r="AF418" i="2" s="1"/>
  <c r="AB418" i="2"/>
  <c r="G620" i="2"/>
  <c r="J620" i="2"/>
  <c r="K620" i="2" s="1"/>
  <c r="S415" i="2"/>
  <c r="U415" i="2"/>
  <c r="V415" i="2" s="1"/>
  <c r="AI677" i="3" l="1"/>
  <c r="W677" i="3"/>
  <c r="AP415" i="2"/>
  <c r="W415" i="2"/>
  <c r="L620" i="2"/>
  <c r="AK423" i="2"/>
  <c r="AJ423" i="2"/>
  <c r="AL423" i="2" s="1"/>
  <c r="AM423" i="2" s="1"/>
  <c r="U678" i="3"/>
  <c r="V678" i="3" s="1"/>
  <c r="R678" i="3"/>
  <c r="AA677" i="3"/>
  <c r="AD677" i="3"/>
  <c r="AE677" i="3" s="1"/>
  <c r="AF677" i="3" s="1"/>
  <c r="G621" i="2"/>
  <c r="J621" i="2"/>
  <c r="K621" i="2" s="1"/>
  <c r="AD419" i="2"/>
  <c r="AE419" i="2" s="1"/>
  <c r="AF419" i="2" s="1"/>
  <c r="AB419" i="2"/>
  <c r="U416" i="2"/>
  <c r="V416" i="2" s="1"/>
  <c r="S416" i="2"/>
  <c r="AI678" i="3" l="1"/>
  <c r="W678" i="3"/>
  <c r="AP416" i="2"/>
  <c r="W416" i="2"/>
  <c r="L621" i="2"/>
  <c r="AK424" i="2"/>
  <c r="AJ424" i="2"/>
  <c r="AL424" i="2" s="1"/>
  <c r="AM424" i="2" s="1"/>
  <c r="AA678" i="3"/>
  <c r="AD678" i="3"/>
  <c r="AE678" i="3" s="1"/>
  <c r="AF678" i="3" s="1"/>
  <c r="R679" i="3"/>
  <c r="U679" i="3"/>
  <c r="V679" i="3" s="1"/>
  <c r="AB420" i="2"/>
  <c r="AD420" i="2"/>
  <c r="AE420" i="2" s="1"/>
  <c r="AF420" i="2" s="1"/>
  <c r="U417" i="2"/>
  <c r="V417" i="2" s="1"/>
  <c r="S417" i="2"/>
  <c r="G622" i="2"/>
  <c r="J622" i="2"/>
  <c r="K622" i="2" s="1"/>
  <c r="AI679" i="3" l="1"/>
  <c r="W679" i="3"/>
  <c r="AP417" i="2"/>
  <c r="W417" i="2"/>
  <c r="L622" i="2"/>
  <c r="AK425" i="2"/>
  <c r="AJ425" i="2"/>
  <c r="AL425" i="2" s="1"/>
  <c r="AM425" i="2" s="1"/>
  <c r="R680" i="3"/>
  <c r="U680" i="3"/>
  <c r="V680" i="3" s="1"/>
  <c r="AA679" i="3"/>
  <c r="AD679" i="3"/>
  <c r="AE679" i="3" s="1"/>
  <c r="AF679" i="3" s="1"/>
  <c r="S418" i="2"/>
  <c r="U418" i="2"/>
  <c r="V418" i="2" s="1"/>
  <c r="G623" i="2"/>
  <c r="J623" i="2"/>
  <c r="K623" i="2" s="1"/>
  <c r="AB421" i="2"/>
  <c r="AD421" i="2"/>
  <c r="AE421" i="2" s="1"/>
  <c r="AF421" i="2" s="1"/>
  <c r="AI680" i="3" l="1"/>
  <c r="W680" i="3"/>
  <c r="AP418" i="2"/>
  <c r="W418" i="2"/>
  <c r="L623" i="2"/>
  <c r="AK426" i="2"/>
  <c r="AJ426" i="2"/>
  <c r="AL426" i="2" s="1"/>
  <c r="AM426" i="2" s="1"/>
  <c r="AD680" i="3"/>
  <c r="AE680" i="3" s="1"/>
  <c r="AF680" i="3" s="1"/>
  <c r="AA680" i="3"/>
  <c r="R681" i="3"/>
  <c r="U681" i="3"/>
  <c r="V681" i="3" s="1"/>
  <c r="G624" i="2"/>
  <c r="J624" i="2"/>
  <c r="K624" i="2" s="1"/>
  <c r="AD422" i="2"/>
  <c r="AE422" i="2" s="1"/>
  <c r="AF422" i="2" s="1"/>
  <c r="AB422" i="2"/>
  <c r="S419" i="2"/>
  <c r="U419" i="2"/>
  <c r="V419" i="2" s="1"/>
  <c r="AI681" i="3" l="1"/>
  <c r="W681" i="3"/>
  <c r="AP419" i="2"/>
  <c r="W419" i="2"/>
  <c r="L624" i="2"/>
  <c r="AK427" i="2"/>
  <c r="AJ427" i="2"/>
  <c r="AL427" i="2" s="1"/>
  <c r="AM427" i="2" s="1"/>
  <c r="U682" i="3"/>
  <c r="V682" i="3" s="1"/>
  <c r="R682" i="3"/>
  <c r="AA681" i="3"/>
  <c r="AD681" i="3"/>
  <c r="AE681" i="3" s="1"/>
  <c r="AF681" i="3" s="1"/>
  <c r="AD423" i="2"/>
  <c r="AE423" i="2" s="1"/>
  <c r="AF423" i="2" s="1"/>
  <c r="AB423" i="2"/>
  <c r="U420" i="2"/>
  <c r="V420" i="2" s="1"/>
  <c r="S420" i="2"/>
  <c r="G625" i="2"/>
  <c r="J625" i="2"/>
  <c r="K625" i="2" s="1"/>
  <c r="AI682" i="3" l="1"/>
  <c r="W682" i="3"/>
  <c r="AP420" i="2"/>
  <c r="W420" i="2"/>
  <c r="L625" i="2"/>
  <c r="AK428" i="2"/>
  <c r="AJ428" i="2"/>
  <c r="AL428" i="2" s="1"/>
  <c r="AM428" i="2" s="1"/>
  <c r="AA682" i="3"/>
  <c r="AD682" i="3"/>
  <c r="AE682" i="3" s="1"/>
  <c r="AF682" i="3" s="1"/>
  <c r="R683" i="3"/>
  <c r="U683" i="3"/>
  <c r="V683" i="3" s="1"/>
  <c r="U421" i="2"/>
  <c r="V421" i="2" s="1"/>
  <c r="S421" i="2"/>
  <c r="AB424" i="2"/>
  <c r="AD424" i="2"/>
  <c r="AE424" i="2" s="1"/>
  <c r="AF424" i="2" s="1"/>
  <c r="G626" i="2"/>
  <c r="J626" i="2"/>
  <c r="K626" i="2" s="1"/>
  <c r="AI683" i="3" l="1"/>
  <c r="W683" i="3"/>
  <c r="AP421" i="2"/>
  <c r="W421" i="2"/>
  <c r="L626" i="2"/>
  <c r="AK429" i="2"/>
  <c r="AJ429" i="2"/>
  <c r="AL429" i="2" s="1"/>
  <c r="AM429" i="2" s="1"/>
  <c r="AA683" i="3"/>
  <c r="AD683" i="3"/>
  <c r="AE683" i="3" s="1"/>
  <c r="AF683" i="3" s="1"/>
  <c r="R684" i="3"/>
  <c r="U684" i="3"/>
  <c r="V684" i="3" s="1"/>
  <c r="G627" i="2"/>
  <c r="J627" i="2"/>
  <c r="K627" i="2" s="1"/>
  <c r="AB425" i="2"/>
  <c r="AD425" i="2"/>
  <c r="AE425" i="2" s="1"/>
  <c r="AF425" i="2" s="1"/>
  <c r="S422" i="2"/>
  <c r="U422" i="2"/>
  <c r="V422" i="2" s="1"/>
  <c r="AI684" i="3" l="1"/>
  <c r="W684" i="3"/>
  <c r="AP422" i="2"/>
  <c r="W422" i="2"/>
  <c r="L627" i="2"/>
  <c r="AK430" i="2"/>
  <c r="AJ430" i="2"/>
  <c r="AL430" i="2" s="1"/>
  <c r="AM430" i="2" s="1"/>
  <c r="R685" i="3"/>
  <c r="U685" i="3"/>
  <c r="V685" i="3" s="1"/>
  <c r="AD684" i="3"/>
  <c r="AE684" i="3" s="1"/>
  <c r="AF684" i="3" s="1"/>
  <c r="AA684" i="3"/>
  <c r="S423" i="2"/>
  <c r="U423" i="2"/>
  <c r="V423" i="2" s="1"/>
  <c r="AD426" i="2"/>
  <c r="AE426" i="2" s="1"/>
  <c r="AF426" i="2" s="1"/>
  <c r="AB426" i="2"/>
  <c r="G628" i="2"/>
  <c r="J628" i="2"/>
  <c r="K628" i="2" s="1"/>
  <c r="AI685" i="3" l="1"/>
  <c r="W685" i="3"/>
  <c r="AP423" i="2"/>
  <c r="W423" i="2"/>
  <c r="L628" i="2"/>
  <c r="AK431" i="2"/>
  <c r="AJ431" i="2"/>
  <c r="AL431" i="2" s="1"/>
  <c r="AM431" i="2" s="1"/>
  <c r="AA685" i="3"/>
  <c r="AD685" i="3"/>
  <c r="AE685" i="3" s="1"/>
  <c r="AF685" i="3" s="1"/>
  <c r="U686" i="3"/>
  <c r="V686" i="3" s="1"/>
  <c r="R686" i="3"/>
  <c r="AD427" i="2"/>
  <c r="AE427" i="2" s="1"/>
  <c r="AF427" i="2" s="1"/>
  <c r="AB427" i="2"/>
  <c r="G629" i="2"/>
  <c r="J629" i="2"/>
  <c r="K629" i="2" s="1"/>
  <c r="U424" i="2"/>
  <c r="V424" i="2" s="1"/>
  <c r="S424" i="2"/>
  <c r="AI686" i="3" l="1"/>
  <c r="W686" i="3"/>
  <c r="AP424" i="2"/>
  <c r="W424" i="2"/>
  <c r="L629" i="2"/>
  <c r="AK432" i="2"/>
  <c r="AJ432" i="2"/>
  <c r="AL432" i="2" s="1"/>
  <c r="AM432" i="2" s="1"/>
  <c r="AA686" i="3"/>
  <c r="AD686" i="3"/>
  <c r="AE686" i="3" s="1"/>
  <c r="AF686" i="3" s="1"/>
  <c r="R687" i="3"/>
  <c r="U687" i="3"/>
  <c r="V687" i="3" s="1"/>
  <c r="U425" i="2"/>
  <c r="V425" i="2" s="1"/>
  <c r="S425" i="2"/>
  <c r="AB428" i="2"/>
  <c r="AD428" i="2"/>
  <c r="AE428" i="2" s="1"/>
  <c r="AF428" i="2" s="1"/>
  <c r="G630" i="2"/>
  <c r="J630" i="2"/>
  <c r="K630" i="2" s="1"/>
  <c r="AI687" i="3" l="1"/>
  <c r="W687" i="3"/>
  <c r="AP425" i="2"/>
  <c r="W425" i="2"/>
  <c r="L630" i="2"/>
  <c r="AK433" i="2"/>
  <c r="AJ433" i="2"/>
  <c r="AL433" i="2" s="1"/>
  <c r="AM433" i="2" s="1"/>
  <c r="R688" i="3"/>
  <c r="U688" i="3"/>
  <c r="V688" i="3" s="1"/>
  <c r="AA687" i="3"/>
  <c r="AD687" i="3"/>
  <c r="AE687" i="3" s="1"/>
  <c r="AF687" i="3" s="1"/>
  <c r="S426" i="2"/>
  <c r="U426" i="2"/>
  <c r="V426" i="2" s="1"/>
  <c r="G631" i="2"/>
  <c r="J631" i="2"/>
  <c r="K631" i="2" s="1"/>
  <c r="AB429" i="2"/>
  <c r="AD429" i="2"/>
  <c r="AE429" i="2" s="1"/>
  <c r="AF429" i="2" s="1"/>
  <c r="AI688" i="3" l="1"/>
  <c r="W688" i="3"/>
  <c r="W426" i="2"/>
  <c r="AP426" i="2"/>
  <c r="L631" i="2"/>
  <c r="AK434" i="2"/>
  <c r="AJ434" i="2"/>
  <c r="AL434" i="2" s="1"/>
  <c r="AM434" i="2" s="1"/>
  <c r="AD688" i="3"/>
  <c r="AE688" i="3" s="1"/>
  <c r="AF688" i="3" s="1"/>
  <c r="AA688" i="3"/>
  <c r="R689" i="3"/>
  <c r="U689" i="3"/>
  <c r="V689" i="3" s="1"/>
  <c r="AD430" i="2"/>
  <c r="AE430" i="2" s="1"/>
  <c r="AF430" i="2" s="1"/>
  <c r="AB430" i="2"/>
  <c r="S427" i="2"/>
  <c r="U427" i="2"/>
  <c r="V427" i="2" s="1"/>
  <c r="G632" i="2"/>
  <c r="J632" i="2"/>
  <c r="K632" i="2" s="1"/>
  <c r="AI689" i="3" l="1"/>
  <c r="W689" i="3"/>
  <c r="AP427" i="2"/>
  <c r="W427" i="2"/>
  <c r="L632" i="2"/>
  <c r="AK435" i="2"/>
  <c r="AJ435" i="2"/>
  <c r="AL435" i="2" s="1"/>
  <c r="AM435" i="2" s="1"/>
  <c r="U690" i="3"/>
  <c r="V690" i="3" s="1"/>
  <c r="R690" i="3"/>
  <c r="AA689" i="3"/>
  <c r="AD689" i="3"/>
  <c r="AE689" i="3" s="1"/>
  <c r="AF689" i="3" s="1"/>
  <c r="AD431" i="2"/>
  <c r="AE431" i="2" s="1"/>
  <c r="AF431" i="2" s="1"/>
  <c r="AB431" i="2"/>
  <c r="G633" i="2"/>
  <c r="J633" i="2"/>
  <c r="K633" i="2" s="1"/>
  <c r="U428" i="2"/>
  <c r="V428" i="2" s="1"/>
  <c r="S428" i="2"/>
  <c r="AI690" i="3" l="1"/>
  <c r="W690" i="3"/>
  <c r="W428" i="2"/>
  <c r="AP428" i="2"/>
  <c r="L633" i="2"/>
  <c r="AK436" i="2"/>
  <c r="AJ436" i="2"/>
  <c r="AL436" i="2" s="1"/>
  <c r="AM436" i="2" s="1"/>
  <c r="AA690" i="3"/>
  <c r="AD690" i="3"/>
  <c r="AE690" i="3" s="1"/>
  <c r="AF690" i="3" s="1"/>
  <c r="R691" i="3"/>
  <c r="U691" i="3"/>
  <c r="V691" i="3" s="1"/>
  <c r="AB432" i="2"/>
  <c r="AD432" i="2"/>
  <c r="AE432" i="2" s="1"/>
  <c r="AF432" i="2" s="1"/>
  <c r="U429" i="2"/>
  <c r="V429" i="2" s="1"/>
  <c r="S429" i="2"/>
  <c r="G634" i="2"/>
  <c r="J634" i="2"/>
  <c r="K634" i="2" s="1"/>
  <c r="AI691" i="3" l="1"/>
  <c r="W691" i="3"/>
  <c r="W429" i="2"/>
  <c r="AP429" i="2"/>
  <c r="L634" i="2"/>
  <c r="AK437" i="2"/>
  <c r="AJ437" i="2"/>
  <c r="AL437" i="2" s="1"/>
  <c r="AM437" i="2" s="1"/>
  <c r="R692" i="3"/>
  <c r="U692" i="3"/>
  <c r="V692" i="3" s="1"/>
  <c r="AA691" i="3"/>
  <c r="AD691" i="3"/>
  <c r="AE691" i="3" s="1"/>
  <c r="AF691" i="3" s="1"/>
  <c r="J635" i="2"/>
  <c r="K635" i="2" s="1"/>
  <c r="G635" i="2"/>
  <c r="AB433" i="2"/>
  <c r="AD433" i="2"/>
  <c r="AE433" i="2" s="1"/>
  <c r="AF433" i="2" s="1"/>
  <c r="S430" i="2"/>
  <c r="U430" i="2"/>
  <c r="V430" i="2" s="1"/>
  <c r="AI692" i="3" l="1"/>
  <c r="W692" i="3"/>
  <c r="AP430" i="2"/>
  <c r="W430" i="2"/>
  <c r="L635" i="2"/>
  <c r="AK438" i="2"/>
  <c r="AJ438" i="2"/>
  <c r="AL438" i="2" s="1"/>
  <c r="AM438" i="2" s="1"/>
  <c r="AD692" i="3"/>
  <c r="AE692" i="3" s="1"/>
  <c r="AF692" i="3" s="1"/>
  <c r="AA692" i="3"/>
  <c r="R693" i="3"/>
  <c r="U693" i="3"/>
  <c r="V693" i="3" s="1"/>
  <c r="G636" i="2"/>
  <c r="J636" i="2"/>
  <c r="K636" i="2" s="1"/>
  <c r="S431" i="2"/>
  <c r="U431" i="2"/>
  <c r="V431" i="2" s="1"/>
  <c r="AD434" i="2"/>
  <c r="AE434" i="2" s="1"/>
  <c r="AF434" i="2" s="1"/>
  <c r="AB434" i="2"/>
  <c r="AI693" i="3" l="1"/>
  <c r="W693" i="3"/>
  <c r="AP431" i="2"/>
  <c r="W431" i="2"/>
  <c r="L636" i="2"/>
  <c r="AK439" i="2"/>
  <c r="AJ439" i="2"/>
  <c r="AL439" i="2" s="1"/>
  <c r="AM439" i="2" s="1"/>
  <c r="U694" i="3"/>
  <c r="V694" i="3" s="1"/>
  <c r="R694" i="3"/>
  <c r="AA693" i="3"/>
  <c r="AD693" i="3"/>
  <c r="AE693" i="3" s="1"/>
  <c r="AF693" i="3" s="1"/>
  <c r="AD435" i="2"/>
  <c r="AE435" i="2" s="1"/>
  <c r="AF435" i="2" s="1"/>
  <c r="AB435" i="2"/>
  <c r="G637" i="2"/>
  <c r="J637" i="2"/>
  <c r="K637" i="2" s="1"/>
  <c r="U432" i="2"/>
  <c r="V432" i="2" s="1"/>
  <c r="S432" i="2"/>
  <c r="AI694" i="3" l="1"/>
  <c r="W694" i="3"/>
  <c r="AP432" i="2"/>
  <c r="W432" i="2"/>
  <c r="L637" i="2"/>
  <c r="AK440" i="2"/>
  <c r="AJ440" i="2"/>
  <c r="AL440" i="2" s="1"/>
  <c r="AM440" i="2" s="1"/>
  <c r="AA694" i="3"/>
  <c r="AD694" i="3"/>
  <c r="AE694" i="3" s="1"/>
  <c r="AF694" i="3" s="1"/>
  <c r="R695" i="3"/>
  <c r="U695" i="3"/>
  <c r="V695" i="3" s="1"/>
  <c r="AB436" i="2"/>
  <c r="AD436" i="2"/>
  <c r="AE436" i="2" s="1"/>
  <c r="AF436" i="2" s="1"/>
  <c r="U433" i="2"/>
  <c r="V433" i="2" s="1"/>
  <c r="S433" i="2"/>
  <c r="G638" i="2"/>
  <c r="J638" i="2"/>
  <c r="K638" i="2" s="1"/>
  <c r="AI695" i="3" l="1"/>
  <c r="W695" i="3"/>
  <c r="AP433" i="2"/>
  <c r="W433" i="2"/>
  <c r="L638" i="2"/>
  <c r="AK441" i="2"/>
  <c r="AJ441" i="2"/>
  <c r="AL441" i="2" s="1"/>
  <c r="AM441" i="2" s="1"/>
  <c r="R696" i="3"/>
  <c r="U696" i="3"/>
  <c r="V696" i="3" s="1"/>
  <c r="AA695" i="3"/>
  <c r="AD695" i="3"/>
  <c r="AE695" i="3" s="1"/>
  <c r="AF695" i="3" s="1"/>
  <c r="J639" i="2"/>
  <c r="K639" i="2" s="1"/>
  <c r="G639" i="2"/>
  <c r="AB437" i="2"/>
  <c r="AD437" i="2"/>
  <c r="AE437" i="2" s="1"/>
  <c r="AF437" i="2" s="1"/>
  <c r="S434" i="2"/>
  <c r="U434" i="2"/>
  <c r="V434" i="2" s="1"/>
  <c r="AI696" i="3" l="1"/>
  <c r="W696" i="3"/>
  <c r="AP434" i="2"/>
  <c r="W434" i="2"/>
  <c r="L639" i="2"/>
  <c r="AK442" i="2"/>
  <c r="AJ442" i="2"/>
  <c r="AL442" i="2" s="1"/>
  <c r="AM442" i="2" s="1"/>
  <c r="AD696" i="3"/>
  <c r="AE696" i="3" s="1"/>
  <c r="AF696" i="3" s="1"/>
  <c r="AA696" i="3"/>
  <c r="R697" i="3"/>
  <c r="U697" i="3"/>
  <c r="V697" i="3" s="1"/>
  <c r="J640" i="2"/>
  <c r="K640" i="2" s="1"/>
  <c r="G640" i="2"/>
  <c r="S435" i="2"/>
  <c r="U435" i="2"/>
  <c r="V435" i="2" s="1"/>
  <c r="AD438" i="2"/>
  <c r="AE438" i="2" s="1"/>
  <c r="AF438" i="2" s="1"/>
  <c r="AB438" i="2"/>
  <c r="AI697" i="3" l="1"/>
  <c r="W697" i="3"/>
  <c r="AP435" i="2"/>
  <c r="W435" i="2"/>
  <c r="L640" i="2"/>
  <c r="AK443" i="2"/>
  <c r="AJ443" i="2"/>
  <c r="AL443" i="2" s="1"/>
  <c r="AM443" i="2" s="1"/>
  <c r="U698" i="3"/>
  <c r="V698" i="3" s="1"/>
  <c r="R698" i="3"/>
  <c r="AA697" i="3"/>
  <c r="AD697" i="3"/>
  <c r="AE697" i="3" s="1"/>
  <c r="AF697" i="3" s="1"/>
  <c r="J641" i="2"/>
  <c r="K641" i="2" s="1"/>
  <c r="G641" i="2"/>
  <c r="AD439" i="2"/>
  <c r="AE439" i="2" s="1"/>
  <c r="AF439" i="2" s="1"/>
  <c r="AB439" i="2"/>
  <c r="U436" i="2"/>
  <c r="V436" i="2" s="1"/>
  <c r="S436" i="2"/>
  <c r="AI698" i="3" l="1"/>
  <c r="W698" i="3"/>
  <c r="AP436" i="2"/>
  <c r="W436" i="2"/>
  <c r="L641" i="2"/>
  <c r="AK444" i="2"/>
  <c r="AJ444" i="2"/>
  <c r="AL444" i="2" s="1"/>
  <c r="AM444" i="2" s="1"/>
  <c r="AA698" i="3"/>
  <c r="AD698" i="3"/>
  <c r="AE698" i="3" s="1"/>
  <c r="AF698" i="3" s="1"/>
  <c r="R699" i="3"/>
  <c r="U699" i="3"/>
  <c r="V699" i="3" s="1"/>
  <c r="AB440" i="2"/>
  <c r="AD440" i="2"/>
  <c r="AE440" i="2" s="1"/>
  <c r="AF440" i="2" s="1"/>
  <c r="U437" i="2"/>
  <c r="V437" i="2" s="1"/>
  <c r="S437" i="2"/>
  <c r="J642" i="2"/>
  <c r="K642" i="2" s="1"/>
  <c r="G642" i="2"/>
  <c r="AI699" i="3" l="1"/>
  <c r="W699" i="3"/>
  <c r="AP437" i="2"/>
  <c r="W437" i="2"/>
  <c r="L642" i="2"/>
  <c r="AK445" i="2"/>
  <c r="AJ445" i="2"/>
  <c r="AL445" i="2" s="1"/>
  <c r="AM445" i="2" s="1"/>
  <c r="R700" i="3"/>
  <c r="U700" i="3"/>
  <c r="V700" i="3" s="1"/>
  <c r="AA699" i="3"/>
  <c r="AD699" i="3"/>
  <c r="AE699" i="3" s="1"/>
  <c r="AF699" i="3" s="1"/>
  <c r="S438" i="2"/>
  <c r="U438" i="2"/>
  <c r="V438" i="2" s="1"/>
  <c r="J643" i="2"/>
  <c r="K643" i="2" s="1"/>
  <c r="G643" i="2"/>
  <c r="AB441" i="2"/>
  <c r="AD441" i="2"/>
  <c r="AE441" i="2" s="1"/>
  <c r="AF441" i="2" s="1"/>
  <c r="AI700" i="3" l="1"/>
  <c r="W700" i="3"/>
  <c r="AP438" i="2"/>
  <c r="W438" i="2"/>
  <c r="L643" i="2"/>
  <c r="AK446" i="2"/>
  <c r="AJ446" i="2"/>
  <c r="AL446" i="2" s="1"/>
  <c r="AM446" i="2" s="1"/>
  <c r="AD700" i="3"/>
  <c r="AE700" i="3" s="1"/>
  <c r="AF700" i="3" s="1"/>
  <c r="AA700" i="3"/>
  <c r="R701" i="3"/>
  <c r="U701" i="3"/>
  <c r="V701" i="3" s="1"/>
  <c r="J644" i="2"/>
  <c r="K644" i="2" s="1"/>
  <c r="G644" i="2"/>
  <c r="AD442" i="2"/>
  <c r="AE442" i="2" s="1"/>
  <c r="AF442" i="2" s="1"/>
  <c r="AB442" i="2"/>
  <c r="S439" i="2"/>
  <c r="U439" i="2"/>
  <c r="V439" i="2" s="1"/>
  <c r="AI701" i="3" l="1"/>
  <c r="W701" i="3"/>
  <c r="AP439" i="2"/>
  <c r="W439" i="2"/>
  <c r="L644" i="2"/>
  <c r="AK447" i="2"/>
  <c r="AJ447" i="2"/>
  <c r="AL447" i="2" s="1"/>
  <c r="AM447" i="2" s="1"/>
  <c r="U702" i="3"/>
  <c r="V702" i="3" s="1"/>
  <c r="R702" i="3"/>
  <c r="AD701" i="3"/>
  <c r="AE701" i="3" s="1"/>
  <c r="AF701" i="3" s="1"/>
  <c r="AA701" i="3"/>
  <c r="AD443" i="2"/>
  <c r="AE443" i="2" s="1"/>
  <c r="AF443" i="2" s="1"/>
  <c r="AB443" i="2"/>
  <c r="J645" i="2"/>
  <c r="K645" i="2" s="1"/>
  <c r="G645" i="2"/>
  <c r="U440" i="2"/>
  <c r="V440" i="2" s="1"/>
  <c r="S440" i="2"/>
  <c r="AI702" i="3" l="1"/>
  <c r="W702" i="3"/>
  <c r="AP440" i="2"/>
  <c r="W440" i="2"/>
  <c r="L645" i="2"/>
  <c r="AK448" i="2"/>
  <c r="AJ448" i="2"/>
  <c r="AL448" i="2" s="1"/>
  <c r="AM448" i="2" s="1"/>
  <c r="AA702" i="3"/>
  <c r="AD702" i="3"/>
  <c r="AE702" i="3" s="1"/>
  <c r="AF702" i="3" s="1"/>
  <c r="R703" i="3"/>
  <c r="U703" i="3"/>
  <c r="V703" i="3" s="1"/>
  <c r="J646" i="2"/>
  <c r="K646" i="2" s="1"/>
  <c r="G646" i="2"/>
  <c r="U441" i="2"/>
  <c r="V441" i="2" s="1"/>
  <c r="S441" i="2"/>
  <c r="AB444" i="2"/>
  <c r="AD444" i="2"/>
  <c r="AE444" i="2" s="1"/>
  <c r="AF444" i="2" s="1"/>
  <c r="AI703" i="3" l="1"/>
  <c r="W703" i="3"/>
  <c r="AP441" i="2"/>
  <c r="W441" i="2"/>
  <c r="L646" i="2"/>
  <c r="AK449" i="2"/>
  <c r="AJ449" i="2"/>
  <c r="AL449" i="2" s="1"/>
  <c r="AM449" i="2" s="1"/>
  <c r="R704" i="3"/>
  <c r="U704" i="3"/>
  <c r="V704" i="3" s="1"/>
  <c r="AA703" i="3"/>
  <c r="AD703" i="3"/>
  <c r="AE703" i="3" s="1"/>
  <c r="AF703" i="3" s="1"/>
  <c r="S442" i="2"/>
  <c r="U442" i="2"/>
  <c r="V442" i="2" s="1"/>
  <c r="G647" i="2"/>
  <c r="J647" i="2"/>
  <c r="K647" i="2" s="1"/>
  <c r="AB445" i="2"/>
  <c r="AD445" i="2"/>
  <c r="AE445" i="2" s="1"/>
  <c r="AF445" i="2" s="1"/>
  <c r="AI704" i="3" l="1"/>
  <c r="W704" i="3"/>
  <c r="W442" i="2"/>
  <c r="AP442" i="2"/>
  <c r="L647" i="2"/>
  <c r="AK450" i="2"/>
  <c r="AJ450" i="2"/>
  <c r="AL450" i="2" s="1"/>
  <c r="AM450" i="2" s="1"/>
  <c r="R705" i="3"/>
  <c r="U705" i="3"/>
  <c r="V705" i="3" s="1"/>
  <c r="AD704" i="3"/>
  <c r="AE704" i="3" s="1"/>
  <c r="AF704" i="3" s="1"/>
  <c r="AA704" i="3"/>
  <c r="G648" i="2"/>
  <c r="J648" i="2"/>
  <c r="K648" i="2" s="1"/>
  <c r="AD446" i="2"/>
  <c r="AE446" i="2" s="1"/>
  <c r="AF446" i="2" s="1"/>
  <c r="AB446" i="2"/>
  <c r="S443" i="2"/>
  <c r="U443" i="2"/>
  <c r="V443" i="2" s="1"/>
  <c r="AI705" i="3" l="1"/>
  <c r="W705" i="3"/>
  <c r="AP443" i="2"/>
  <c r="W443" i="2"/>
  <c r="L648" i="2"/>
  <c r="AK451" i="2"/>
  <c r="AJ451" i="2"/>
  <c r="AL451" i="2" s="1"/>
  <c r="AM451" i="2" s="1"/>
  <c r="AA705" i="3"/>
  <c r="AD705" i="3"/>
  <c r="AE705" i="3" s="1"/>
  <c r="AF705" i="3" s="1"/>
  <c r="U706" i="3"/>
  <c r="V706" i="3" s="1"/>
  <c r="R706" i="3"/>
  <c r="AD447" i="2"/>
  <c r="AE447" i="2" s="1"/>
  <c r="AF447" i="2" s="1"/>
  <c r="AB447" i="2"/>
  <c r="U444" i="2"/>
  <c r="V444" i="2" s="1"/>
  <c r="S444" i="2"/>
  <c r="G649" i="2"/>
  <c r="J649" i="2"/>
  <c r="K649" i="2" s="1"/>
  <c r="AI706" i="3" l="1"/>
  <c r="W706" i="3"/>
  <c r="W444" i="2"/>
  <c r="AP444" i="2"/>
  <c r="L649" i="2"/>
  <c r="AK452" i="2"/>
  <c r="AJ452" i="2"/>
  <c r="AL452" i="2" s="1"/>
  <c r="AM452" i="2" s="1"/>
  <c r="R707" i="3"/>
  <c r="U707" i="3"/>
  <c r="V707" i="3" s="1"/>
  <c r="AA706" i="3"/>
  <c r="AD706" i="3"/>
  <c r="AE706" i="3" s="1"/>
  <c r="AF706" i="3" s="1"/>
  <c r="U445" i="2"/>
  <c r="V445" i="2" s="1"/>
  <c r="S445" i="2"/>
  <c r="AB448" i="2"/>
  <c r="AD448" i="2"/>
  <c r="AE448" i="2" s="1"/>
  <c r="AF448" i="2" s="1"/>
  <c r="G650" i="2"/>
  <c r="J650" i="2"/>
  <c r="K650" i="2" s="1"/>
  <c r="AI707" i="3" l="1"/>
  <c r="W707" i="3"/>
  <c r="W445" i="2"/>
  <c r="AP445" i="2"/>
  <c r="L650" i="2"/>
  <c r="AK453" i="2"/>
  <c r="AJ453" i="2"/>
  <c r="AL453" i="2" s="1"/>
  <c r="AM453" i="2" s="1"/>
  <c r="AA707" i="3"/>
  <c r="AD707" i="3"/>
  <c r="AE707" i="3" s="1"/>
  <c r="AF707" i="3" s="1"/>
  <c r="R708" i="3"/>
  <c r="U708" i="3"/>
  <c r="V708" i="3" s="1"/>
  <c r="AB449" i="2"/>
  <c r="AD449" i="2"/>
  <c r="AE449" i="2" s="1"/>
  <c r="AF449" i="2" s="1"/>
  <c r="S446" i="2"/>
  <c r="U446" i="2"/>
  <c r="V446" i="2" s="1"/>
  <c r="G651" i="2"/>
  <c r="J651" i="2"/>
  <c r="K651" i="2" s="1"/>
  <c r="AI708" i="3" l="1"/>
  <c r="W708" i="3"/>
  <c r="AP446" i="2"/>
  <c r="W446" i="2"/>
  <c r="L651" i="2"/>
  <c r="AK454" i="2"/>
  <c r="AJ454" i="2"/>
  <c r="AL454" i="2" s="1"/>
  <c r="AM454" i="2" s="1"/>
  <c r="R709" i="3"/>
  <c r="U709" i="3"/>
  <c r="V709" i="3" s="1"/>
  <c r="AD708" i="3"/>
  <c r="AE708" i="3" s="1"/>
  <c r="AF708" i="3" s="1"/>
  <c r="AA708" i="3"/>
  <c r="S447" i="2"/>
  <c r="U447" i="2"/>
  <c r="V447" i="2" s="1"/>
  <c r="G652" i="2"/>
  <c r="J652" i="2"/>
  <c r="K652" i="2" s="1"/>
  <c r="AD450" i="2"/>
  <c r="AE450" i="2" s="1"/>
  <c r="AF450" i="2" s="1"/>
  <c r="AB450" i="2"/>
  <c r="AI709" i="3" l="1"/>
  <c r="W709" i="3"/>
  <c r="AP447" i="2"/>
  <c r="W447" i="2"/>
  <c r="L652" i="2"/>
  <c r="AK455" i="2"/>
  <c r="AJ455" i="2"/>
  <c r="AL455" i="2" s="1"/>
  <c r="AM455" i="2" s="1"/>
  <c r="AD709" i="3"/>
  <c r="AE709" i="3" s="1"/>
  <c r="AF709" i="3" s="1"/>
  <c r="AA709" i="3"/>
  <c r="U710" i="3"/>
  <c r="V710" i="3" s="1"/>
  <c r="R710" i="3"/>
  <c r="AD451" i="2"/>
  <c r="AE451" i="2" s="1"/>
  <c r="AF451" i="2" s="1"/>
  <c r="AB451" i="2"/>
  <c r="G653" i="2"/>
  <c r="J653" i="2"/>
  <c r="K653" i="2" s="1"/>
  <c r="U448" i="2"/>
  <c r="V448" i="2" s="1"/>
  <c r="S448" i="2"/>
  <c r="AI710" i="3" l="1"/>
  <c r="W710" i="3"/>
  <c r="AP448" i="2"/>
  <c r="W448" i="2"/>
  <c r="L653" i="2"/>
  <c r="AK456" i="2"/>
  <c r="AJ456" i="2"/>
  <c r="AL456" i="2" s="1"/>
  <c r="AM456" i="2" s="1"/>
  <c r="R711" i="3"/>
  <c r="U711" i="3"/>
  <c r="V711" i="3" s="1"/>
  <c r="AA710" i="3"/>
  <c r="AD710" i="3"/>
  <c r="AE710" i="3" s="1"/>
  <c r="AF710" i="3" s="1"/>
  <c r="U449" i="2"/>
  <c r="V449" i="2" s="1"/>
  <c r="S449" i="2"/>
  <c r="G654" i="2"/>
  <c r="J654" i="2"/>
  <c r="K654" i="2" s="1"/>
  <c r="AB452" i="2"/>
  <c r="AD452" i="2"/>
  <c r="AE452" i="2" s="1"/>
  <c r="AF452" i="2" s="1"/>
  <c r="AI711" i="3" l="1"/>
  <c r="W711" i="3"/>
  <c r="AP449" i="2"/>
  <c r="W449" i="2"/>
  <c r="L654" i="2"/>
  <c r="AK457" i="2"/>
  <c r="AJ457" i="2"/>
  <c r="AL457" i="2" s="1"/>
  <c r="AM457" i="2" s="1"/>
  <c r="AA711" i="3"/>
  <c r="AD711" i="3"/>
  <c r="AE711" i="3" s="1"/>
  <c r="AF711" i="3" s="1"/>
  <c r="R712" i="3"/>
  <c r="U712" i="3"/>
  <c r="V712" i="3" s="1"/>
  <c r="G655" i="2"/>
  <c r="J655" i="2"/>
  <c r="K655" i="2" s="1"/>
  <c r="S450" i="2"/>
  <c r="U450" i="2"/>
  <c r="V450" i="2" s="1"/>
  <c r="AB453" i="2"/>
  <c r="AD453" i="2"/>
  <c r="AE453" i="2" s="1"/>
  <c r="AF453" i="2" s="1"/>
  <c r="AI712" i="3" l="1"/>
  <c r="W712" i="3"/>
  <c r="AP450" i="2"/>
  <c r="W450" i="2"/>
  <c r="L655" i="2"/>
  <c r="AK458" i="2"/>
  <c r="AJ458" i="2"/>
  <c r="AL458" i="2" s="1"/>
  <c r="AM458" i="2" s="1"/>
  <c r="R713" i="3"/>
  <c r="U713" i="3"/>
  <c r="V713" i="3" s="1"/>
  <c r="AD712" i="3"/>
  <c r="AE712" i="3" s="1"/>
  <c r="AF712" i="3" s="1"/>
  <c r="AA712" i="3"/>
  <c r="AD454" i="2"/>
  <c r="AE454" i="2" s="1"/>
  <c r="AF454" i="2" s="1"/>
  <c r="AB454" i="2"/>
  <c r="G656" i="2"/>
  <c r="J656" i="2"/>
  <c r="K656" i="2" s="1"/>
  <c r="S451" i="2"/>
  <c r="U451" i="2"/>
  <c r="V451" i="2" s="1"/>
  <c r="AI713" i="3" l="1"/>
  <c r="W713" i="3"/>
  <c r="AP451" i="2"/>
  <c r="W451" i="2"/>
  <c r="L656" i="2"/>
  <c r="AK459" i="2"/>
  <c r="AJ459" i="2"/>
  <c r="AL459" i="2" s="1"/>
  <c r="AM459" i="2" s="1"/>
  <c r="AA713" i="3"/>
  <c r="AD713" i="3"/>
  <c r="AE713" i="3" s="1"/>
  <c r="AF713" i="3" s="1"/>
  <c r="U714" i="3"/>
  <c r="V714" i="3" s="1"/>
  <c r="R714" i="3"/>
  <c r="AD455" i="2"/>
  <c r="AE455" i="2" s="1"/>
  <c r="AF455" i="2" s="1"/>
  <c r="AB455" i="2"/>
  <c r="U452" i="2"/>
  <c r="V452" i="2" s="1"/>
  <c r="S452" i="2"/>
  <c r="G657" i="2"/>
  <c r="J657" i="2"/>
  <c r="K657" i="2" s="1"/>
  <c r="AI714" i="3" l="1"/>
  <c r="W714" i="3"/>
  <c r="AP452" i="2"/>
  <c r="W452" i="2"/>
  <c r="L657" i="2"/>
  <c r="AK460" i="2"/>
  <c r="AJ460" i="2"/>
  <c r="AL460" i="2" s="1"/>
  <c r="AM460" i="2" s="1"/>
  <c r="R715" i="3"/>
  <c r="U715" i="3"/>
  <c r="V715" i="3" s="1"/>
  <c r="AA714" i="3"/>
  <c r="AD714" i="3"/>
  <c r="AE714" i="3" s="1"/>
  <c r="AF714" i="3" s="1"/>
  <c r="G658" i="2"/>
  <c r="J658" i="2"/>
  <c r="K658" i="2" s="1"/>
  <c r="U453" i="2"/>
  <c r="V453" i="2" s="1"/>
  <c r="S453" i="2"/>
  <c r="AB456" i="2"/>
  <c r="AD456" i="2"/>
  <c r="AE456" i="2" s="1"/>
  <c r="AF456" i="2" s="1"/>
  <c r="AI715" i="3" l="1"/>
  <c r="W715" i="3"/>
  <c r="AP453" i="2"/>
  <c r="W453" i="2"/>
  <c r="L658" i="2"/>
  <c r="AK461" i="2"/>
  <c r="AJ461" i="2"/>
  <c r="AL461" i="2" s="1"/>
  <c r="AM461" i="2" s="1"/>
  <c r="AA715" i="3"/>
  <c r="AD715" i="3"/>
  <c r="AE715" i="3" s="1"/>
  <c r="AF715" i="3" s="1"/>
  <c r="R716" i="3"/>
  <c r="U716" i="3"/>
  <c r="V716" i="3" s="1"/>
  <c r="S454" i="2"/>
  <c r="U454" i="2"/>
  <c r="V454" i="2" s="1"/>
  <c r="AB457" i="2"/>
  <c r="AD457" i="2"/>
  <c r="AE457" i="2" s="1"/>
  <c r="AF457" i="2" s="1"/>
  <c r="G659" i="2"/>
  <c r="J659" i="2"/>
  <c r="K659" i="2" s="1"/>
  <c r="AI716" i="3" l="1"/>
  <c r="W716" i="3"/>
  <c r="AP454" i="2"/>
  <c r="W454" i="2"/>
  <c r="L659" i="2"/>
  <c r="AK462" i="2"/>
  <c r="AJ462" i="2"/>
  <c r="AL462" i="2" s="1"/>
  <c r="AM462" i="2" s="1"/>
  <c r="AD716" i="3"/>
  <c r="AE716" i="3" s="1"/>
  <c r="AF716" i="3" s="1"/>
  <c r="AA716" i="3"/>
  <c r="R717" i="3"/>
  <c r="U717" i="3"/>
  <c r="V717" i="3" s="1"/>
  <c r="AD458" i="2"/>
  <c r="AE458" i="2" s="1"/>
  <c r="AF458" i="2" s="1"/>
  <c r="AB458" i="2"/>
  <c r="G660" i="2"/>
  <c r="J660" i="2"/>
  <c r="K660" i="2" s="1"/>
  <c r="S455" i="2"/>
  <c r="U455" i="2"/>
  <c r="V455" i="2" s="1"/>
  <c r="AI717" i="3" l="1"/>
  <c r="W717" i="3"/>
  <c r="AP455" i="2"/>
  <c r="W455" i="2"/>
  <c r="L660" i="2"/>
  <c r="AK463" i="2"/>
  <c r="AJ463" i="2"/>
  <c r="AL463" i="2" s="1"/>
  <c r="AM463" i="2" s="1"/>
  <c r="U718" i="3"/>
  <c r="V718" i="3" s="1"/>
  <c r="R718" i="3"/>
  <c r="AD717" i="3"/>
  <c r="AE717" i="3" s="1"/>
  <c r="AF717" i="3" s="1"/>
  <c r="AA717" i="3"/>
  <c r="U456" i="2"/>
  <c r="V456" i="2" s="1"/>
  <c r="S456" i="2"/>
  <c r="G661" i="2"/>
  <c r="J661" i="2"/>
  <c r="K661" i="2" s="1"/>
  <c r="AD459" i="2"/>
  <c r="AE459" i="2" s="1"/>
  <c r="AF459" i="2" s="1"/>
  <c r="AB459" i="2"/>
  <c r="AI718" i="3" l="1"/>
  <c r="W718" i="3"/>
  <c r="AP456" i="2"/>
  <c r="W456" i="2"/>
  <c r="L661" i="2"/>
  <c r="AK464" i="2"/>
  <c r="AJ464" i="2"/>
  <c r="AL464" i="2" s="1"/>
  <c r="AM464" i="2" s="1"/>
  <c r="AA718" i="3"/>
  <c r="AD718" i="3"/>
  <c r="AE718" i="3" s="1"/>
  <c r="AF718" i="3" s="1"/>
  <c r="R719" i="3"/>
  <c r="U719" i="3"/>
  <c r="V719" i="3" s="1"/>
  <c r="AB460" i="2"/>
  <c r="AD460" i="2"/>
  <c r="AE460" i="2" s="1"/>
  <c r="AF460" i="2" s="1"/>
  <c r="U457" i="2"/>
  <c r="V457" i="2" s="1"/>
  <c r="S457" i="2"/>
  <c r="G662" i="2"/>
  <c r="J662" i="2"/>
  <c r="K662" i="2" s="1"/>
  <c r="AI719" i="3" l="1"/>
  <c r="W719" i="3"/>
  <c r="AP457" i="2"/>
  <c r="W457" i="2"/>
  <c r="L662" i="2"/>
  <c r="AK465" i="2"/>
  <c r="AJ465" i="2"/>
  <c r="AL465" i="2" s="1"/>
  <c r="AM465" i="2" s="1"/>
  <c r="AA719" i="3"/>
  <c r="AD719" i="3"/>
  <c r="AE719" i="3" s="1"/>
  <c r="AF719" i="3" s="1"/>
  <c r="R720" i="3"/>
  <c r="U720" i="3"/>
  <c r="V720" i="3" s="1"/>
  <c r="G663" i="2"/>
  <c r="J663" i="2"/>
  <c r="K663" i="2" s="1"/>
  <c r="AB461" i="2"/>
  <c r="AD461" i="2"/>
  <c r="AE461" i="2" s="1"/>
  <c r="AF461" i="2" s="1"/>
  <c r="S458" i="2"/>
  <c r="U458" i="2"/>
  <c r="V458" i="2" s="1"/>
  <c r="AI720" i="3" l="1"/>
  <c r="W720" i="3"/>
  <c r="W458" i="2"/>
  <c r="AP458" i="2"/>
  <c r="L663" i="2"/>
  <c r="AK466" i="2"/>
  <c r="AJ466" i="2"/>
  <c r="AL466" i="2" s="1"/>
  <c r="AM466" i="2" s="1"/>
  <c r="R721" i="3"/>
  <c r="U721" i="3"/>
  <c r="V721" i="3" s="1"/>
  <c r="AD720" i="3"/>
  <c r="AE720" i="3" s="1"/>
  <c r="AF720" i="3" s="1"/>
  <c r="AA720" i="3"/>
  <c r="AD462" i="2"/>
  <c r="AE462" i="2" s="1"/>
  <c r="AF462" i="2" s="1"/>
  <c r="AB462" i="2"/>
  <c r="S459" i="2"/>
  <c r="U459" i="2"/>
  <c r="V459" i="2" s="1"/>
  <c r="G664" i="2"/>
  <c r="J664" i="2"/>
  <c r="K664" i="2" s="1"/>
  <c r="AI721" i="3" l="1"/>
  <c r="W721" i="3"/>
  <c r="AP459" i="2"/>
  <c r="W459" i="2"/>
  <c r="L664" i="2"/>
  <c r="AK467" i="2"/>
  <c r="AJ467" i="2"/>
  <c r="AL467" i="2" s="1"/>
  <c r="AM467" i="2" s="1"/>
  <c r="AA721" i="3"/>
  <c r="AD721" i="3"/>
  <c r="AE721" i="3" s="1"/>
  <c r="AF721" i="3" s="1"/>
  <c r="U722" i="3"/>
  <c r="V722" i="3" s="1"/>
  <c r="R722" i="3"/>
  <c r="U460" i="2"/>
  <c r="V460" i="2" s="1"/>
  <c r="S460" i="2"/>
  <c r="AD463" i="2"/>
  <c r="AE463" i="2" s="1"/>
  <c r="AF463" i="2" s="1"/>
  <c r="AB463" i="2"/>
  <c r="G665" i="2"/>
  <c r="J665" i="2"/>
  <c r="K665" i="2" s="1"/>
  <c r="AI722" i="3" l="1"/>
  <c r="W722" i="3"/>
  <c r="W460" i="2"/>
  <c r="AP460" i="2"/>
  <c r="L665" i="2"/>
  <c r="AK468" i="2"/>
  <c r="AJ468" i="2"/>
  <c r="AL468" i="2" s="1"/>
  <c r="AM468" i="2" s="1"/>
  <c r="R723" i="3"/>
  <c r="U723" i="3"/>
  <c r="V723" i="3" s="1"/>
  <c r="AA722" i="3"/>
  <c r="AD722" i="3"/>
  <c r="AE722" i="3" s="1"/>
  <c r="AF722" i="3" s="1"/>
  <c r="AB464" i="2"/>
  <c r="AD464" i="2"/>
  <c r="AE464" i="2" s="1"/>
  <c r="AF464" i="2" s="1"/>
  <c r="U461" i="2"/>
  <c r="V461" i="2" s="1"/>
  <c r="S461" i="2"/>
  <c r="G666" i="2"/>
  <c r="J666" i="2"/>
  <c r="K666" i="2" s="1"/>
  <c r="AI723" i="3" l="1"/>
  <c r="W723" i="3"/>
  <c r="W461" i="2"/>
  <c r="AP461" i="2"/>
  <c r="L666" i="2"/>
  <c r="AK469" i="2"/>
  <c r="AJ469" i="2"/>
  <c r="AL469" i="2" s="1"/>
  <c r="AM469" i="2" s="1"/>
  <c r="AA723" i="3"/>
  <c r="AD723" i="3"/>
  <c r="AE723" i="3" s="1"/>
  <c r="AF723" i="3" s="1"/>
  <c r="U724" i="3"/>
  <c r="V724" i="3" s="1"/>
  <c r="R724" i="3"/>
  <c r="G667" i="2"/>
  <c r="J667" i="2"/>
  <c r="K667" i="2" s="1"/>
  <c r="AB465" i="2"/>
  <c r="AD465" i="2"/>
  <c r="AE465" i="2" s="1"/>
  <c r="AF465" i="2" s="1"/>
  <c r="S462" i="2"/>
  <c r="U462" i="2"/>
  <c r="V462" i="2" s="1"/>
  <c r="AI724" i="3" l="1"/>
  <c r="W724" i="3"/>
  <c r="AP462" i="2"/>
  <c r="W462" i="2"/>
  <c r="L667" i="2"/>
  <c r="AK470" i="2"/>
  <c r="AJ470" i="2"/>
  <c r="AL470" i="2" s="1"/>
  <c r="AM470" i="2" s="1"/>
  <c r="R725" i="3"/>
  <c r="U725" i="3"/>
  <c r="V725" i="3" s="1"/>
  <c r="AA724" i="3"/>
  <c r="AD724" i="3"/>
  <c r="AE724" i="3" s="1"/>
  <c r="AF724" i="3" s="1"/>
  <c r="S463" i="2"/>
  <c r="U463" i="2"/>
  <c r="V463" i="2" s="1"/>
  <c r="G668" i="2"/>
  <c r="J668" i="2"/>
  <c r="K668" i="2" s="1"/>
  <c r="AD466" i="2"/>
  <c r="AE466" i="2" s="1"/>
  <c r="AF466" i="2" s="1"/>
  <c r="AB466" i="2"/>
  <c r="AI725" i="3" l="1"/>
  <c r="W725" i="3"/>
  <c r="AP463" i="2"/>
  <c r="W463" i="2"/>
  <c r="L668" i="2"/>
  <c r="AK471" i="2"/>
  <c r="AJ471" i="2"/>
  <c r="AL471" i="2" s="1"/>
  <c r="AM471" i="2" s="1"/>
  <c r="AA725" i="3"/>
  <c r="AD725" i="3"/>
  <c r="AE725" i="3" s="1"/>
  <c r="AF725" i="3" s="1"/>
  <c r="R726" i="3"/>
  <c r="U726" i="3"/>
  <c r="V726" i="3" s="1"/>
  <c r="AD467" i="2"/>
  <c r="AE467" i="2" s="1"/>
  <c r="AF467" i="2" s="1"/>
  <c r="AB467" i="2"/>
  <c r="G669" i="2"/>
  <c r="J669" i="2"/>
  <c r="K669" i="2" s="1"/>
  <c r="U464" i="2"/>
  <c r="V464" i="2" s="1"/>
  <c r="S464" i="2"/>
  <c r="AI726" i="3" l="1"/>
  <c r="W726" i="3"/>
  <c r="W464" i="2"/>
  <c r="AP464" i="2"/>
  <c r="L669" i="2"/>
  <c r="AK472" i="2"/>
  <c r="AJ472" i="2"/>
  <c r="AL472" i="2" s="1"/>
  <c r="AM472" i="2" s="1"/>
  <c r="AD726" i="3"/>
  <c r="AE726" i="3" s="1"/>
  <c r="AF726" i="3" s="1"/>
  <c r="AA726" i="3"/>
  <c r="R727" i="3"/>
  <c r="U727" i="3"/>
  <c r="V727" i="3" s="1"/>
  <c r="AB468" i="2"/>
  <c r="AD468" i="2"/>
  <c r="AE468" i="2" s="1"/>
  <c r="AF468" i="2" s="1"/>
  <c r="U465" i="2"/>
  <c r="V465" i="2" s="1"/>
  <c r="S465" i="2"/>
  <c r="G670" i="2"/>
  <c r="J670" i="2"/>
  <c r="K670" i="2" s="1"/>
  <c r="AI727" i="3" l="1"/>
  <c r="W727" i="3"/>
  <c r="AP465" i="2"/>
  <c r="W465" i="2"/>
  <c r="L670" i="2"/>
  <c r="AK473" i="2"/>
  <c r="AJ473" i="2"/>
  <c r="AL473" i="2" s="1"/>
  <c r="AM473" i="2" s="1"/>
  <c r="U728" i="3"/>
  <c r="V728" i="3" s="1"/>
  <c r="R728" i="3"/>
  <c r="AA727" i="3"/>
  <c r="AD727" i="3"/>
  <c r="AE727" i="3" s="1"/>
  <c r="AF727" i="3" s="1"/>
  <c r="G671" i="2"/>
  <c r="J671" i="2"/>
  <c r="K671" i="2" s="1"/>
  <c r="AB469" i="2"/>
  <c r="AD469" i="2"/>
  <c r="AE469" i="2" s="1"/>
  <c r="AF469" i="2" s="1"/>
  <c r="S466" i="2"/>
  <c r="U466" i="2"/>
  <c r="V466" i="2" s="1"/>
  <c r="AI728" i="3" l="1"/>
  <c r="W728" i="3"/>
  <c r="AP466" i="2"/>
  <c r="W466" i="2"/>
  <c r="L671" i="2"/>
  <c r="AK474" i="2"/>
  <c r="AJ474" i="2"/>
  <c r="AL474" i="2" s="1"/>
  <c r="AM474" i="2" s="1"/>
  <c r="AA728" i="3"/>
  <c r="AD728" i="3"/>
  <c r="AE728" i="3" s="1"/>
  <c r="AF728" i="3" s="1"/>
  <c r="R729" i="3"/>
  <c r="U729" i="3"/>
  <c r="V729" i="3" s="1"/>
  <c r="S467" i="2"/>
  <c r="U467" i="2"/>
  <c r="V467" i="2" s="1"/>
  <c r="AD470" i="2"/>
  <c r="AE470" i="2" s="1"/>
  <c r="AF470" i="2" s="1"/>
  <c r="AB470" i="2"/>
  <c r="G672" i="2"/>
  <c r="J672" i="2"/>
  <c r="K672" i="2" s="1"/>
  <c r="AI729" i="3" l="1"/>
  <c r="W729" i="3"/>
  <c r="AP467" i="2"/>
  <c r="W467" i="2"/>
  <c r="L672" i="2"/>
  <c r="AK475" i="2"/>
  <c r="AJ475" i="2"/>
  <c r="AL475" i="2" s="1"/>
  <c r="AM475" i="2" s="1"/>
  <c r="R730" i="3"/>
  <c r="U730" i="3"/>
  <c r="V730" i="3" s="1"/>
  <c r="AA729" i="3"/>
  <c r="AD729" i="3"/>
  <c r="AE729" i="3" s="1"/>
  <c r="AF729" i="3" s="1"/>
  <c r="J673" i="2"/>
  <c r="K673" i="2" s="1"/>
  <c r="G673" i="2"/>
  <c r="U468" i="2"/>
  <c r="V468" i="2" s="1"/>
  <c r="S468" i="2"/>
  <c r="AD471" i="2"/>
  <c r="AE471" i="2" s="1"/>
  <c r="AF471" i="2" s="1"/>
  <c r="AB471" i="2"/>
  <c r="AI730" i="3" l="1"/>
  <c r="W730" i="3"/>
  <c r="AP468" i="2"/>
  <c r="W468" i="2"/>
  <c r="L673" i="2"/>
  <c r="AK476" i="2"/>
  <c r="AJ476" i="2"/>
  <c r="AL476" i="2" s="1"/>
  <c r="AM476" i="2" s="1"/>
  <c r="AD730" i="3"/>
  <c r="AE730" i="3" s="1"/>
  <c r="AF730" i="3" s="1"/>
  <c r="AA730" i="3"/>
  <c r="R731" i="3"/>
  <c r="U731" i="3"/>
  <c r="V731" i="3" s="1"/>
  <c r="U469" i="2"/>
  <c r="V469" i="2" s="1"/>
  <c r="S469" i="2"/>
  <c r="AB472" i="2"/>
  <c r="AD472" i="2"/>
  <c r="AE472" i="2" s="1"/>
  <c r="AF472" i="2" s="1"/>
  <c r="J674" i="2"/>
  <c r="K674" i="2" s="1"/>
  <c r="G674" i="2"/>
  <c r="AI731" i="3" l="1"/>
  <c r="W731" i="3"/>
  <c r="AP469" i="2"/>
  <c r="W469" i="2"/>
  <c r="L674" i="2"/>
  <c r="AK477" i="2"/>
  <c r="AJ477" i="2"/>
  <c r="AL477" i="2" s="1"/>
  <c r="AM477" i="2" s="1"/>
  <c r="U732" i="3"/>
  <c r="V732" i="3" s="1"/>
  <c r="R732" i="3"/>
  <c r="AA731" i="3"/>
  <c r="AD731" i="3"/>
  <c r="AE731" i="3" s="1"/>
  <c r="AF731" i="3" s="1"/>
  <c r="S470" i="2"/>
  <c r="U470" i="2"/>
  <c r="V470" i="2" s="1"/>
  <c r="AB473" i="2"/>
  <c r="AD473" i="2"/>
  <c r="AE473" i="2" s="1"/>
  <c r="AF473" i="2" s="1"/>
  <c r="J675" i="2"/>
  <c r="K675" i="2" s="1"/>
  <c r="G675" i="2"/>
  <c r="AI732" i="3" l="1"/>
  <c r="W732" i="3"/>
  <c r="AP470" i="2"/>
  <c r="W470" i="2"/>
  <c r="L675" i="2"/>
  <c r="AK478" i="2"/>
  <c r="AJ478" i="2"/>
  <c r="AL478" i="2" s="1"/>
  <c r="AM478" i="2" s="1"/>
  <c r="AA732" i="3"/>
  <c r="AD732" i="3"/>
  <c r="AE732" i="3" s="1"/>
  <c r="AF732" i="3" s="1"/>
  <c r="R733" i="3"/>
  <c r="U733" i="3"/>
  <c r="V733" i="3" s="1"/>
  <c r="J676" i="2"/>
  <c r="K676" i="2" s="1"/>
  <c r="G676" i="2"/>
  <c r="S471" i="2"/>
  <c r="U471" i="2"/>
  <c r="V471" i="2" s="1"/>
  <c r="AD474" i="2"/>
  <c r="AE474" i="2" s="1"/>
  <c r="AF474" i="2" s="1"/>
  <c r="AB474" i="2"/>
  <c r="AI733" i="3" l="1"/>
  <c r="W733" i="3"/>
  <c r="AP471" i="2"/>
  <c r="W471" i="2"/>
  <c r="L676" i="2"/>
  <c r="AK479" i="2"/>
  <c r="AJ479" i="2"/>
  <c r="AL479" i="2" s="1"/>
  <c r="AM479" i="2" s="1"/>
  <c r="R734" i="3"/>
  <c r="U734" i="3"/>
  <c r="V734" i="3" s="1"/>
  <c r="AA733" i="3"/>
  <c r="AD733" i="3"/>
  <c r="AE733" i="3" s="1"/>
  <c r="AF733" i="3" s="1"/>
  <c r="AD475" i="2"/>
  <c r="AE475" i="2" s="1"/>
  <c r="AF475" i="2" s="1"/>
  <c r="AB475" i="2"/>
  <c r="J677" i="2"/>
  <c r="K677" i="2" s="1"/>
  <c r="G677" i="2"/>
  <c r="U472" i="2"/>
  <c r="V472" i="2" s="1"/>
  <c r="S472" i="2"/>
  <c r="AI734" i="3" l="1"/>
  <c r="W734" i="3"/>
  <c r="AP472" i="2"/>
  <c r="W472" i="2"/>
  <c r="L677" i="2"/>
  <c r="AK480" i="2"/>
  <c r="AJ480" i="2"/>
  <c r="AL480" i="2" s="1"/>
  <c r="AM480" i="2" s="1"/>
  <c r="AD734" i="3"/>
  <c r="AE734" i="3" s="1"/>
  <c r="AF734" i="3" s="1"/>
  <c r="AA734" i="3"/>
  <c r="R735" i="3"/>
  <c r="U735" i="3"/>
  <c r="V735" i="3" s="1"/>
  <c r="U473" i="2"/>
  <c r="V473" i="2" s="1"/>
  <c r="S473" i="2"/>
  <c r="J678" i="2"/>
  <c r="K678" i="2" s="1"/>
  <c r="G678" i="2"/>
  <c r="AB476" i="2"/>
  <c r="AD476" i="2"/>
  <c r="AE476" i="2" s="1"/>
  <c r="AF476" i="2" s="1"/>
  <c r="AI735" i="3" l="1"/>
  <c r="W735" i="3"/>
  <c r="AP473" i="2"/>
  <c r="W473" i="2"/>
  <c r="L678" i="2"/>
  <c r="AK481" i="2"/>
  <c r="AJ481" i="2"/>
  <c r="AL481" i="2" s="1"/>
  <c r="AM481" i="2" s="1"/>
  <c r="U736" i="3"/>
  <c r="V736" i="3" s="1"/>
  <c r="R736" i="3"/>
  <c r="AA735" i="3"/>
  <c r="AD735" i="3"/>
  <c r="AE735" i="3" s="1"/>
  <c r="AF735" i="3" s="1"/>
  <c r="J679" i="2"/>
  <c r="K679" i="2" s="1"/>
  <c r="G679" i="2"/>
  <c r="S474" i="2"/>
  <c r="U474" i="2"/>
  <c r="V474" i="2" s="1"/>
  <c r="AB477" i="2"/>
  <c r="AD477" i="2"/>
  <c r="AE477" i="2" s="1"/>
  <c r="AF477" i="2" s="1"/>
  <c r="AI736" i="3" l="1"/>
  <c r="W736" i="3"/>
  <c r="W474" i="2"/>
  <c r="AP474" i="2"/>
  <c r="L679" i="2"/>
  <c r="AK482" i="2"/>
  <c r="AJ482" i="2"/>
  <c r="AL482" i="2" s="1"/>
  <c r="AM482" i="2" s="1"/>
  <c r="AD736" i="3"/>
  <c r="AE736" i="3" s="1"/>
  <c r="AF736" i="3" s="1"/>
  <c r="AA736" i="3"/>
  <c r="U737" i="3"/>
  <c r="V737" i="3" s="1"/>
  <c r="R737" i="3"/>
  <c r="J680" i="2"/>
  <c r="K680" i="2" s="1"/>
  <c r="G680" i="2"/>
  <c r="AD478" i="2"/>
  <c r="AE478" i="2" s="1"/>
  <c r="AF478" i="2" s="1"/>
  <c r="AB478" i="2"/>
  <c r="S475" i="2"/>
  <c r="U475" i="2"/>
  <c r="V475" i="2" s="1"/>
  <c r="AI737" i="3" l="1"/>
  <c r="W737" i="3"/>
  <c r="W475" i="2"/>
  <c r="AP475" i="2"/>
  <c r="L680" i="2"/>
  <c r="AK483" i="2"/>
  <c r="AJ483" i="2"/>
  <c r="AL483" i="2" s="1"/>
  <c r="AM483" i="2" s="1"/>
  <c r="R738" i="3"/>
  <c r="U738" i="3"/>
  <c r="V738" i="3" s="1"/>
  <c r="AA737" i="3"/>
  <c r="AD737" i="3"/>
  <c r="AE737" i="3" s="1"/>
  <c r="AF737" i="3" s="1"/>
  <c r="U476" i="2"/>
  <c r="V476" i="2" s="1"/>
  <c r="S476" i="2"/>
  <c r="AD479" i="2"/>
  <c r="AE479" i="2" s="1"/>
  <c r="AF479" i="2" s="1"/>
  <c r="AB479" i="2"/>
  <c r="J681" i="2"/>
  <c r="K681" i="2" s="1"/>
  <c r="G681" i="2"/>
  <c r="AI738" i="3" l="1"/>
  <c r="W738" i="3"/>
  <c r="W476" i="2"/>
  <c r="AP476" i="2"/>
  <c r="L681" i="2"/>
  <c r="AK484" i="2"/>
  <c r="AJ484" i="2"/>
  <c r="AL484" i="2" s="1"/>
  <c r="AM484" i="2" s="1"/>
  <c r="AA738" i="3"/>
  <c r="AD738" i="3"/>
  <c r="AE738" i="3" s="1"/>
  <c r="AF738" i="3" s="1"/>
  <c r="R739" i="3"/>
  <c r="U739" i="3"/>
  <c r="V739" i="3" s="1"/>
  <c r="J682" i="2"/>
  <c r="K682" i="2" s="1"/>
  <c r="G682" i="2"/>
  <c r="AB480" i="2"/>
  <c r="AD480" i="2"/>
  <c r="AE480" i="2" s="1"/>
  <c r="AF480" i="2" s="1"/>
  <c r="U477" i="2"/>
  <c r="V477" i="2" s="1"/>
  <c r="S477" i="2"/>
  <c r="AI739" i="3" l="1"/>
  <c r="W739" i="3"/>
  <c r="W477" i="2"/>
  <c r="AP477" i="2"/>
  <c r="L682" i="2"/>
  <c r="AK485" i="2"/>
  <c r="AJ485" i="2"/>
  <c r="AL485" i="2" s="1"/>
  <c r="AM485" i="2" s="1"/>
  <c r="R740" i="3"/>
  <c r="U740" i="3"/>
  <c r="V740" i="3" s="1"/>
  <c r="AD739" i="3"/>
  <c r="AE739" i="3" s="1"/>
  <c r="AF739" i="3" s="1"/>
  <c r="AA739" i="3"/>
  <c r="AD481" i="2"/>
  <c r="AE481" i="2" s="1"/>
  <c r="AF481" i="2" s="1"/>
  <c r="AB481" i="2"/>
  <c r="S478" i="2"/>
  <c r="U478" i="2"/>
  <c r="V478" i="2" s="1"/>
  <c r="J683" i="2"/>
  <c r="K683" i="2" s="1"/>
  <c r="G683" i="2"/>
  <c r="AI740" i="3" l="1"/>
  <c r="W740" i="3"/>
  <c r="AP478" i="2"/>
  <c r="W478" i="2"/>
  <c r="L683" i="2"/>
  <c r="AK486" i="2"/>
  <c r="AJ486" i="2"/>
  <c r="AL486" i="2" s="1"/>
  <c r="AM486" i="2" s="1"/>
  <c r="AA740" i="3"/>
  <c r="AD740" i="3"/>
  <c r="AE740" i="3" s="1"/>
  <c r="AF740" i="3" s="1"/>
  <c r="U741" i="3"/>
  <c r="V741" i="3" s="1"/>
  <c r="R741" i="3"/>
  <c r="S479" i="2"/>
  <c r="U479" i="2"/>
  <c r="V479" i="2" s="1"/>
  <c r="J684" i="2"/>
  <c r="K684" i="2" s="1"/>
  <c r="G684" i="2"/>
  <c r="AB482" i="2"/>
  <c r="AD482" i="2"/>
  <c r="AE482" i="2" s="1"/>
  <c r="AF482" i="2" s="1"/>
  <c r="AI741" i="3" l="1"/>
  <c r="W741" i="3"/>
  <c r="W479" i="2"/>
  <c r="AP479" i="2"/>
  <c r="L684" i="2"/>
  <c r="AK487" i="2"/>
  <c r="AJ487" i="2"/>
  <c r="AL487" i="2" s="1"/>
  <c r="AM487" i="2" s="1"/>
  <c r="AA741" i="3"/>
  <c r="AD741" i="3"/>
  <c r="AE741" i="3" s="1"/>
  <c r="AF741" i="3" s="1"/>
  <c r="R742" i="3"/>
  <c r="U742" i="3"/>
  <c r="V742" i="3" s="1"/>
  <c r="J685" i="2"/>
  <c r="K685" i="2" s="1"/>
  <c r="G685" i="2"/>
  <c r="AB483" i="2"/>
  <c r="AD483" i="2"/>
  <c r="AE483" i="2" s="1"/>
  <c r="AF483" i="2" s="1"/>
  <c r="U480" i="2"/>
  <c r="V480" i="2" s="1"/>
  <c r="S480" i="2"/>
  <c r="AI742" i="3" l="1"/>
  <c r="W742" i="3"/>
  <c r="W480" i="2"/>
  <c r="AP480" i="2"/>
  <c r="L685" i="2"/>
  <c r="AK488" i="2"/>
  <c r="AJ488" i="2"/>
  <c r="AL488" i="2" s="1"/>
  <c r="AM488" i="2" s="1"/>
  <c r="R743" i="3"/>
  <c r="U743" i="3"/>
  <c r="V743" i="3" s="1"/>
  <c r="AA742" i="3"/>
  <c r="AD742" i="3"/>
  <c r="AE742" i="3" s="1"/>
  <c r="AF742" i="3" s="1"/>
  <c r="AD484" i="2"/>
  <c r="AE484" i="2" s="1"/>
  <c r="AF484" i="2" s="1"/>
  <c r="AB484" i="2"/>
  <c r="J686" i="2"/>
  <c r="K686" i="2" s="1"/>
  <c r="G686" i="2"/>
  <c r="U481" i="2"/>
  <c r="V481" i="2" s="1"/>
  <c r="S481" i="2"/>
  <c r="AI743" i="3" l="1"/>
  <c r="W743" i="3"/>
  <c r="AP481" i="2"/>
  <c r="W481" i="2"/>
  <c r="L686" i="2"/>
  <c r="AK489" i="2"/>
  <c r="AJ489" i="2"/>
  <c r="AL489" i="2" s="1"/>
  <c r="AM489" i="2" s="1"/>
  <c r="R744" i="3"/>
  <c r="U744" i="3"/>
  <c r="V744" i="3" s="1"/>
  <c r="AD743" i="3"/>
  <c r="AE743" i="3" s="1"/>
  <c r="AF743" i="3" s="1"/>
  <c r="AA743" i="3"/>
  <c r="U482" i="2"/>
  <c r="V482" i="2" s="1"/>
  <c r="S482" i="2"/>
  <c r="G687" i="2"/>
  <c r="J687" i="2"/>
  <c r="K687" i="2" s="1"/>
  <c r="AD485" i="2"/>
  <c r="AE485" i="2" s="1"/>
  <c r="AF485" i="2" s="1"/>
  <c r="AB485" i="2"/>
  <c r="AI744" i="3" l="1"/>
  <c r="W744" i="3"/>
  <c r="AP482" i="2"/>
  <c r="W482" i="2"/>
  <c r="L687" i="2"/>
  <c r="AK490" i="2"/>
  <c r="AJ490" i="2"/>
  <c r="AL490" i="2" s="1"/>
  <c r="AM490" i="2" s="1"/>
  <c r="AD744" i="3"/>
  <c r="AE744" i="3" s="1"/>
  <c r="AF744" i="3" s="1"/>
  <c r="AA744" i="3"/>
  <c r="U745" i="3"/>
  <c r="V745" i="3" s="1"/>
  <c r="R745" i="3"/>
  <c r="G688" i="2"/>
  <c r="J688" i="2"/>
  <c r="K688" i="2" s="1"/>
  <c r="AD486" i="2"/>
  <c r="AE486" i="2" s="1"/>
  <c r="AF486" i="2" s="1"/>
  <c r="AB486" i="2"/>
  <c r="U483" i="2"/>
  <c r="V483" i="2" s="1"/>
  <c r="S483" i="2"/>
  <c r="AI745" i="3" l="1"/>
  <c r="W745" i="3"/>
  <c r="AP483" i="2"/>
  <c r="W483" i="2"/>
  <c r="L688" i="2"/>
  <c r="AK491" i="2"/>
  <c r="AJ491" i="2"/>
  <c r="AL491" i="2" s="1"/>
  <c r="AM491" i="2" s="1"/>
  <c r="R746" i="3"/>
  <c r="U746" i="3"/>
  <c r="V746" i="3" s="1"/>
  <c r="AA745" i="3"/>
  <c r="AD745" i="3"/>
  <c r="AE745" i="3" s="1"/>
  <c r="AF745" i="3" s="1"/>
  <c r="G689" i="2"/>
  <c r="J689" i="2"/>
  <c r="K689" i="2" s="1"/>
  <c r="AB487" i="2"/>
  <c r="AD487" i="2"/>
  <c r="AE487" i="2" s="1"/>
  <c r="AF487" i="2" s="1"/>
  <c r="S484" i="2"/>
  <c r="U484" i="2"/>
  <c r="V484" i="2" s="1"/>
  <c r="AI746" i="3" l="1"/>
  <c r="W746" i="3"/>
  <c r="AP484" i="2"/>
  <c r="W484" i="2"/>
  <c r="L689" i="2"/>
  <c r="AK492" i="2"/>
  <c r="AJ492" i="2"/>
  <c r="AL492" i="2" s="1"/>
  <c r="AM492" i="2" s="1"/>
  <c r="AA746" i="3"/>
  <c r="AD746" i="3"/>
  <c r="AE746" i="3" s="1"/>
  <c r="AF746" i="3" s="1"/>
  <c r="R747" i="3"/>
  <c r="U747" i="3"/>
  <c r="V747" i="3" s="1"/>
  <c r="AB488" i="2"/>
  <c r="AD488" i="2"/>
  <c r="AE488" i="2" s="1"/>
  <c r="AF488" i="2" s="1"/>
  <c r="S485" i="2"/>
  <c r="U485" i="2"/>
  <c r="V485" i="2" s="1"/>
  <c r="J690" i="2"/>
  <c r="K690" i="2" s="1"/>
  <c r="G690" i="2"/>
  <c r="AI747" i="3" l="1"/>
  <c r="W747" i="3"/>
  <c r="AP485" i="2"/>
  <c r="W485" i="2"/>
  <c r="L690" i="2"/>
  <c r="AK493" i="2"/>
  <c r="AJ493" i="2"/>
  <c r="AL493" i="2" s="1"/>
  <c r="AM493" i="2" s="1"/>
  <c r="AD747" i="3"/>
  <c r="AE747" i="3" s="1"/>
  <c r="AF747" i="3" s="1"/>
  <c r="AA747" i="3"/>
  <c r="R748" i="3"/>
  <c r="U748" i="3"/>
  <c r="V748" i="3" s="1"/>
  <c r="S486" i="2"/>
  <c r="U486" i="2"/>
  <c r="V486" i="2" s="1"/>
  <c r="G691" i="2"/>
  <c r="J691" i="2"/>
  <c r="K691" i="2" s="1"/>
  <c r="AD489" i="2"/>
  <c r="AE489" i="2" s="1"/>
  <c r="AF489" i="2" s="1"/>
  <c r="AB489" i="2"/>
  <c r="AI748" i="3" l="1"/>
  <c r="W748" i="3"/>
  <c r="AP486" i="2"/>
  <c r="W486" i="2"/>
  <c r="L691" i="2"/>
  <c r="AK494" i="2"/>
  <c r="AJ494" i="2"/>
  <c r="AL494" i="2" s="1"/>
  <c r="AM494" i="2" s="1"/>
  <c r="U749" i="3"/>
  <c r="V749" i="3" s="1"/>
  <c r="R749" i="3"/>
  <c r="AA748" i="3"/>
  <c r="AD748" i="3"/>
  <c r="AE748" i="3" s="1"/>
  <c r="AF748" i="3" s="1"/>
  <c r="AD490" i="2"/>
  <c r="AE490" i="2" s="1"/>
  <c r="AF490" i="2" s="1"/>
  <c r="AB490" i="2"/>
  <c r="G692" i="2"/>
  <c r="J692" i="2"/>
  <c r="K692" i="2" s="1"/>
  <c r="U487" i="2"/>
  <c r="V487" i="2" s="1"/>
  <c r="S487" i="2"/>
  <c r="AI749" i="3" l="1"/>
  <c r="W749" i="3"/>
  <c r="W487" i="2"/>
  <c r="AP487" i="2"/>
  <c r="L692" i="2"/>
  <c r="AK495" i="2"/>
  <c r="AJ495" i="2"/>
  <c r="AL495" i="2" s="1"/>
  <c r="AM495" i="2" s="1"/>
  <c r="AA749" i="3"/>
  <c r="AD749" i="3"/>
  <c r="AE749" i="3" s="1"/>
  <c r="AF749" i="3" s="1"/>
  <c r="R750" i="3"/>
  <c r="U750" i="3"/>
  <c r="V750" i="3" s="1"/>
  <c r="U488" i="2"/>
  <c r="V488" i="2" s="1"/>
  <c r="S488" i="2"/>
  <c r="G693" i="2"/>
  <c r="J693" i="2"/>
  <c r="K693" i="2" s="1"/>
  <c r="AB491" i="2"/>
  <c r="AD491" i="2"/>
  <c r="AE491" i="2" s="1"/>
  <c r="AF491" i="2" s="1"/>
  <c r="AI750" i="3" l="1"/>
  <c r="W750" i="3"/>
  <c r="W488" i="2"/>
  <c r="AP488" i="2"/>
  <c r="L693" i="2"/>
  <c r="AK496" i="2"/>
  <c r="AJ496" i="2"/>
  <c r="AL496" i="2" s="1"/>
  <c r="AM496" i="2" s="1"/>
  <c r="R751" i="3"/>
  <c r="U751" i="3"/>
  <c r="V751" i="3" s="1"/>
  <c r="AA750" i="3"/>
  <c r="AD750" i="3"/>
  <c r="AE750" i="3" s="1"/>
  <c r="AF750" i="3" s="1"/>
  <c r="AB492" i="2"/>
  <c r="AD492" i="2"/>
  <c r="AE492" i="2" s="1"/>
  <c r="AF492" i="2" s="1"/>
  <c r="G694" i="2"/>
  <c r="J694" i="2"/>
  <c r="K694" i="2" s="1"/>
  <c r="S489" i="2"/>
  <c r="U489" i="2"/>
  <c r="V489" i="2" s="1"/>
  <c r="AI751" i="3" l="1"/>
  <c r="W751" i="3"/>
  <c r="AP489" i="2"/>
  <c r="W489" i="2"/>
  <c r="L694" i="2"/>
  <c r="AK497" i="2"/>
  <c r="AJ497" i="2"/>
  <c r="AL497" i="2" s="1"/>
  <c r="AM497" i="2" s="1"/>
  <c r="AD751" i="3"/>
  <c r="AE751" i="3" s="1"/>
  <c r="AF751" i="3" s="1"/>
  <c r="AA751" i="3"/>
  <c r="R752" i="3"/>
  <c r="U752" i="3"/>
  <c r="V752" i="3" s="1"/>
  <c r="S490" i="2"/>
  <c r="U490" i="2"/>
  <c r="V490" i="2" s="1"/>
  <c r="G695" i="2"/>
  <c r="J695" i="2"/>
  <c r="K695" i="2" s="1"/>
  <c r="AD493" i="2"/>
  <c r="AE493" i="2" s="1"/>
  <c r="AF493" i="2" s="1"/>
  <c r="AB493" i="2"/>
  <c r="AI752" i="3" l="1"/>
  <c r="W752" i="3"/>
  <c r="AP490" i="2"/>
  <c r="W490" i="2"/>
  <c r="L695" i="2"/>
  <c r="AK498" i="2"/>
  <c r="AJ498" i="2"/>
  <c r="AL498" i="2" s="1"/>
  <c r="AM498" i="2" s="1"/>
  <c r="U753" i="3"/>
  <c r="V753" i="3" s="1"/>
  <c r="R753" i="3"/>
  <c r="AD752" i="3"/>
  <c r="AE752" i="3" s="1"/>
  <c r="AF752" i="3" s="1"/>
  <c r="AA752" i="3"/>
  <c r="G696" i="2"/>
  <c r="J696" i="2"/>
  <c r="K696" i="2" s="1"/>
  <c r="AD494" i="2"/>
  <c r="AE494" i="2" s="1"/>
  <c r="AF494" i="2" s="1"/>
  <c r="AB494" i="2"/>
  <c r="U491" i="2"/>
  <c r="V491" i="2" s="1"/>
  <c r="S491" i="2"/>
  <c r="AI753" i="3" l="1"/>
  <c r="W753" i="3"/>
  <c r="W491" i="2"/>
  <c r="AP491" i="2"/>
  <c r="L696" i="2"/>
  <c r="AK499" i="2"/>
  <c r="AJ499" i="2"/>
  <c r="AL499" i="2" s="1"/>
  <c r="AA753" i="3"/>
  <c r="AD753" i="3"/>
  <c r="AE753" i="3" s="1"/>
  <c r="AF753" i="3" s="1"/>
  <c r="R754" i="3"/>
  <c r="U754" i="3"/>
  <c r="V754" i="3" s="1"/>
  <c r="AB495" i="2"/>
  <c r="AD495" i="2"/>
  <c r="AE495" i="2" s="1"/>
  <c r="AF495" i="2" s="1"/>
  <c r="U492" i="2"/>
  <c r="V492" i="2" s="1"/>
  <c r="S492" i="2"/>
  <c r="G697" i="2"/>
  <c r="J697" i="2"/>
  <c r="K697" i="2" s="1"/>
  <c r="AI754" i="3" l="1"/>
  <c r="W754" i="3"/>
  <c r="W492" i="2"/>
  <c r="AP492" i="2"/>
  <c r="AM499" i="2"/>
  <c r="AN79" i="2" s="1"/>
  <c r="L697" i="2"/>
  <c r="AA754" i="3"/>
  <c r="AD754" i="3"/>
  <c r="AE754" i="3" s="1"/>
  <c r="AF754" i="3" s="1"/>
  <c r="R755" i="3"/>
  <c r="U755" i="3"/>
  <c r="V755" i="3" s="1"/>
  <c r="S493" i="2"/>
  <c r="U493" i="2"/>
  <c r="V493" i="2" s="1"/>
  <c r="G698" i="2"/>
  <c r="J698" i="2"/>
  <c r="K698" i="2" s="1"/>
  <c r="AB496" i="2"/>
  <c r="AD496" i="2"/>
  <c r="AE496" i="2" s="1"/>
  <c r="AF496" i="2" s="1"/>
  <c r="AI755" i="3" l="1"/>
  <c r="W755" i="3"/>
  <c r="AP493" i="2"/>
  <c r="W493" i="2"/>
  <c r="L698" i="2"/>
  <c r="R756" i="3"/>
  <c r="U756" i="3"/>
  <c r="V756" i="3" s="1"/>
  <c r="AD755" i="3"/>
  <c r="AE755" i="3" s="1"/>
  <c r="AF755" i="3" s="1"/>
  <c r="AA755" i="3"/>
  <c r="G699" i="2"/>
  <c r="J699" i="2"/>
  <c r="K699" i="2" s="1"/>
  <c r="AD497" i="2"/>
  <c r="AE497" i="2" s="1"/>
  <c r="AF497" i="2" s="1"/>
  <c r="AB497" i="2"/>
  <c r="S494" i="2"/>
  <c r="U494" i="2"/>
  <c r="V494" i="2" s="1"/>
  <c r="AI756" i="3" l="1"/>
  <c r="W756" i="3"/>
  <c r="AP494" i="2"/>
  <c r="W494" i="2"/>
  <c r="L699" i="2"/>
  <c r="AA756" i="3"/>
  <c r="AD756" i="3"/>
  <c r="AE756" i="3" s="1"/>
  <c r="AF756" i="3" s="1"/>
  <c r="U757" i="3"/>
  <c r="V757" i="3" s="1"/>
  <c r="R757" i="3"/>
  <c r="AD498" i="2"/>
  <c r="AE498" i="2" s="1"/>
  <c r="AF498" i="2" s="1"/>
  <c r="AB498" i="2"/>
  <c r="U495" i="2"/>
  <c r="V495" i="2" s="1"/>
  <c r="S495" i="2"/>
  <c r="G700" i="2"/>
  <c r="J700" i="2"/>
  <c r="K700" i="2" s="1"/>
  <c r="AI757" i="3" l="1"/>
  <c r="W757" i="3"/>
  <c r="AP495" i="2"/>
  <c r="W495" i="2"/>
  <c r="L700" i="2"/>
  <c r="R758" i="3"/>
  <c r="U758" i="3"/>
  <c r="V758" i="3" s="1"/>
  <c r="AA757" i="3"/>
  <c r="AD757" i="3"/>
  <c r="AE757" i="3" s="1"/>
  <c r="AF757" i="3" s="1"/>
  <c r="G701" i="2"/>
  <c r="J701" i="2"/>
  <c r="K701" i="2" s="1"/>
  <c r="U496" i="2"/>
  <c r="V496" i="2" s="1"/>
  <c r="S496" i="2"/>
  <c r="AB499" i="2"/>
  <c r="AD499" i="2"/>
  <c r="AE499" i="2" s="1"/>
  <c r="AF499" i="2" s="1"/>
  <c r="AI758" i="3" l="1"/>
  <c r="W758" i="3"/>
  <c r="AP496" i="2"/>
  <c r="W496" i="2"/>
  <c r="L701" i="2"/>
  <c r="U759" i="3"/>
  <c r="V759" i="3" s="1"/>
  <c r="R759" i="3"/>
  <c r="AA758" i="3"/>
  <c r="AD758" i="3"/>
  <c r="AE758" i="3" s="1"/>
  <c r="AF758" i="3" s="1"/>
  <c r="AB500" i="2"/>
  <c r="AD500" i="2"/>
  <c r="AE500" i="2" s="1"/>
  <c r="AF500" i="2" s="1"/>
  <c r="S497" i="2"/>
  <c r="U497" i="2"/>
  <c r="V497" i="2" s="1"/>
  <c r="G702" i="2"/>
  <c r="J702" i="2"/>
  <c r="K702" i="2" s="1"/>
  <c r="AI759" i="3" l="1"/>
  <c r="W759" i="3"/>
  <c r="AP497" i="2"/>
  <c r="W497" i="2"/>
  <c r="L702" i="2"/>
  <c r="AA759" i="3"/>
  <c r="AD759" i="3"/>
  <c r="AE759" i="3" s="1"/>
  <c r="AF759" i="3" s="1"/>
  <c r="R760" i="3"/>
  <c r="U760" i="3"/>
  <c r="V760" i="3" s="1"/>
  <c r="S498" i="2"/>
  <c r="U498" i="2"/>
  <c r="V498" i="2" s="1"/>
  <c r="G703" i="2"/>
  <c r="J703" i="2"/>
  <c r="K703" i="2" s="1"/>
  <c r="AB501" i="2"/>
  <c r="AD501" i="2"/>
  <c r="AE501" i="2" s="1"/>
  <c r="AF501" i="2" s="1"/>
  <c r="AI760" i="3" l="1"/>
  <c r="W760" i="3"/>
  <c r="AP498" i="2"/>
  <c r="W498" i="2"/>
  <c r="L703" i="2"/>
  <c r="U761" i="3"/>
  <c r="V761" i="3" s="1"/>
  <c r="R761" i="3"/>
  <c r="AD760" i="3"/>
  <c r="AE760" i="3" s="1"/>
  <c r="AF760" i="3" s="1"/>
  <c r="AA760" i="3"/>
  <c r="AB502" i="2"/>
  <c r="AD502" i="2"/>
  <c r="AE502" i="2" s="1"/>
  <c r="AF502" i="2" s="1"/>
  <c r="U499" i="2"/>
  <c r="V499" i="2" s="1"/>
  <c r="S499" i="2"/>
  <c r="G704" i="2"/>
  <c r="J704" i="2"/>
  <c r="K704" i="2" s="1"/>
  <c r="F22" i="2" s="1"/>
  <c r="F24" i="2" s="1"/>
  <c r="AI761" i="3" l="1"/>
  <c r="W761" i="3"/>
  <c r="AP499" i="2"/>
  <c r="F16" i="2" s="1"/>
  <c r="F17" i="2" s="1"/>
  <c r="W499" i="2"/>
  <c r="L704" i="2"/>
  <c r="AA761" i="3"/>
  <c r="AD761" i="3"/>
  <c r="AE761" i="3" s="1"/>
  <c r="AF761" i="3" s="1"/>
  <c r="R762" i="3"/>
  <c r="U762" i="3"/>
  <c r="V762" i="3" s="1"/>
  <c r="U500" i="2"/>
  <c r="V500" i="2" s="1"/>
  <c r="W500" i="2" s="1"/>
  <c r="S500" i="2"/>
  <c r="G705" i="2"/>
  <c r="J705" i="2"/>
  <c r="K705" i="2" s="1"/>
  <c r="AB503" i="2"/>
  <c r="AD503" i="2"/>
  <c r="AE503" i="2" s="1"/>
  <c r="AF503" i="2" s="1"/>
  <c r="AI762" i="3" l="1"/>
  <c r="W762" i="3"/>
  <c r="E33" i="35"/>
  <c r="AG41" i="5"/>
  <c r="L705" i="2"/>
  <c r="U763" i="3"/>
  <c r="V763" i="3" s="1"/>
  <c r="R763" i="3"/>
  <c r="AA762" i="3"/>
  <c r="AD762" i="3"/>
  <c r="AE762" i="3" s="1"/>
  <c r="AF762" i="3" s="1"/>
  <c r="AB504" i="2"/>
  <c r="AD504" i="2"/>
  <c r="AE504" i="2" s="1"/>
  <c r="AF504" i="2" s="1"/>
  <c r="U501" i="2"/>
  <c r="V501" i="2" s="1"/>
  <c r="W501" i="2" s="1"/>
  <c r="S501" i="2"/>
  <c r="G706" i="2"/>
  <c r="J706" i="2"/>
  <c r="K706" i="2" s="1"/>
  <c r="AI763" i="3" l="1"/>
  <c r="W763" i="3"/>
  <c r="L706" i="2"/>
  <c r="AD763" i="3"/>
  <c r="AE763" i="3" s="1"/>
  <c r="AF763" i="3" s="1"/>
  <c r="AA763" i="3"/>
  <c r="R764" i="3"/>
  <c r="U764" i="3"/>
  <c r="V764" i="3" s="1"/>
  <c r="U502" i="2"/>
  <c r="V502" i="2" s="1"/>
  <c r="W502" i="2" s="1"/>
  <c r="S502" i="2"/>
  <c r="G707" i="2"/>
  <c r="J707" i="2"/>
  <c r="K707" i="2" s="1"/>
  <c r="AB505" i="2"/>
  <c r="AD505" i="2"/>
  <c r="AE505" i="2" s="1"/>
  <c r="AF505" i="2" s="1"/>
  <c r="AI764" i="3" l="1"/>
  <c r="W764" i="3"/>
  <c r="L707" i="2"/>
  <c r="U765" i="3"/>
  <c r="V765" i="3" s="1"/>
  <c r="R765" i="3"/>
  <c r="AA764" i="3"/>
  <c r="AD764" i="3"/>
  <c r="AE764" i="3" s="1"/>
  <c r="AF764" i="3" s="1"/>
  <c r="G708" i="2"/>
  <c r="J708" i="2"/>
  <c r="K708" i="2" s="1"/>
  <c r="U503" i="2"/>
  <c r="V503" i="2" s="1"/>
  <c r="W503" i="2" s="1"/>
  <c r="S503" i="2"/>
  <c r="AB506" i="2"/>
  <c r="AD506" i="2"/>
  <c r="AE506" i="2" s="1"/>
  <c r="AF506" i="2" s="1"/>
  <c r="AI765" i="3" l="1"/>
  <c r="W765" i="3"/>
  <c r="L708" i="2"/>
  <c r="AD765" i="3"/>
  <c r="AE765" i="3" s="1"/>
  <c r="AF765" i="3" s="1"/>
  <c r="AA765" i="3"/>
  <c r="R766" i="3"/>
  <c r="U766" i="3"/>
  <c r="V766" i="3" s="1"/>
  <c r="U504" i="2"/>
  <c r="V504" i="2" s="1"/>
  <c r="W504" i="2" s="1"/>
  <c r="S504" i="2"/>
  <c r="AB507" i="2"/>
  <c r="AD507" i="2"/>
  <c r="AE507" i="2" s="1"/>
  <c r="AF507" i="2" s="1"/>
  <c r="J709" i="2"/>
  <c r="K709" i="2" s="1"/>
  <c r="G709" i="2"/>
  <c r="AI766" i="3" l="1"/>
  <c r="W766" i="3"/>
  <c r="L709" i="2"/>
  <c r="U767" i="3"/>
  <c r="V767" i="3" s="1"/>
  <c r="R767" i="3"/>
  <c r="AA766" i="3"/>
  <c r="AD766" i="3"/>
  <c r="AE766" i="3" s="1"/>
  <c r="AF766" i="3" s="1"/>
  <c r="AB508" i="2"/>
  <c r="AD508" i="2"/>
  <c r="AE508" i="2" s="1"/>
  <c r="AF508" i="2" s="1"/>
  <c r="G710" i="2"/>
  <c r="J710" i="2"/>
  <c r="K710" i="2" s="1"/>
  <c r="U505" i="2"/>
  <c r="V505" i="2" s="1"/>
  <c r="W505" i="2" s="1"/>
  <c r="S505" i="2"/>
  <c r="AI767" i="3" l="1"/>
  <c r="W767" i="3"/>
  <c r="L710" i="2"/>
  <c r="AD767" i="3"/>
  <c r="AE767" i="3" s="1"/>
  <c r="AF767" i="3" s="1"/>
  <c r="AA767" i="3"/>
  <c r="R768" i="3"/>
  <c r="U768" i="3"/>
  <c r="V768" i="3" s="1"/>
  <c r="U506" i="2"/>
  <c r="V506" i="2" s="1"/>
  <c r="W506" i="2" s="1"/>
  <c r="S506" i="2"/>
  <c r="J711" i="2"/>
  <c r="K711" i="2" s="1"/>
  <c r="G711" i="2"/>
  <c r="AB509" i="2"/>
  <c r="AD509" i="2"/>
  <c r="AE509" i="2" s="1"/>
  <c r="AF509" i="2" s="1"/>
  <c r="AI768" i="3" l="1"/>
  <c r="W768" i="3"/>
  <c r="L711" i="2"/>
  <c r="U769" i="3"/>
  <c r="V769" i="3" s="1"/>
  <c r="R769" i="3"/>
  <c r="AA768" i="3"/>
  <c r="AD768" i="3"/>
  <c r="AE768" i="3" s="1"/>
  <c r="AF768" i="3" s="1"/>
  <c r="G712" i="2"/>
  <c r="J712" i="2"/>
  <c r="K712" i="2" s="1"/>
  <c r="U507" i="2"/>
  <c r="V507" i="2" s="1"/>
  <c r="W507" i="2" s="1"/>
  <c r="S507" i="2"/>
  <c r="AB510" i="2"/>
  <c r="AD510" i="2"/>
  <c r="AE510" i="2" s="1"/>
  <c r="AF510" i="2" s="1"/>
  <c r="AI769" i="3" l="1"/>
  <c r="W769" i="3"/>
  <c r="L712" i="2"/>
  <c r="AA769" i="3"/>
  <c r="AD769" i="3"/>
  <c r="AE769" i="3" s="1"/>
  <c r="AF769" i="3" s="1"/>
  <c r="R770" i="3"/>
  <c r="U770" i="3"/>
  <c r="V770" i="3" s="1"/>
  <c r="U508" i="2"/>
  <c r="V508" i="2" s="1"/>
  <c r="W508" i="2" s="1"/>
  <c r="S508" i="2"/>
  <c r="AB511" i="2"/>
  <c r="AD511" i="2"/>
  <c r="AE511" i="2" s="1"/>
  <c r="AF511" i="2" s="1"/>
  <c r="J713" i="2"/>
  <c r="K713" i="2" s="1"/>
  <c r="G713" i="2"/>
  <c r="AI770" i="3" l="1"/>
  <c r="W770" i="3"/>
  <c r="L713" i="2"/>
  <c r="R771" i="3"/>
  <c r="U771" i="3"/>
  <c r="V771" i="3" s="1"/>
  <c r="AA770" i="3"/>
  <c r="AD770" i="3"/>
  <c r="AE770" i="3" s="1"/>
  <c r="AF770" i="3" s="1"/>
  <c r="AB512" i="2"/>
  <c r="AD512" i="2"/>
  <c r="AE512" i="2" s="1"/>
  <c r="AF512" i="2" s="1"/>
  <c r="G714" i="2"/>
  <c r="J714" i="2"/>
  <c r="K714" i="2" s="1"/>
  <c r="U509" i="2"/>
  <c r="V509" i="2" s="1"/>
  <c r="W509" i="2" s="1"/>
  <c r="S509" i="2"/>
  <c r="AI771" i="3" l="1"/>
  <c r="W771" i="3"/>
  <c r="L714" i="2"/>
  <c r="AD771" i="3"/>
  <c r="AE771" i="3" s="1"/>
  <c r="AF771" i="3" s="1"/>
  <c r="AA771" i="3"/>
  <c r="R772" i="3"/>
  <c r="U772" i="3"/>
  <c r="V772" i="3" s="1"/>
  <c r="U510" i="2"/>
  <c r="V510" i="2" s="1"/>
  <c r="W510" i="2" s="1"/>
  <c r="S510" i="2"/>
  <c r="J715" i="2"/>
  <c r="K715" i="2" s="1"/>
  <c r="G715" i="2"/>
  <c r="AB513" i="2"/>
  <c r="AD513" i="2"/>
  <c r="AE513" i="2" s="1"/>
  <c r="AF513" i="2" s="1"/>
  <c r="AI772" i="3" l="1"/>
  <c r="W772" i="3"/>
  <c r="L715" i="2"/>
  <c r="U773" i="3"/>
  <c r="V773" i="3" s="1"/>
  <c r="R773" i="3"/>
  <c r="AA772" i="3"/>
  <c r="AD772" i="3"/>
  <c r="AE772" i="3" s="1"/>
  <c r="AF772" i="3" s="1"/>
  <c r="AB514" i="2"/>
  <c r="AD514" i="2"/>
  <c r="AE514" i="2" s="1"/>
  <c r="AF514" i="2" s="1"/>
  <c r="G716" i="2"/>
  <c r="J716" i="2"/>
  <c r="K716" i="2" s="1"/>
  <c r="U511" i="2"/>
  <c r="V511" i="2" s="1"/>
  <c r="W511" i="2" s="1"/>
  <c r="S511" i="2"/>
  <c r="AI773" i="3" l="1"/>
  <c r="W773" i="3"/>
  <c r="L716" i="2"/>
  <c r="F33" i="2"/>
  <c r="K6" i="35" s="1"/>
  <c r="D25" i="35" s="1"/>
  <c r="AA773" i="3"/>
  <c r="AD773" i="3"/>
  <c r="AE773" i="3" s="1"/>
  <c r="AF773" i="3" s="1"/>
  <c r="R774" i="3"/>
  <c r="U774" i="3"/>
  <c r="V774" i="3" s="1"/>
  <c r="U512" i="2"/>
  <c r="V512" i="2" s="1"/>
  <c r="W512" i="2" s="1"/>
  <c r="S512" i="2"/>
  <c r="AB515" i="2"/>
  <c r="AD515" i="2"/>
  <c r="AE515" i="2" s="1"/>
  <c r="AF515" i="2" s="1"/>
  <c r="AI774" i="3" l="1"/>
  <c r="W774" i="3"/>
  <c r="F26" i="35"/>
  <c r="R775" i="3"/>
  <c r="U775" i="3"/>
  <c r="V775" i="3" s="1"/>
  <c r="AA774" i="3"/>
  <c r="AD774" i="3"/>
  <c r="AE774" i="3" s="1"/>
  <c r="AF774" i="3" s="1"/>
  <c r="AB516" i="2"/>
  <c r="AD516" i="2"/>
  <c r="AE516" i="2" s="1"/>
  <c r="AF516" i="2" s="1"/>
  <c r="U513" i="2"/>
  <c r="V513" i="2" s="1"/>
  <c r="W513" i="2" s="1"/>
  <c r="S513" i="2"/>
  <c r="AI775" i="3" l="1"/>
  <c r="N297" i="3" s="1"/>
  <c r="W775" i="3"/>
  <c r="X355" i="3"/>
  <c r="N296" i="3" s="1"/>
  <c r="E297" i="3" s="1"/>
  <c r="AD775" i="3"/>
  <c r="AE775" i="3" s="1"/>
  <c r="AA775" i="3"/>
  <c r="U514" i="2"/>
  <c r="V514" i="2" s="1"/>
  <c r="W514" i="2" s="1"/>
  <c r="S514" i="2"/>
  <c r="AB517" i="2"/>
  <c r="AD517" i="2"/>
  <c r="AE517" i="2" s="1"/>
  <c r="AF517" i="2" s="1"/>
  <c r="AG355" i="3" l="1"/>
  <c r="AF775" i="3"/>
  <c r="AB518" i="2"/>
  <c r="AD518" i="2"/>
  <c r="AE518" i="2" s="1"/>
  <c r="AF518" i="2" s="1"/>
  <c r="U515" i="2"/>
  <c r="V515" i="2" s="1"/>
  <c r="W515" i="2" s="1"/>
  <c r="S515" i="2"/>
  <c r="U516" i="2" l="1"/>
  <c r="V516" i="2" s="1"/>
  <c r="W516" i="2" s="1"/>
  <c r="S516" i="2"/>
  <c r="AB519" i="2"/>
  <c r="AD519" i="2"/>
  <c r="AE519" i="2" s="1"/>
  <c r="AF519" i="2" s="1"/>
  <c r="U517" i="2" l="1"/>
  <c r="V517" i="2" s="1"/>
  <c r="W517" i="2" s="1"/>
  <c r="S517" i="2"/>
  <c r="AB520" i="2"/>
  <c r="AD520" i="2"/>
  <c r="AE520" i="2" s="1"/>
  <c r="AF520" i="2" s="1"/>
  <c r="AB521" i="2" l="1"/>
  <c r="AD521" i="2"/>
  <c r="AE521" i="2" s="1"/>
  <c r="AF521" i="2" s="1"/>
  <c r="U518" i="2"/>
  <c r="V518" i="2" s="1"/>
  <c r="W518" i="2" s="1"/>
  <c r="S518" i="2"/>
  <c r="U519" i="2" l="1"/>
  <c r="V519" i="2" s="1"/>
  <c r="W519" i="2" s="1"/>
  <c r="S519" i="2"/>
  <c r="AB522" i="2"/>
  <c r="AD522" i="2"/>
  <c r="AE522" i="2" s="1"/>
  <c r="AF522" i="2" s="1"/>
  <c r="AB523" i="2" l="1"/>
  <c r="AD523" i="2"/>
  <c r="AE523" i="2" s="1"/>
  <c r="AF523" i="2" s="1"/>
  <c r="U520" i="2"/>
  <c r="V520" i="2" s="1"/>
  <c r="W520" i="2" s="1"/>
  <c r="S520" i="2"/>
  <c r="U521" i="2" l="1"/>
  <c r="V521" i="2" s="1"/>
  <c r="W521" i="2" s="1"/>
  <c r="S521" i="2"/>
  <c r="AB524" i="2"/>
  <c r="AD524" i="2"/>
  <c r="AE524" i="2" s="1"/>
  <c r="AF524" i="2" s="1"/>
  <c r="AB525" i="2" l="1"/>
  <c r="AD525" i="2"/>
  <c r="AE525" i="2" s="1"/>
  <c r="AF525" i="2" s="1"/>
  <c r="U522" i="2"/>
  <c r="V522" i="2" s="1"/>
  <c r="W522" i="2" s="1"/>
  <c r="S522" i="2"/>
  <c r="U523" i="2" l="1"/>
  <c r="V523" i="2" s="1"/>
  <c r="W523" i="2" s="1"/>
  <c r="S523" i="2"/>
  <c r="AB526" i="2"/>
  <c r="AD526" i="2"/>
  <c r="AE526" i="2" s="1"/>
  <c r="AF526" i="2" s="1"/>
  <c r="AB527" i="2" l="1"/>
  <c r="AD527" i="2"/>
  <c r="AE527" i="2" s="1"/>
  <c r="AF527" i="2" s="1"/>
  <c r="U524" i="2"/>
  <c r="V524" i="2" s="1"/>
  <c r="W524" i="2" s="1"/>
  <c r="S524" i="2"/>
  <c r="U525" i="2" l="1"/>
  <c r="V525" i="2" s="1"/>
  <c r="W525" i="2" s="1"/>
  <c r="S525" i="2"/>
  <c r="AB528" i="2"/>
  <c r="AD528" i="2"/>
  <c r="AE528" i="2" s="1"/>
  <c r="AF528" i="2" s="1"/>
  <c r="AB529" i="2" l="1"/>
  <c r="AD529" i="2"/>
  <c r="AE529" i="2" s="1"/>
  <c r="AF529" i="2" s="1"/>
  <c r="U526" i="2"/>
  <c r="V526" i="2" s="1"/>
  <c r="W526" i="2" s="1"/>
  <c r="S526" i="2"/>
  <c r="U527" i="2" l="1"/>
  <c r="V527" i="2" s="1"/>
  <c r="W527" i="2" s="1"/>
  <c r="S527" i="2"/>
  <c r="AD530" i="2"/>
  <c r="AE530" i="2" s="1"/>
  <c r="AF530" i="2" s="1"/>
  <c r="AB530" i="2"/>
  <c r="U528" i="2" l="1"/>
  <c r="V528" i="2" s="1"/>
  <c r="W528" i="2" s="1"/>
  <c r="S528" i="2"/>
  <c r="AD531" i="2"/>
  <c r="AE531" i="2" s="1"/>
  <c r="AF531" i="2" s="1"/>
  <c r="AB531" i="2"/>
  <c r="AD532" i="2" l="1"/>
  <c r="AE532" i="2" s="1"/>
  <c r="AF532" i="2" s="1"/>
  <c r="AB532" i="2"/>
  <c r="U529" i="2"/>
  <c r="V529" i="2" s="1"/>
  <c r="W529" i="2" s="1"/>
  <c r="S529" i="2"/>
  <c r="AD533" i="2" l="1"/>
  <c r="AE533" i="2" s="1"/>
  <c r="AF533" i="2" s="1"/>
  <c r="AB533" i="2"/>
  <c r="S530" i="2"/>
  <c r="U530" i="2"/>
  <c r="V530" i="2" s="1"/>
  <c r="W530" i="2" s="1"/>
  <c r="AD534" i="2" l="1"/>
  <c r="AE534" i="2" s="1"/>
  <c r="AF534" i="2" s="1"/>
  <c r="AB534" i="2"/>
  <c r="S531" i="2"/>
  <c r="U531" i="2"/>
  <c r="V531" i="2" s="1"/>
  <c r="W531" i="2" s="1"/>
  <c r="S532" i="2" l="1"/>
  <c r="U532" i="2"/>
  <c r="V532" i="2" s="1"/>
  <c r="W532" i="2" s="1"/>
  <c r="AD535" i="2"/>
  <c r="AE535" i="2" s="1"/>
  <c r="AF535" i="2" s="1"/>
  <c r="AB535" i="2"/>
  <c r="AD536" i="2" l="1"/>
  <c r="AE536" i="2" s="1"/>
  <c r="AF536" i="2" s="1"/>
  <c r="AB536" i="2"/>
  <c r="S533" i="2"/>
  <c r="U533" i="2"/>
  <c r="V533" i="2" s="1"/>
  <c r="W533" i="2" s="1"/>
  <c r="AD537" i="2" l="1"/>
  <c r="AE537" i="2" s="1"/>
  <c r="AF537" i="2" s="1"/>
  <c r="AB537" i="2"/>
  <c r="S534" i="2"/>
  <c r="U534" i="2"/>
  <c r="V534" i="2" s="1"/>
  <c r="W534" i="2" s="1"/>
  <c r="S535" i="2" l="1"/>
  <c r="U535" i="2"/>
  <c r="V535" i="2" s="1"/>
  <c r="W535" i="2" s="1"/>
  <c r="AD538" i="2"/>
  <c r="AE538" i="2" s="1"/>
  <c r="AF538" i="2" s="1"/>
  <c r="AB538" i="2"/>
  <c r="AD539" i="2" l="1"/>
  <c r="AE539" i="2" s="1"/>
  <c r="AF539" i="2" s="1"/>
  <c r="AB539" i="2"/>
  <c r="S536" i="2"/>
  <c r="U536" i="2"/>
  <c r="V536" i="2" s="1"/>
  <c r="W536" i="2" s="1"/>
  <c r="S537" i="2" l="1"/>
  <c r="U537" i="2"/>
  <c r="V537" i="2" s="1"/>
  <c r="W537" i="2" s="1"/>
  <c r="AD540" i="2"/>
  <c r="AE540" i="2" s="1"/>
  <c r="AF540" i="2" s="1"/>
  <c r="AB540" i="2"/>
  <c r="AD541" i="2" l="1"/>
  <c r="AE541" i="2" s="1"/>
  <c r="AF541" i="2" s="1"/>
  <c r="AB541" i="2"/>
  <c r="S538" i="2"/>
  <c r="U538" i="2"/>
  <c r="V538" i="2" s="1"/>
  <c r="W538" i="2" s="1"/>
  <c r="AD542" i="2" l="1"/>
  <c r="AE542" i="2" s="1"/>
  <c r="AF542" i="2" s="1"/>
  <c r="AB542" i="2"/>
  <c r="S539" i="2"/>
  <c r="U539" i="2"/>
  <c r="V539" i="2" s="1"/>
  <c r="W539" i="2" s="1"/>
  <c r="S540" i="2" l="1"/>
  <c r="U540" i="2"/>
  <c r="V540" i="2" s="1"/>
  <c r="W540" i="2" s="1"/>
  <c r="AD543" i="2"/>
  <c r="AE543" i="2" s="1"/>
  <c r="AF543" i="2" s="1"/>
  <c r="AB543" i="2"/>
  <c r="AD544" i="2" l="1"/>
  <c r="AE544" i="2" s="1"/>
  <c r="AF544" i="2" s="1"/>
  <c r="AB544" i="2"/>
  <c r="S541" i="2"/>
  <c r="U541" i="2"/>
  <c r="V541" i="2" s="1"/>
  <c r="W541" i="2" s="1"/>
  <c r="AD545" i="2" l="1"/>
  <c r="AE545" i="2" s="1"/>
  <c r="AF545" i="2" s="1"/>
  <c r="AB545" i="2"/>
  <c r="S542" i="2"/>
  <c r="U542" i="2"/>
  <c r="V542" i="2" s="1"/>
  <c r="W542" i="2" s="1"/>
  <c r="S543" i="2" l="1"/>
  <c r="U543" i="2"/>
  <c r="V543" i="2" s="1"/>
  <c r="W543" i="2" s="1"/>
  <c r="AD546" i="2"/>
  <c r="AE546" i="2" s="1"/>
  <c r="AF546" i="2" s="1"/>
  <c r="AB546" i="2"/>
  <c r="AD547" i="2" l="1"/>
  <c r="AE547" i="2" s="1"/>
  <c r="AF547" i="2" s="1"/>
  <c r="AB547" i="2"/>
  <c r="S544" i="2"/>
  <c r="U544" i="2"/>
  <c r="V544" i="2" s="1"/>
  <c r="W544" i="2" s="1"/>
  <c r="AD548" i="2" l="1"/>
  <c r="AE548" i="2" s="1"/>
  <c r="AF548" i="2" s="1"/>
  <c r="AB548" i="2"/>
  <c r="S545" i="2"/>
  <c r="U545" i="2"/>
  <c r="V545" i="2" s="1"/>
  <c r="W545" i="2" s="1"/>
  <c r="S546" i="2" l="1"/>
  <c r="U546" i="2"/>
  <c r="V546" i="2" s="1"/>
  <c r="W546" i="2" s="1"/>
  <c r="AD549" i="2"/>
  <c r="AE549" i="2" s="1"/>
  <c r="AF549" i="2" s="1"/>
  <c r="AB549" i="2"/>
  <c r="AD550" i="2" l="1"/>
  <c r="AE550" i="2" s="1"/>
  <c r="AF550" i="2" s="1"/>
  <c r="AB550" i="2"/>
  <c r="S547" i="2"/>
  <c r="U547" i="2"/>
  <c r="V547" i="2" s="1"/>
  <c r="W547" i="2" s="1"/>
  <c r="S548" i="2" l="1"/>
  <c r="U548" i="2"/>
  <c r="V548" i="2" s="1"/>
  <c r="W548" i="2" s="1"/>
  <c r="AD551" i="2"/>
  <c r="AE551" i="2" s="1"/>
  <c r="AF551" i="2" s="1"/>
  <c r="AB551" i="2"/>
  <c r="AD552" i="2" l="1"/>
  <c r="AE552" i="2" s="1"/>
  <c r="AF552" i="2" s="1"/>
  <c r="AB552" i="2"/>
  <c r="S549" i="2"/>
  <c r="U549" i="2"/>
  <c r="V549" i="2" s="1"/>
  <c r="W549" i="2" s="1"/>
  <c r="S550" i="2" l="1"/>
  <c r="U550" i="2"/>
  <c r="V550" i="2" s="1"/>
  <c r="W550" i="2" s="1"/>
  <c r="AD553" i="2"/>
  <c r="AE553" i="2" s="1"/>
  <c r="AF553" i="2" s="1"/>
  <c r="AB553" i="2"/>
  <c r="AD554" i="2" l="1"/>
  <c r="AE554" i="2" s="1"/>
  <c r="AF554" i="2" s="1"/>
  <c r="AB554" i="2"/>
  <c r="S551" i="2"/>
  <c r="U551" i="2"/>
  <c r="V551" i="2" s="1"/>
  <c r="W551" i="2" s="1"/>
  <c r="S552" i="2" l="1"/>
  <c r="U552" i="2"/>
  <c r="V552" i="2" s="1"/>
  <c r="W552" i="2" s="1"/>
  <c r="AD555" i="2"/>
  <c r="AE555" i="2" s="1"/>
  <c r="AF555" i="2" s="1"/>
  <c r="AB555" i="2"/>
  <c r="AD556" i="2" l="1"/>
  <c r="AE556" i="2" s="1"/>
  <c r="AF556" i="2" s="1"/>
  <c r="AB556" i="2"/>
  <c r="S553" i="2"/>
  <c r="U553" i="2"/>
  <c r="V553" i="2" s="1"/>
  <c r="W553" i="2" s="1"/>
  <c r="AD557" i="2" l="1"/>
  <c r="AE557" i="2" s="1"/>
  <c r="AF557" i="2" s="1"/>
  <c r="AB557" i="2"/>
  <c r="S554" i="2"/>
  <c r="U554" i="2"/>
  <c r="V554" i="2" s="1"/>
  <c r="W554" i="2" s="1"/>
  <c r="S555" i="2" l="1"/>
  <c r="U555" i="2"/>
  <c r="V555" i="2" s="1"/>
  <c r="W555" i="2" s="1"/>
  <c r="AD558" i="2"/>
  <c r="AE558" i="2" s="1"/>
  <c r="AF558" i="2" s="1"/>
  <c r="AB558" i="2"/>
  <c r="AD559" i="2" l="1"/>
  <c r="AE559" i="2" s="1"/>
  <c r="AF559" i="2" s="1"/>
  <c r="AB559" i="2"/>
  <c r="S556" i="2"/>
  <c r="U556" i="2"/>
  <c r="V556" i="2" s="1"/>
  <c r="W556" i="2" s="1"/>
  <c r="AD560" i="2" l="1"/>
  <c r="AE560" i="2" s="1"/>
  <c r="AF560" i="2" s="1"/>
  <c r="AB560" i="2"/>
  <c r="S557" i="2"/>
  <c r="U557" i="2"/>
  <c r="V557" i="2" s="1"/>
  <c r="W557" i="2" s="1"/>
  <c r="S558" i="2" l="1"/>
  <c r="U558" i="2"/>
  <c r="V558" i="2" s="1"/>
  <c r="W558" i="2" s="1"/>
  <c r="AD561" i="2"/>
  <c r="AE561" i="2" s="1"/>
  <c r="AF561" i="2" s="1"/>
  <c r="AB561" i="2"/>
  <c r="AD562" i="2" l="1"/>
  <c r="AE562" i="2" s="1"/>
  <c r="AF562" i="2" s="1"/>
  <c r="AB562" i="2"/>
  <c r="S559" i="2"/>
  <c r="U559" i="2"/>
  <c r="V559" i="2" s="1"/>
  <c r="W559" i="2" s="1"/>
  <c r="AB563" i="2" l="1"/>
  <c r="AD563" i="2"/>
  <c r="AE563" i="2" s="1"/>
  <c r="AF563" i="2" s="1"/>
  <c r="S560" i="2"/>
  <c r="U560" i="2"/>
  <c r="V560" i="2" s="1"/>
  <c r="W560" i="2" s="1"/>
  <c r="S561" i="2" l="1"/>
  <c r="U561" i="2"/>
  <c r="V561" i="2" s="1"/>
  <c r="W561" i="2" s="1"/>
  <c r="AB564" i="2"/>
  <c r="AD564" i="2"/>
  <c r="AE564" i="2" s="1"/>
  <c r="AF564" i="2" s="1"/>
  <c r="AB565" i="2" l="1"/>
  <c r="AD565" i="2"/>
  <c r="AE565" i="2" s="1"/>
  <c r="AF565" i="2" s="1"/>
  <c r="S562" i="2"/>
  <c r="U562" i="2"/>
  <c r="V562" i="2" s="1"/>
  <c r="W562" i="2" s="1"/>
  <c r="U563" i="2" l="1"/>
  <c r="V563" i="2" s="1"/>
  <c r="W563" i="2" s="1"/>
  <c r="S563" i="2"/>
  <c r="AB566" i="2"/>
  <c r="AD566" i="2"/>
  <c r="AE566" i="2" s="1"/>
  <c r="AF566" i="2" s="1"/>
  <c r="AB567" i="2" l="1"/>
  <c r="AD567" i="2"/>
  <c r="AE567" i="2" s="1"/>
  <c r="AF567" i="2" s="1"/>
  <c r="U564" i="2"/>
  <c r="V564" i="2" s="1"/>
  <c r="W564" i="2" s="1"/>
  <c r="S564" i="2"/>
  <c r="U565" i="2" l="1"/>
  <c r="V565" i="2" s="1"/>
  <c r="W565" i="2" s="1"/>
  <c r="S565" i="2"/>
  <c r="AB568" i="2"/>
  <c r="AD568" i="2"/>
  <c r="AE568" i="2" s="1"/>
  <c r="AF568" i="2" s="1"/>
  <c r="U566" i="2" l="1"/>
  <c r="V566" i="2" s="1"/>
  <c r="W566" i="2" s="1"/>
  <c r="S566" i="2"/>
  <c r="AB569" i="2"/>
  <c r="AD569" i="2"/>
  <c r="AE569" i="2" s="1"/>
  <c r="AF569" i="2" s="1"/>
  <c r="AB570" i="2" l="1"/>
  <c r="AD570" i="2"/>
  <c r="AE570" i="2" s="1"/>
  <c r="AF570" i="2" s="1"/>
  <c r="U567" i="2"/>
  <c r="V567" i="2" s="1"/>
  <c r="W567" i="2" s="1"/>
  <c r="S567" i="2"/>
  <c r="U568" i="2" l="1"/>
  <c r="V568" i="2" s="1"/>
  <c r="W568" i="2" s="1"/>
  <c r="S568" i="2"/>
  <c r="AD571" i="2"/>
  <c r="AE571" i="2" s="1"/>
  <c r="AF571" i="2" s="1"/>
  <c r="AB571" i="2"/>
  <c r="AD572" i="2" l="1"/>
  <c r="AE572" i="2" s="1"/>
  <c r="AF572" i="2" s="1"/>
  <c r="AB572" i="2"/>
  <c r="U569" i="2"/>
  <c r="V569" i="2" s="1"/>
  <c r="W569" i="2" s="1"/>
  <c r="S569" i="2"/>
  <c r="U570" i="2" l="1"/>
  <c r="V570" i="2" s="1"/>
  <c r="W570" i="2" s="1"/>
  <c r="S570" i="2"/>
  <c r="AD573" i="2"/>
  <c r="AE573" i="2" s="1"/>
  <c r="AF573" i="2" s="1"/>
  <c r="AB573" i="2"/>
  <c r="AD574" i="2" l="1"/>
  <c r="AE574" i="2" s="1"/>
  <c r="AF574" i="2" s="1"/>
  <c r="AB574" i="2"/>
  <c r="S571" i="2"/>
  <c r="U571" i="2"/>
  <c r="V571" i="2" s="1"/>
  <c r="W571" i="2" s="1"/>
  <c r="AD575" i="2" l="1"/>
  <c r="AE575" i="2" s="1"/>
  <c r="AF575" i="2" s="1"/>
  <c r="AB575" i="2"/>
  <c r="S572" i="2"/>
  <c r="U572" i="2"/>
  <c r="V572" i="2" s="1"/>
  <c r="W572" i="2" s="1"/>
  <c r="S573" i="2" l="1"/>
  <c r="U573" i="2"/>
  <c r="V573" i="2" s="1"/>
  <c r="W573" i="2" s="1"/>
  <c r="AD576" i="2"/>
  <c r="AE576" i="2" s="1"/>
  <c r="AF576" i="2" s="1"/>
  <c r="AB576" i="2"/>
  <c r="AD577" i="2" l="1"/>
  <c r="AE577" i="2" s="1"/>
  <c r="AF577" i="2" s="1"/>
  <c r="AB577" i="2"/>
  <c r="S574" i="2"/>
  <c r="U574" i="2"/>
  <c r="V574" i="2" s="1"/>
  <c r="W574" i="2" s="1"/>
  <c r="S575" i="2" l="1"/>
  <c r="U575" i="2"/>
  <c r="V575" i="2" s="1"/>
  <c r="W575" i="2" s="1"/>
  <c r="AD578" i="2"/>
  <c r="AE578" i="2" s="1"/>
  <c r="AF578" i="2" s="1"/>
  <c r="AB578" i="2"/>
  <c r="AD579" i="2" l="1"/>
  <c r="AE579" i="2" s="1"/>
  <c r="AF579" i="2" s="1"/>
  <c r="AB579" i="2"/>
  <c r="S576" i="2"/>
  <c r="U576" i="2"/>
  <c r="V576" i="2" s="1"/>
  <c r="W576" i="2" s="1"/>
  <c r="AD580" i="2" l="1"/>
  <c r="AE580" i="2" s="1"/>
  <c r="AF580" i="2" s="1"/>
  <c r="AB580" i="2"/>
  <c r="S577" i="2"/>
  <c r="U577" i="2"/>
  <c r="V577" i="2" s="1"/>
  <c r="W577" i="2" s="1"/>
  <c r="S578" i="2" l="1"/>
  <c r="U578" i="2"/>
  <c r="V578" i="2" s="1"/>
  <c r="W578" i="2" s="1"/>
  <c r="AD581" i="2"/>
  <c r="AE581" i="2" s="1"/>
  <c r="AF581" i="2" s="1"/>
  <c r="AB581" i="2"/>
  <c r="AD582" i="2" l="1"/>
  <c r="AE582" i="2" s="1"/>
  <c r="AF582" i="2" s="1"/>
  <c r="AB582" i="2"/>
  <c r="S579" i="2"/>
  <c r="U579" i="2"/>
  <c r="V579" i="2" s="1"/>
  <c r="W579" i="2" s="1"/>
  <c r="S580" i="2" l="1"/>
  <c r="U580" i="2"/>
  <c r="V580" i="2" s="1"/>
  <c r="W580" i="2" s="1"/>
  <c r="AD583" i="2"/>
  <c r="AE583" i="2" s="1"/>
  <c r="AF583" i="2" s="1"/>
  <c r="AB583" i="2"/>
  <c r="AD584" i="2" l="1"/>
  <c r="AE584" i="2" s="1"/>
  <c r="AF584" i="2" s="1"/>
  <c r="AB584" i="2"/>
  <c r="S581" i="2"/>
  <c r="U581" i="2"/>
  <c r="V581" i="2" s="1"/>
  <c r="W581" i="2" s="1"/>
  <c r="S582" i="2" l="1"/>
  <c r="U582" i="2"/>
  <c r="V582" i="2" s="1"/>
  <c r="W582" i="2" s="1"/>
  <c r="AD585" i="2"/>
  <c r="AE585" i="2" s="1"/>
  <c r="AF585" i="2" s="1"/>
  <c r="AB585" i="2"/>
  <c r="AD586" i="2" l="1"/>
  <c r="AE586" i="2" s="1"/>
  <c r="AF586" i="2" s="1"/>
  <c r="AB586" i="2"/>
  <c r="S583" i="2"/>
  <c r="U583" i="2"/>
  <c r="V583" i="2" s="1"/>
  <c r="W583" i="2" s="1"/>
  <c r="S584" i="2" l="1"/>
  <c r="U584" i="2"/>
  <c r="V584" i="2" s="1"/>
  <c r="W584" i="2" s="1"/>
  <c r="AD587" i="2"/>
  <c r="AE587" i="2" s="1"/>
  <c r="AF587" i="2" s="1"/>
  <c r="AB587" i="2"/>
  <c r="AD588" i="2" l="1"/>
  <c r="AE588" i="2" s="1"/>
  <c r="AF588" i="2" s="1"/>
  <c r="AB588" i="2"/>
  <c r="S585" i="2"/>
  <c r="U585" i="2"/>
  <c r="V585" i="2" s="1"/>
  <c r="W585" i="2" s="1"/>
  <c r="S586" i="2" l="1"/>
  <c r="U586" i="2"/>
  <c r="V586" i="2" s="1"/>
  <c r="W586" i="2" s="1"/>
  <c r="AD589" i="2"/>
  <c r="AE589" i="2" s="1"/>
  <c r="AF589" i="2" s="1"/>
  <c r="AB589" i="2"/>
  <c r="AD590" i="2" l="1"/>
  <c r="AE590" i="2" s="1"/>
  <c r="AF590" i="2" s="1"/>
  <c r="AB590" i="2"/>
  <c r="S587" i="2"/>
  <c r="U587" i="2"/>
  <c r="V587" i="2" s="1"/>
  <c r="W587" i="2" s="1"/>
  <c r="AD591" i="2" l="1"/>
  <c r="AE591" i="2" s="1"/>
  <c r="AF591" i="2" s="1"/>
  <c r="AB591" i="2"/>
  <c r="S588" i="2"/>
  <c r="U588" i="2"/>
  <c r="V588" i="2" s="1"/>
  <c r="W588" i="2" s="1"/>
  <c r="S589" i="2" l="1"/>
  <c r="U589" i="2"/>
  <c r="V589" i="2" s="1"/>
  <c r="W589" i="2" s="1"/>
  <c r="AD592" i="2"/>
  <c r="AE592" i="2" s="1"/>
  <c r="AF592" i="2" s="1"/>
  <c r="AB592" i="2"/>
  <c r="AD593" i="2" l="1"/>
  <c r="AE593" i="2" s="1"/>
  <c r="AF593" i="2" s="1"/>
  <c r="AB593" i="2"/>
  <c r="S590" i="2"/>
  <c r="U590" i="2"/>
  <c r="V590" i="2" s="1"/>
  <c r="W590" i="2" s="1"/>
  <c r="AD594" i="2" l="1"/>
  <c r="AE594" i="2" s="1"/>
  <c r="AF594" i="2" s="1"/>
  <c r="AB594" i="2"/>
  <c r="S591" i="2"/>
  <c r="U591" i="2"/>
  <c r="V591" i="2" s="1"/>
  <c r="W591" i="2" s="1"/>
  <c r="AD595" i="2" l="1"/>
  <c r="AE595" i="2" s="1"/>
  <c r="AF595" i="2" s="1"/>
  <c r="AB595" i="2"/>
  <c r="S592" i="2"/>
  <c r="U592" i="2"/>
  <c r="V592" i="2" s="1"/>
  <c r="W592" i="2" s="1"/>
  <c r="S593" i="2" l="1"/>
  <c r="U593" i="2"/>
  <c r="V593" i="2" s="1"/>
  <c r="W593" i="2" s="1"/>
  <c r="AD596" i="2"/>
  <c r="AE596" i="2" s="1"/>
  <c r="AF596" i="2" s="1"/>
  <c r="AB596" i="2"/>
  <c r="AD597" i="2" l="1"/>
  <c r="AE597" i="2" s="1"/>
  <c r="AF597" i="2" s="1"/>
  <c r="AB597" i="2"/>
  <c r="S594" i="2"/>
  <c r="U594" i="2"/>
  <c r="V594" i="2" s="1"/>
  <c r="W594" i="2" s="1"/>
  <c r="S595" i="2" l="1"/>
  <c r="U595" i="2"/>
  <c r="V595" i="2" s="1"/>
  <c r="W595" i="2" s="1"/>
  <c r="AD598" i="2"/>
  <c r="AE598" i="2" s="1"/>
  <c r="AF598" i="2" s="1"/>
  <c r="AB598" i="2"/>
  <c r="AD599" i="2" l="1"/>
  <c r="AE599" i="2" s="1"/>
  <c r="AF599" i="2" s="1"/>
  <c r="AB599" i="2"/>
  <c r="S596" i="2"/>
  <c r="U596" i="2"/>
  <c r="V596" i="2" s="1"/>
  <c r="W596" i="2" s="1"/>
  <c r="S597" i="2" l="1"/>
  <c r="U597" i="2"/>
  <c r="V597" i="2" s="1"/>
  <c r="W597" i="2" s="1"/>
  <c r="AD600" i="2"/>
  <c r="AE600" i="2" s="1"/>
  <c r="AF600" i="2" s="1"/>
  <c r="AB600" i="2"/>
  <c r="AD601" i="2" l="1"/>
  <c r="AE601" i="2" s="1"/>
  <c r="AF601" i="2" s="1"/>
  <c r="AB601" i="2"/>
  <c r="S598" i="2"/>
  <c r="U598" i="2"/>
  <c r="V598" i="2" s="1"/>
  <c r="W598" i="2" s="1"/>
  <c r="AD602" i="2" l="1"/>
  <c r="AE602" i="2" s="1"/>
  <c r="AF602" i="2" s="1"/>
  <c r="AB602" i="2"/>
  <c r="S599" i="2"/>
  <c r="U599" i="2"/>
  <c r="V599" i="2" s="1"/>
  <c r="W599" i="2" s="1"/>
  <c r="S600" i="2" l="1"/>
  <c r="U600" i="2"/>
  <c r="V600" i="2" s="1"/>
  <c r="W600" i="2" s="1"/>
  <c r="AB603" i="2"/>
  <c r="AD603" i="2"/>
  <c r="AE603" i="2" s="1"/>
  <c r="AF603" i="2" s="1"/>
  <c r="AB604" i="2" l="1"/>
  <c r="AD604" i="2"/>
  <c r="AE604" i="2" s="1"/>
  <c r="AF604" i="2" s="1"/>
  <c r="S601" i="2"/>
  <c r="U601" i="2"/>
  <c r="V601" i="2" s="1"/>
  <c r="W601" i="2" s="1"/>
  <c r="S602" i="2" l="1"/>
  <c r="U602" i="2"/>
  <c r="V602" i="2" s="1"/>
  <c r="W602" i="2" s="1"/>
  <c r="AD605" i="2"/>
  <c r="AE605" i="2" s="1"/>
  <c r="AF605" i="2" s="1"/>
  <c r="AB605" i="2"/>
  <c r="AD606" i="2" l="1"/>
  <c r="AE606" i="2" s="1"/>
  <c r="AF606" i="2" s="1"/>
  <c r="AB606" i="2"/>
  <c r="U603" i="2"/>
  <c r="V603" i="2" s="1"/>
  <c r="W603" i="2" s="1"/>
  <c r="S603" i="2"/>
  <c r="AD607" i="2" l="1"/>
  <c r="AE607" i="2" s="1"/>
  <c r="AF607" i="2" s="1"/>
  <c r="AB607" i="2"/>
  <c r="U604" i="2"/>
  <c r="V604" i="2" s="1"/>
  <c r="W604" i="2" s="1"/>
  <c r="S604" i="2"/>
  <c r="S605" i="2" l="1"/>
  <c r="U605" i="2"/>
  <c r="V605" i="2" s="1"/>
  <c r="W605" i="2" s="1"/>
  <c r="AD608" i="2"/>
  <c r="AE608" i="2" s="1"/>
  <c r="AF608" i="2" s="1"/>
  <c r="AB608" i="2"/>
  <c r="AD609" i="2" l="1"/>
  <c r="AE609" i="2" s="1"/>
  <c r="AF609" i="2" s="1"/>
  <c r="AB609" i="2"/>
  <c r="S606" i="2"/>
  <c r="U606" i="2"/>
  <c r="V606" i="2" s="1"/>
  <c r="W606" i="2" s="1"/>
  <c r="AD610" i="2" l="1"/>
  <c r="AE610" i="2" s="1"/>
  <c r="AF610" i="2" s="1"/>
  <c r="AB610" i="2"/>
  <c r="S607" i="2"/>
  <c r="U607" i="2"/>
  <c r="V607" i="2" s="1"/>
  <c r="W607" i="2" s="1"/>
  <c r="S608" i="2" l="1"/>
  <c r="U608" i="2"/>
  <c r="V608" i="2" s="1"/>
  <c r="W608" i="2" s="1"/>
  <c r="AD611" i="2"/>
  <c r="AE611" i="2" s="1"/>
  <c r="AF611" i="2" s="1"/>
  <c r="AB611" i="2"/>
  <c r="AD612" i="2" l="1"/>
  <c r="AE612" i="2" s="1"/>
  <c r="AF612" i="2" s="1"/>
  <c r="AB612" i="2"/>
  <c r="S609" i="2"/>
  <c r="U609" i="2"/>
  <c r="V609" i="2" s="1"/>
  <c r="W609" i="2" s="1"/>
  <c r="S610" i="2" l="1"/>
  <c r="U610" i="2"/>
  <c r="V610" i="2" s="1"/>
  <c r="W610" i="2" s="1"/>
  <c r="AD613" i="2"/>
  <c r="AE613" i="2" s="1"/>
  <c r="AF613" i="2" s="1"/>
  <c r="AB613" i="2"/>
  <c r="AD614" i="2" l="1"/>
  <c r="AE614" i="2" s="1"/>
  <c r="AF614" i="2" s="1"/>
  <c r="AB614" i="2"/>
  <c r="S611" i="2"/>
  <c r="U611" i="2"/>
  <c r="V611" i="2" s="1"/>
  <c r="W611" i="2" s="1"/>
  <c r="AD615" i="2" l="1"/>
  <c r="AE615" i="2" s="1"/>
  <c r="AF615" i="2" s="1"/>
  <c r="AB615" i="2"/>
  <c r="S612" i="2"/>
  <c r="U612" i="2"/>
  <c r="V612" i="2" s="1"/>
  <c r="W612" i="2" s="1"/>
  <c r="S613" i="2" l="1"/>
  <c r="U613" i="2"/>
  <c r="V613" i="2" s="1"/>
  <c r="W613" i="2" s="1"/>
  <c r="AD616" i="2"/>
  <c r="AE616" i="2" s="1"/>
  <c r="AF616" i="2" s="1"/>
  <c r="AB616" i="2"/>
  <c r="AD617" i="2" l="1"/>
  <c r="AE617" i="2" s="1"/>
  <c r="AF617" i="2" s="1"/>
  <c r="AB617" i="2"/>
  <c r="S614" i="2"/>
  <c r="U614" i="2"/>
  <c r="V614" i="2" s="1"/>
  <c r="W614" i="2" s="1"/>
  <c r="AD618" i="2" l="1"/>
  <c r="AE618" i="2" s="1"/>
  <c r="AF618" i="2" s="1"/>
  <c r="AB618" i="2"/>
  <c r="S615" i="2"/>
  <c r="U615" i="2"/>
  <c r="V615" i="2" s="1"/>
  <c r="W615" i="2" s="1"/>
  <c r="S616" i="2" l="1"/>
  <c r="U616" i="2"/>
  <c r="V616" i="2" s="1"/>
  <c r="W616" i="2" s="1"/>
  <c r="AD619" i="2"/>
  <c r="AE619" i="2" s="1"/>
  <c r="AF619" i="2" s="1"/>
  <c r="AB619" i="2"/>
  <c r="AD620" i="2" l="1"/>
  <c r="AE620" i="2" s="1"/>
  <c r="AF620" i="2" s="1"/>
  <c r="AB620" i="2"/>
  <c r="S617" i="2"/>
  <c r="U617" i="2"/>
  <c r="V617" i="2" s="1"/>
  <c r="W617" i="2" s="1"/>
  <c r="S618" i="2" l="1"/>
  <c r="U618" i="2"/>
  <c r="V618" i="2" s="1"/>
  <c r="W618" i="2" s="1"/>
  <c r="AD621" i="2"/>
  <c r="AE621" i="2" s="1"/>
  <c r="AF621" i="2" s="1"/>
  <c r="AB621" i="2"/>
  <c r="AD622" i="2" l="1"/>
  <c r="AE622" i="2" s="1"/>
  <c r="AF622" i="2" s="1"/>
  <c r="AB622" i="2"/>
  <c r="S619" i="2"/>
  <c r="U619" i="2"/>
  <c r="V619" i="2" s="1"/>
  <c r="W619" i="2" s="1"/>
  <c r="S620" i="2" l="1"/>
  <c r="U620" i="2"/>
  <c r="V620" i="2" s="1"/>
  <c r="W620" i="2" s="1"/>
  <c r="AD623" i="2"/>
  <c r="AE623" i="2" s="1"/>
  <c r="AF623" i="2" s="1"/>
  <c r="AB623" i="2"/>
  <c r="AD624" i="2" l="1"/>
  <c r="AE624" i="2" s="1"/>
  <c r="AF624" i="2" s="1"/>
  <c r="AB624" i="2"/>
  <c r="S621" i="2"/>
  <c r="U621" i="2"/>
  <c r="V621" i="2" s="1"/>
  <c r="W621" i="2" s="1"/>
  <c r="AD625" i="2" l="1"/>
  <c r="AE625" i="2" s="1"/>
  <c r="AF625" i="2" s="1"/>
  <c r="AB625" i="2"/>
  <c r="S622" i="2"/>
  <c r="U622" i="2"/>
  <c r="V622" i="2" s="1"/>
  <c r="W622" i="2" s="1"/>
  <c r="AD626" i="2" l="1"/>
  <c r="AE626" i="2" s="1"/>
  <c r="AF626" i="2" s="1"/>
  <c r="AB626" i="2"/>
  <c r="S623" i="2"/>
  <c r="U623" i="2"/>
  <c r="V623" i="2" s="1"/>
  <c r="W623" i="2" s="1"/>
  <c r="S624" i="2" l="1"/>
  <c r="U624" i="2"/>
  <c r="V624" i="2" s="1"/>
  <c r="W624" i="2" s="1"/>
  <c r="AD627" i="2"/>
  <c r="AE627" i="2" s="1"/>
  <c r="AF627" i="2" s="1"/>
  <c r="AB627" i="2"/>
  <c r="AD628" i="2" l="1"/>
  <c r="AE628" i="2" s="1"/>
  <c r="AF628" i="2" s="1"/>
  <c r="AB628" i="2"/>
  <c r="S625" i="2"/>
  <c r="U625" i="2"/>
  <c r="V625" i="2" s="1"/>
  <c r="W625" i="2" s="1"/>
  <c r="S626" i="2" l="1"/>
  <c r="U626" i="2"/>
  <c r="V626" i="2" s="1"/>
  <c r="W626" i="2" s="1"/>
  <c r="AD629" i="2"/>
  <c r="AE629" i="2" s="1"/>
  <c r="AF629" i="2" s="1"/>
  <c r="AB629" i="2"/>
  <c r="AD630" i="2" l="1"/>
  <c r="AE630" i="2" s="1"/>
  <c r="AF630" i="2" s="1"/>
  <c r="AB630" i="2"/>
  <c r="S627" i="2"/>
  <c r="U627" i="2"/>
  <c r="V627" i="2" s="1"/>
  <c r="W627" i="2" s="1"/>
  <c r="AD631" i="2" l="1"/>
  <c r="AE631" i="2" s="1"/>
  <c r="AF631" i="2" s="1"/>
  <c r="AB631" i="2"/>
  <c r="S628" i="2"/>
  <c r="U628" i="2"/>
  <c r="V628" i="2" s="1"/>
  <c r="W628" i="2" s="1"/>
  <c r="S629" i="2" l="1"/>
  <c r="U629" i="2"/>
  <c r="V629" i="2" s="1"/>
  <c r="W629" i="2" s="1"/>
  <c r="AD632" i="2"/>
  <c r="AE632" i="2" s="1"/>
  <c r="AF632" i="2" s="1"/>
  <c r="AB632" i="2"/>
  <c r="AD633" i="2" l="1"/>
  <c r="AE633" i="2" s="1"/>
  <c r="AF633" i="2" s="1"/>
  <c r="AB633" i="2"/>
  <c r="S630" i="2"/>
  <c r="U630" i="2"/>
  <c r="V630" i="2" s="1"/>
  <c r="W630" i="2" s="1"/>
  <c r="S631" i="2" l="1"/>
  <c r="U631" i="2"/>
  <c r="V631" i="2" s="1"/>
  <c r="W631" i="2" s="1"/>
  <c r="AD634" i="2"/>
  <c r="AE634" i="2" s="1"/>
  <c r="AF634" i="2" s="1"/>
  <c r="AB634" i="2"/>
  <c r="AB635" i="2" l="1"/>
  <c r="AD635" i="2"/>
  <c r="AE635" i="2" s="1"/>
  <c r="AF635" i="2" s="1"/>
  <c r="S632" i="2"/>
  <c r="U632" i="2"/>
  <c r="V632" i="2" s="1"/>
  <c r="W632" i="2" s="1"/>
  <c r="S633" i="2" l="1"/>
  <c r="U633" i="2"/>
  <c r="V633" i="2" s="1"/>
  <c r="W633" i="2" s="1"/>
  <c r="AB636" i="2"/>
  <c r="AD636" i="2"/>
  <c r="AE636" i="2" s="1"/>
  <c r="AF636" i="2" s="1"/>
  <c r="AD637" i="2" l="1"/>
  <c r="AE637" i="2" s="1"/>
  <c r="AF637" i="2" s="1"/>
  <c r="AB637" i="2"/>
  <c r="S634" i="2"/>
  <c r="U634" i="2"/>
  <c r="V634" i="2" s="1"/>
  <c r="W634" i="2" s="1"/>
  <c r="U635" i="2" l="1"/>
  <c r="V635" i="2" s="1"/>
  <c r="W635" i="2" s="1"/>
  <c r="S635" i="2"/>
  <c r="AD638" i="2"/>
  <c r="AE638" i="2" s="1"/>
  <c r="AF638" i="2" s="1"/>
  <c r="AB638" i="2"/>
  <c r="AB639" i="2" l="1"/>
  <c r="AD639" i="2"/>
  <c r="AE639" i="2" s="1"/>
  <c r="AF639" i="2" s="1"/>
  <c r="U636" i="2"/>
  <c r="V636" i="2" s="1"/>
  <c r="W636" i="2" s="1"/>
  <c r="S636" i="2"/>
  <c r="S637" i="2" l="1"/>
  <c r="U637" i="2"/>
  <c r="V637" i="2" s="1"/>
  <c r="W637" i="2" s="1"/>
  <c r="AB640" i="2"/>
  <c r="AD640" i="2"/>
  <c r="AE640" i="2" s="1"/>
  <c r="AF640" i="2" s="1"/>
  <c r="AB641" i="2" l="1"/>
  <c r="AD641" i="2"/>
  <c r="AE641" i="2" s="1"/>
  <c r="AF641" i="2" s="1"/>
  <c r="S638" i="2"/>
  <c r="U638" i="2"/>
  <c r="V638" i="2" s="1"/>
  <c r="W638" i="2" s="1"/>
  <c r="AB642" i="2" l="1"/>
  <c r="AD642" i="2"/>
  <c r="AE642" i="2" s="1"/>
  <c r="AF642" i="2" s="1"/>
  <c r="U639" i="2"/>
  <c r="V639" i="2" s="1"/>
  <c r="W639" i="2" s="1"/>
  <c r="S639" i="2"/>
  <c r="U640" i="2" l="1"/>
  <c r="V640" i="2" s="1"/>
  <c r="W640" i="2" s="1"/>
  <c r="S640" i="2"/>
  <c r="AB643" i="2"/>
  <c r="AD643" i="2"/>
  <c r="AE643" i="2" s="1"/>
  <c r="AF643" i="2" s="1"/>
  <c r="AB644" i="2" l="1"/>
  <c r="AD644" i="2"/>
  <c r="AE644" i="2" s="1"/>
  <c r="AF644" i="2" s="1"/>
  <c r="U641" i="2"/>
  <c r="V641" i="2" s="1"/>
  <c r="W641" i="2" s="1"/>
  <c r="S641" i="2"/>
  <c r="U642" i="2" l="1"/>
  <c r="V642" i="2" s="1"/>
  <c r="W642" i="2" s="1"/>
  <c r="S642" i="2"/>
  <c r="AB645" i="2"/>
  <c r="AD645" i="2"/>
  <c r="AE645" i="2" s="1"/>
  <c r="AF645" i="2" s="1"/>
  <c r="AB646" i="2" l="1"/>
  <c r="AD646" i="2"/>
  <c r="AE646" i="2" s="1"/>
  <c r="AF646" i="2" s="1"/>
  <c r="U643" i="2"/>
  <c r="V643" i="2" s="1"/>
  <c r="W643" i="2" s="1"/>
  <c r="S643" i="2"/>
  <c r="U644" i="2" l="1"/>
  <c r="V644" i="2" s="1"/>
  <c r="W644" i="2" s="1"/>
  <c r="S644" i="2"/>
  <c r="AB647" i="2"/>
  <c r="AD647" i="2"/>
  <c r="AE647" i="2" s="1"/>
  <c r="AF647" i="2" s="1"/>
  <c r="AB648" i="2" l="1"/>
  <c r="AD648" i="2"/>
  <c r="AE648" i="2" s="1"/>
  <c r="AF648" i="2" s="1"/>
  <c r="U645" i="2"/>
  <c r="V645" i="2" s="1"/>
  <c r="W645" i="2" s="1"/>
  <c r="S645" i="2"/>
  <c r="U646" i="2" l="1"/>
  <c r="V646" i="2" s="1"/>
  <c r="W646" i="2" s="1"/>
  <c r="S646" i="2"/>
  <c r="AB649" i="2"/>
  <c r="AD649" i="2"/>
  <c r="AE649" i="2" s="1"/>
  <c r="AF649" i="2" s="1"/>
  <c r="AB650" i="2" l="1"/>
  <c r="AD650" i="2"/>
  <c r="AE650" i="2" s="1"/>
  <c r="AF650" i="2" s="1"/>
  <c r="U647" i="2"/>
  <c r="V647" i="2" s="1"/>
  <c r="W647" i="2" s="1"/>
  <c r="S647" i="2"/>
  <c r="U648" i="2" l="1"/>
  <c r="V648" i="2" s="1"/>
  <c r="W648" i="2" s="1"/>
  <c r="S648" i="2"/>
  <c r="AB651" i="2"/>
  <c r="AD651" i="2"/>
  <c r="AE651" i="2" s="1"/>
  <c r="AF651" i="2" s="1"/>
  <c r="AB652" i="2" l="1"/>
  <c r="AD652" i="2"/>
  <c r="AE652" i="2" s="1"/>
  <c r="AF652" i="2" s="1"/>
  <c r="U649" i="2"/>
  <c r="V649" i="2" s="1"/>
  <c r="W649" i="2" s="1"/>
  <c r="S649" i="2"/>
  <c r="U650" i="2" l="1"/>
  <c r="V650" i="2" s="1"/>
  <c r="W650" i="2" s="1"/>
  <c r="S650" i="2"/>
  <c r="AB653" i="2"/>
  <c r="AD653" i="2"/>
  <c r="AE653" i="2" s="1"/>
  <c r="AF653" i="2" s="1"/>
  <c r="AB654" i="2" l="1"/>
  <c r="AD654" i="2"/>
  <c r="AE654" i="2" s="1"/>
  <c r="AF654" i="2" s="1"/>
  <c r="U651" i="2"/>
  <c r="V651" i="2" s="1"/>
  <c r="W651" i="2" s="1"/>
  <c r="S651" i="2"/>
  <c r="U652" i="2" l="1"/>
  <c r="V652" i="2" s="1"/>
  <c r="W652" i="2" s="1"/>
  <c r="S652" i="2"/>
  <c r="AB655" i="2"/>
  <c r="AD655" i="2"/>
  <c r="AE655" i="2" s="1"/>
  <c r="AF655" i="2" s="1"/>
  <c r="AB656" i="2" l="1"/>
  <c r="AD656" i="2"/>
  <c r="AE656" i="2" s="1"/>
  <c r="AF656" i="2" s="1"/>
  <c r="U653" i="2"/>
  <c r="V653" i="2" s="1"/>
  <c r="W653" i="2" s="1"/>
  <c r="S653" i="2"/>
  <c r="U654" i="2" l="1"/>
  <c r="V654" i="2" s="1"/>
  <c r="W654" i="2" s="1"/>
  <c r="S654" i="2"/>
  <c r="AB657" i="2"/>
  <c r="AD657" i="2"/>
  <c r="AE657" i="2" s="1"/>
  <c r="AF657" i="2" s="1"/>
  <c r="AB658" i="2" l="1"/>
  <c r="AD658" i="2"/>
  <c r="AE658" i="2" s="1"/>
  <c r="AF658" i="2" s="1"/>
  <c r="U655" i="2"/>
  <c r="V655" i="2" s="1"/>
  <c r="W655" i="2" s="1"/>
  <c r="S655" i="2"/>
  <c r="U656" i="2" l="1"/>
  <c r="V656" i="2" s="1"/>
  <c r="W656" i="2" s="1"/>
  <c r="S656" i="2"/>
  <c r="AB659" i="2"/>
  <c r="AD659" i="2"/>
  <c r="AE659" i="2" s="1"/>
  <c r="AF659" i="2" s="1"/>
  <c r="AB660" i="2" l="1"/>
  <c r="AD660" i="2"/>
  <c r="AE660" i="2" s="1"/>
  <c r="AF660" i="2" s="1"/>
  <c r="U657" i="2"/>
  <c r="V657" i="2" s="1"/>
  <c r="W657" i="2" s="1"/>
  <c r="S657" i="2"/>
  <c r="U658" i="2" l="1"/>
  <c r="V658" i="2" s="1"/>
  <c r="W658" i="2" s="1"/>
  <c r="S658" i="2"/>
  <c r="AB661" i="2"/>
  <c r="AD661" i="2"/>
  <c r="AE661" i="2" s="1"/>
  <c r="AF661" i="2" s="1"/>
  <c r="AB662" i="2" l="1"/>
  <c r="AD662" i="2"/>
  <c r="AE662" i="2" s="1"/>
  <c r="AF662" i="2" s="1"/>
  <c r="U659" i="2"/>
  <c r="V659" i="2" s="1"/>
  <c r="W659" i="2" s="1"/>
  <c r="S659" i="2"/>
  <c r="U660" i="2" l="1"/>
  <c r="V660" i="2" s="1"/>
  <c r="W660" i="2" s="1"/>
  <c r="S660" i="2"/>
  <c r="AB663" i="2"/>
  <c r="AD663" i="2"/>
  <c r="AE663" i="2" s="1"/>
  <c r="AF663" i="2" s="1"/>
  <c r="AB664" i="2" l="1"/>
  <c r="AD664" i="2"/>
  <c r="AE664" i="2" s="1"/>
  <c r="AF664" i="2" s="1"/>
  <c r="U661" i="2"/>
  <c r="V661" i="2" s="1"/>
  <c r="W661" i="2" s="1"/>
  <c r="S661" i="2"/>
  <c r="U662" i="2" l="1"/>
  <c r="V662" i="2" s="1"/>
  <c r="W662" i="2" s="1"/>
  <c r="S662" i="2"/>
  <c r="AB665" i="2"/>
  <c r="AD665" i="2"/>
  <c r="AE665" i="2" s="1"/>
  <c r="AF665" i="2" s="1"/>
  <c r="AB666" i="2" l="1"/>
  <c r="AD666" i="2"/>
  <c r="AE666" i="2" s="1"/>
  <c r="AF666" i="2" s="1"/>
  <c r="U663" i="2"/>
  <c r="V663" i="2" s="1"/>
  <c r="W663" i="2" s="1"/>
  <c r="S663" i="2"/>
  <c r="U664" i="2" l="1"/>
  <c r="V664" i="2" s="1"/>
  <c r="W664" i="2" s="1"/>
  <c r="S664" i="2"/>
  <c r="AB667" i="2"/>
  <c r="AD667" i="2"/>
  <c r="AE667" i="2" s="1"/>
  <c r="AF667" i="2" s="1"/>
  <c r="AB668" i="2" l="1"/>
  <c r="AD668" i="2"/>
  <c r="AE668" i="2" s="1"/>
  <c r="AF668" i="2" s="1"/>
  <c r="U665" i="2"/>
  <c r="V665" i="2" s="1"/>
  <c r="W665" i="2" s="1"/>
  <c r="S665" i="2"/>
  <c r="U666" i="2" l="1"/>
  <c r="V666" i="2" s="1"/>
  <c r="W666" i="2" s="1"/>
  <c r="S666" i="2"/>
  <c r="AB669" i="2"/>
  <c r="AD669" i="2"/>
  <c r="AE669" i="2" s="1"/>
  <c r="AF669" i="2" s="1"/>
  <c r="AB670" i="2" l="1"/>
  <c r="AD670" i="2"/>
  <c r="AE670" i="2" s="1"/>
  <c r="AF670" i="2" s="1"/>
  <c r="U667" i="2"/>
  <c r="V667" i="2" s="1"/>
  <c r="W667" i="2" s="1"/>
  <c r="S667" i="2"/>
  <c r="U668" i="2" l="1"/>
  <c r="V668" i="2" s="1"/>
  <c r="W668" i="2" s="1"/>
  <c r="S668" i="2"/>
  <c r="AB671" i="2"/>
  <c r="AD671" i="2"/>
  <c r="AE671" i="2" s="1"/>
  <c r="AF671" i="2" s="1"/>
  <c r="AB672" i="2" l="1"/>
  <c r="AD672" i="2"/>
  <c r="AE672" i="2" s="1"/>
  <c r="AF672" i="2" s="1"/>
  <c r="U669" i="2"/>
  <c r="V669" i="2" s="1"/>
  <c r="W669" i="2" s="1"/>
  <c r="S669" i="2"/>
  <c r="U670" i="2" l="1"/>
  <c r="V670" i="2" s="1"/>
  <c r="W670" i="2" s="1"/>
  <c r="S670" i="2"/>
  <c r="AB673" i="2"/>
  <c r="AD673" i="2"/>
  <c r="AE673" i="2" s="1"/>
  <c r="AF673" i="2" s="1"/>
  <c r="AB674" i="2" l="1"/>
  <c r="AD674" i="2"/>
  <c r="AE674" i="2" s="1"/>
  <c r="AF674" i="2" s="1"/>
  <c r="U671" i="2"/>
  <c r="V671" i="2" s="1"/>
  <c r="W671" i="2" s="1"/>
  <c r="S671" i="2"/>
  <c r="U672" i="2" l="1"/>
  <c r="V672" i="2" s="1"/>
  <c r="W672" i="2" s="1"/>
  <c r="S672" i="2"/>
  <c r="AB675" i="2"/>
  <c r="AD675" i="2"/>
  <c r="AE675" i="2" s="1"/>
  <c r="AF675" i="2" s="1"/>
  <c r="AB676" i="2" l="1"/>
  <c r="AD676" i="2"/>
  <c r="AE676" i="2" s="1"/>
  <c r="AF676" i="2" s="1"/>
  <c r="U673" i="2"/>
  <c r="V673" i="2" s="1"/>
  <c r="W673" i="2" s="1"/>
  <c r="S673" i="2"/>
  <c r="U674" i="2" l="1"/>
  <c r="V674" i="2" s="1"/>
  <c r="W674" i="2" s="1"/>
  <c r="S674" i="2"/>
  <c r="AB677" i="2"/>
  <c r="AD677" i="2"/>
  <c r="AE677" i="2" s="1"/>
  <c r="AF677" i="2" s="1"/>
  <c r="AB678" i="2" l="1"/>
  <c r="AD678" i="2"/>
  <c r="AE678" i="2" s="1"/>
  <c r="AF678" i="2" s="1"/>
  <c r="U675" i="2"/>
  <c r="V675" i="2" s="1"/>
  <c r="W675" i="2" s="1"/>
  <c r="S675" i="2"/>
  <c r="U676" i="2" l="1"/>
  <c r="V676" i="2" s="1"/>
  <c r="W676" i="2" s="1"/>
  <c r="S676" i="2"/>
  <c r="AB679" i="2"/>
  <c r="AD679" i="2"/>
  <c r="AE679" i="2" s="1"/>
  <c r="AF679" i="2" s="1"/>
  <c r="AB680" i="2" l="1"/>
  <c r="AD680" i="2"/>
  <c r="AE680" i="2" s="1"/>
  <c r="AF680" i="2" s="1"/>
  <c r="U677" i="2"/>
  <c r="V677" i="2" s="1"/>
  <c r="W677" i="2" s="1"/>
  <c r="S677" i="2"/>
  <c r="U678" i="2" l="1"/>
  <c r="V678" i="2" s="1"/>
  <c r="W678" i="2" s="1"/>
  <c r="S678" i="2"/>
  <c r="AB681" i="2"/>
  <c r="AD681" i="2"/>
  <c r="AE681" i="2" s="1"/>
  <c r="AF681" i="2" s="1"/>
  <c r="AB682" i="2" l="1"/>
  <c r="AD682" i="2"/>
  <c r="AE682" i="2" s="1"/>
  <c r="AF682" i="2" s="1"/>
  <c r="U679" i="2"/>
  <c r="V679" i="2" s="1"/>
  <c r="W679" i="2" s="1"/>
  <c r="S679" i="2"/>
  <c r="U680" i="2" l="1"/>
  <c r="V680" i="2" s="1"/>
  <c r="W680" i="2" s="1"/>
  <c r="S680" i="2"/>
  <c r="AB683" i="2"/>
  <c r="AD683" i="2"/>
  <c r="AE683" i="2" s="1"/>
  <c r="AF683" i="2" s="1"/>
  <c r="AB684" i="2" l="1"/>
  <c r="AD684" i="2"/>
  <c r="AE684" i="2" s="1"/>
  <c r="AF684" i="2" s="1"/>
  <c r="U681" i="2"/>
  <c r="V681" i="2" s="1"/>
  <c r="W681" i="2" s="1"/>
  <c r="S681" i="2"/>
  <c r="U682" i="2" l="1"/>
  <c r="V682" i="2" s="1"/>
  <c r="W682" i="2" s="1"/>
  <c r="S682" i="2"/>
  <c r="AB685" i="2"/>
  <c r="AD685" i="2"/>
  <c r="AE685" i="2" s="1"/>
  <c r="AF685" i="2" s="1"/>
  <c r="AB686" i="2" l="1"/>
  <c r="AD686" i="2"/>
  <c r="AE686" i="2" s="1"/>
  <c r="AF686" i="2" s="1"/>
  <c r="U683" i="2"/>
  <c r="V683" i="2" s="1"/>
  <c r="W683" i="2" s="1"/>
  <c r="S683" i="2"/>
  <c r="U684" i="2" l="1"/>
  <c r="V684" i="2" s="1"/>
  <c r="W684" i="2" s="1"/>
  <c r="S684" i="2"/>
  <c r="AB687" i="2"/>
  <c r="AD687" i="2"/>
  <c r="AE687" i="2" s="1"/>
  <c r="AF687" i="2" s="1"/>
  <c r="AD688" i="2" l="1"/>
  <c r="AE688" i="2" s="1"/>
  <c r="AF688" i="2" s="1"/>
  <c r="AB688" i="2"/>
  <c r="U685" i="2"/>
  <c r="V685" i="2" s="1"/>
  <c r="W685" i="2" s="1"/>
  <c r="S685" i="2"/>
  <c r="U686" i="2" l="1"/>
  <c r="V686" i="2" s="1"/>
  <c r="W686" i="2" s="1"/>
  <c r="S686" i="2"/>
  <c r="AD689" i="2"/>
  <c r="AE689" i="2" s="1"/>
  <c r="AF689" i="2" s="1"/>
  <c r="AB689" i="2"/>
  <c r="AB690" i="2" l="1"/>
  <c r="AD690" i="2"/>
  <c r="AE690" i="2" s="1"/>
  <c r="AF690" i="2" s="1"/>
  <c r="U687" i="2"/>
  <c r="V687" i="2" s="1"/>
  <c r="W687" i="2" s="1"/>
  <c r="S687" i="2"/>
  <c r="S688" i="2" l="1"/>
  <c r="U688" i="2"/>
  <c r="V688" i="2" s="1"/>
  <c r="W688" i="2" s="1"/>
  <c r="AB691" i="2"/>
  <c r="AD691" i="2"/>
  <c r="AE691" i="2" s="1"/>
  <c r="AF691" i="2" s="1"/>
  <c r="AB692" i="2" l="1"/>
  <c r="AD692" i="2"/>
  <c r="AE692" i="2" s="1"/>
  <c r="AF692" i="2" s="1"/>
  <c r="S689" i="2"/>
  <c r="U689" i="2"/>
  <c r="V689" i="2" s="1"/>
  <c r="W689" i="2" s="1"/>
  <c r="U690" i="2" l="1"/>
  <c r="V690" i="2" s="1"/>
  <c r="W690" i="2" s="1"/>
  <c r="S690" i="2"/>
  <c r="AB693" i="2"/>
  <c r="AD693" i="2"/>
  <c r="AE693" i="2" s="1"/>
  <c r="AF693" i="2" s="1"/>
  <c r="AB694" i="2" l="1"/>
  <c r="AD694" i="2"/>
  <c r="AE694" i="2" s="1"/>
  <c r="AF694" i="2" s="1"/>
  <c r="U691" i="2"/>
  <c r="V691" i="2" s="1"/>
  <c r="W691" i="2" s="1"/>
  <c r="S691" i="2"/>
  <c r="U692" i="2" l="1"/>
  <c r="V692" i="2" s="1"/>
  <c r="W692" i="2" s="1"/>
  <c r="S692" i="2"/>
  <c r="AB695" i="2"/>
  <c r="AD695" i="2"/>
  <c r="AE695" i="2" s="1"/>
  <c r="AF695" i="2" s="1"/>
  <c r="AB696" i="2" l="1"/>
  <c r="AD696" i="2"/>
  <c r="AE696" i="2" s="1"/>
  <c r="AF696" i="2" s="1"/>
  <c r="U693" i="2"/>
  <c r="V693" i="2" s="1"/>
  <c r="W693" i="2" s="1"/>
  <c r="S693" i="2"/>
  <c r="U694" i="2" l="1"/>
  <c r="V694" i="2" s="1"/>
  <c r="W694" i="2" s="1"/>
  <c r="S694" i="2"/>
  <c r="AB697" i="2"/>
  <c r="AD697" i="2"/>
  <c r="AE697" i="2" s="1"/>
  <c r="AF697" i="2" s="1"/>
  <c r="AB698" i="2" l="1"/>
  <c r="AD698" i="2"/>
  <c r="AE698" i="2" s="1"/>
  <c r="AF698" i="2" s="1"/>
  <c r="U695" i="2"/>
  <c r="V695" i="2" s="1"/>
  <c r="W695" i="2" s="1"/>
  <c r="S695" i="2"/>
  <c r="U696" i="2" l="1"/>
  <c r="V696" i="2" s="1"/>
  <c r="W696" i="2" s="1"/>
  <c r="S696" i="2"/>
  <c r="AB699" i="2"/>
  <c r="AD699" i="2"/>
  <c r="AE699" i="2" s="1"/>
  <c r="AF699" i="2" s="1"/>
  <c r="AB700" i="2" l="1"/>
  <c r="AD700" i="2"/>
  <c r="AE700" i="2" s="1"/>
  <c r="AF700" i="2" s="1"/>
  <c r="U697" i="2"/>
  <c r="V697" i="2" s="1"/>
  <c r="W697" i="2" s="1"/>
  <c r="S697" i="2"/>
  <c r="U698" i="2" l="1"/>
  <c r="V698" i="2" s="1"/>
  <c r="W698" i="2" s="1"/>
  <c r="S698" i="2"/>
  <c r="AB701" i="2"/>
  <c r="AD701" i="2"/>
  <c r="AE701" i="2" s="1"/>
  <c r="AF701" i="2" s="1"/>
  <c r="AB702" i="2" l="1"/>
  <c r="AD702" i="2"/>
  <c r="AE702" i="2" s="1"/>
  <c r="AF702" i="2" s="1"/>
  <c r="U699" i="2"/>
  <c r="V699" i="2" s="1"/>
  <c r="W699" i="2" s="1"/>
  <c r="S699" i="2"/>
  <c r="U700" i="2" l="1"/>
  <c r="V700" i="2" s="1"/>
  <c r="W700" i="2" s="1"/>
  <c r="S700" i="2"/>
  <c r="AB703" i="2"/>
  <c r="AD703" i="2"/>
  <c r="AE703" i="2" s="1"/>
  <c r="AF703" i="2" s="1"/>
  <c r="U701" i="2" l="1"/>
  <c r="V701" i="2" s="1"/>
  <c r="W701" i="2" s="1"/>
  <c r="S701" i="2"/>
  <c r="AB704" i="2"/>
  <c r="AD704" i="2"/>
  <c r="AE704" i="2" s="1"/>
  <c r="AF704" i="2" s="1"/>
  <c r="AB705" i="2" l="1"/>
  <c r="AD705" i="2"/>
  <c r="AE705" i="2" s="1"/>
  <c r="AF705" i="2" s="1"/>
  <c r="U702" i="2"/>
  <c r="V702" i="2" s="1"/>
  <c r="W702" i="2" s="1"/>
  <c r="S702" i="2"/>
  <c r="U703" i="2" l="1"/>
  <c r="V703" i="2" s="1"/>
  <c r="W703" i="2" s="1"/>
  <c r="S703" i="2"/>
  <c r="AD706" i="2"/>
  <c r="AE706" i="2" s="1"/>
  <c r="AF706" i="2" s="1"/>
  <c r="AB706" i="2"/>
  <c r="AD707" i="2" l="1"/>
  <c r="AE707" i="2" s="1"/>
  <c r="AF707" i="2" s="1"/>
  <c r="AB707" i="2"/>
  <c r="U704" i="2"/>
  <c r="V704" i="2" s="1"/>
  <c r="W704" i="2" s="1"/>
  <c r="S704" i="2"/>
  <c r="U705" i="2" l="1"/>
  <c r="V705" i="2" s="1"/>
  <c r="W705" i="2" s="1"/>
  <c r="S705" i="2"/>
  <c r="AD708" i="2"/>
  <c r="AE708" i="2" s="1"/>
  <c r="AF708" i="2" s="1"/>
  <c r="AB708" i="2"/>
  <c r="AD709" i="2" l="1"/>
  <c r="AE709" i="2" s="1"/>
  <c r="AF709" i="2" s="1"/>
  <c r="AB709" i="2"/>
  <c r="S706" i="2"/>
  <c r="U706" i="2"/>
  <c r="V706" i="2" s="1"/>
  <c r="W706" i="2" s="1"/>
  <c r="S707" i="2" l="1"/>
  <c r="U707" i="2"/>
  <c r="V707" i="2" s="1"/>
  <c r="W707" i="2" s="1"/>
  <c r="AD710" i="2"/>
  <c r="AE710" i="2" s="1"/>
  <c r="AF710" i="2" s="1"/>
  <c r="AB710" i="2"/>
  <c r="AD711" i="2" l="1"/>
  <c r="AE711" i="2" s="1"/>
  <c r="AF711" i="2" s="1"/>
  <c r="AB711" i="2"/>
  <c r="S708" i="2"/>
  <c r="U708" i="2"/>
  <c r="V708" i="2" s="1"/>
  <c r="W708" i="2" s="1"/>
  <c r="S709" i="2" l="1"/>
  <c r="U709" i="2"/>
  <c r="V709" i="2" s="1"/>
  <c r="W709" i="2" s="1"/>
  <c r="AD712" i="2"/>
  <c r="AE712" i="2" s="1"/>
  <c r="AF712" i="2" s="1"/>
  <c r="AB712" i="2"/>
  <c r="AD713" i="2" l="1"/>
  <c r="AE713" i="2" s="1"/>
  <c r="AF713" i="2" s="1"/>
  <c r="AB713" i="2"/>
  <c r="S710" i="2"/>
  <c r="U710" i="2"/>
  <c r="V710" i="2" s="1"/>
  <c r="W710" i="2" s="1"/>
  <c r="S711" i="2" l="1"/>
  <c r="U711" i="2"/>
  <c r="V711" i="2" s="1"/>
  <c r="W711" i="2" s="1"/>
  <c r="AD714" i="2"/>
  <c r="AE714" i="2" s="1"/>
  <c r="AF714" i="2" s="1"/>
  <c r="AB714" i="2"/>
  <c r="AD715" i="2" l="1"/>
  <c r="AE715" i="2" s="1"/>
  <c r="AF715" i="2" s="1"/>
  <c r="AB715" i="2"/>
  <c r="S712" i="2"/>
  <c r="U712" i="2"/>
  <c r="V712" i="2" s="1"/>
  <c r="W712" i="2" s="1"/>
  <c r="S713" i="2" l="1"/>
  <c r="U713" i="2"/>
  <c r="V713" i="2" s="1"/>
  <c r="W713" i="2" s="1"/>
  <c r="AD716" i="2"/>
  <c r="AE716" i="2" s="1"/>
  <c r="AB716" i="2"/>
  <c r="AG79" i="2" l="1"/>
  <c r="F63" i="35" s="1"/>
  <c r="AF716" i="2"/>
  <c r="S714" i="2"/>
  <c r="U714" i="2"/>
  <c r="V714" i="2" s="1"/>
  <c r="W714" i="2" s="1"/>
  <c r="S715" i="2" l="1"/>
  <c r="U715" i="2"/>
  <c r="V715" i="2" s="1"/>
  <c r="W715" i="2" s="1"/>
  <c r="S716" i="2" l="1"/>
  <c r="U716" i="2"/>
  <c r="V716" i="2" s="1"/>
  <c r="W716" i="2" s="1"/>
  <c r="X79" i="2" l="1"/>
  <c r="F10" i="2" s="1"/>
  <c r="H35" i="5" l="1"/>
  <c r="E34" i="35"/>
  <c r="C79" i="2"/>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C242" i="2" s="1"/>
  <c r="C243" i="2" s="1"/>
  <c r="C244" i="2" s="1"/>
  <c r="C245" i="2" s="1"/>
  <c r="C246" i="2" s="1"/>
  <c r="C247" i="2" s="1"/>
  <c r="C248" i="2" s="1"/>
  <c r="C249" i="2" s="1"/>
  <c r="C250" i="2" s="1"/>
  <c r="C251" i="2" s="1"/>
  <c r="C252" i="2" s="1"/>
  <c r="C253" i="2" s="1"/>
  <c r="C254" i="2" s="1"/>
  <c r="C255" i="2" s="1"/>
  <c r="C256" i="2" s="1"/>
  <c r="C257" i="2" s="1"/>
  <c r="C258" i="2" s="1"/>
  <c r="C259" i="2" s="1"/>
  <c r="C260" i="2" s="1"/>
  <c r="C261" i="2" s="1"/>
  <c r="C262" i="2" s="1"/>
  <c r="C263" i="2" s="1"/>
  <c r="C264" i="2" s="1"/>
  <c r="C265" i="2" s="1"/>
  <c r="C266" i="2" s="1"/>
  <c r="C267" i="2" s="1"/>
  <c r="C268" i="2" s="1"/>
  <c r="C269" i="2" s="1"/>
  <c r="C270" i="2" s="1"/>
  <c r="C271" i="2" s="1"/>
  <c r="C272" i="2" s="1"/>
  <c r="C273" i="2" s="1"/>
  <c r="C274" i="2" s="1"/>
  <c r="C275" i="2" s="1"/>
  <c r="C276" i="2" s="1"/>
  <c r="C277" i="2" s="1"/>
  <c r="C278" i="2" s="1"/>
  <c r="C279" i="2" s="1"/>
  <c r="C280" i="2" s="1"/>
  <c r="C281" i="2" s="1"/>
  <c r="C282" i="2" s="1"/>
  <c r="C283" i="2" s="1"/>
  <c r="C284" i="2" s="1"/>
  <c r="C285" i="2" s="1"/>
  <c r="C286" i="2" s="1"/>
  <c r="C287" i="2" s="1"/>
  <c r="C288" i="2" s="1"/>
  <c r="C289" i="2" s="1"/>
  <c r="C290" i="2" s="1"/>
  <c r="C291" i="2" s="1"/>
  <c r="C292" i="2" s="1"/>
  <c r="C293" i="2" s="1"/>
  <c r="C294" i="2" s="1"/>
  <c r="C295" i="2" s="1"/>
  <c r="C296" i="2" s="1"/>
  <c r="C297" i="2" s="1"/>
  <c r="C298" i="2" s="1"/>
  <c r="C299" i="2" s="1"/>
  <c r="C300" i="2" s="1"/>
  <c r="C301" i="2" s="1"/>
  <c r="C302" i="2" s="1"/>
  <c r="C303" i="2" s="1"/>
  <c r="C304" i="2" s="1"/>
  <c r="C305" i="2" s="1"/>
  <c r="C306" i="2" s="1"/>
  <c r="C307" i="2" s="1"/>
  <c r="C308" i="2" s="1"/>
  <c r="C309" i="2" s="1"/>
  <c r="C310" i="2" s="1"/>
  <c r="C311" i="2" s="1"/>
  <c r="C312" i="2" s="1"/>
  <c r="C313" i="2" s="1"/>
  <c r="C314" i="2" s="1"/>
  <c r="C315" i="2" s="1"/>
  <c r="C316" i="2" s="1"/>
  <c r="C317" i="2" s="1"/>
  <c r="C318" i="2" s="1"/>
  <c r="C319" i="2" s="1"/>
  <c r="C320" i="2" s="1"/>
  <c r="C321" i="2" s="1"/>
  <c r="C322" i="2" s="1"/>
  <c r="C323" i="2" s="1"/>
  <c r="C324" i="2" s="1"/>
  <c r="C325" i="2" s="1"/>
  <c r="C326" i="2" s="1"/>
  <c r="C327" i="2" s="1"/>
  <c r="C328" i="2" s="1"/>
  <c r="C329" i="2" s="1"/>
  <c r="C330" i="2" s="1"/>
  <c r="C331" i="2" s="1"/>
  <c r="C332" i="2" s="1"/>
  <c r="C333" i="2" s="1"/>
  <c r="C334" i="2" s="1"/>
  <c r="C335" i="2" s="1"/>
  <c r="C336" i="2" s="1"/>
  <c r="C337" i="2" s="1"/>
  <c r="C338" i="2" s="1"/>
  <c r="C339" i="2" s="1"/>
  <c r="C340" i="2" s="1"/>
  <c r="C341" i="2" s="1"/>
  <c r="C342" i="2" s="1"/>
  <c r="C343" i="2" s="1"/>
  <c r="C344" i="2" s="1"/>
  <c r="C345" i="2" s="1"/>
  <c r="C346" i="2" s="1"/>
  <c r="C347" i="2" s="1"/>
  <c r="C348" i="2" s="1"/>
  <c r="C349" i="2" s="1"/>
  <c r="C350" i="2" s="1"/>
  <c r="C351" i="2" s="1"/>
  <c r="C352" i="2" s="1"/>
  <c r="C353" i="2" s="1"/>
  <c r="C354" i="2" s="1"/>
  <c r="C355" i="2" s="1"/>
  <c r="C356" i="2" s="1"/>
  <c r="C357" i="2" s="1"/>
  <c r="C358" i="2" s="1"/>
  <c r="C359" i="2" s="1"/>
  <c r="C360" i="2" s="1"/>
  <c r="C361" i="2" s="1"/>
  <c r="C362" i="2" s="1"/>
  <c r="C363" i="2" s="1"/>
  <c r="C364" i="2" s="1"/>
  <c r="C365" i="2" s="1"/>
  <c r="C366" i="2" s="1"/>
  <c r="C367" i="2" s="1"/>
  <c r="C368" i="2" s="1"/>
  <c r="C369" i="2" s="1"/>
  <c r="C370" i="2" s="1"/>
  <c r="C371" i="2" s="1"/>
  <c r="C372" i="2" s="1"/>
  <c r="C373" i="2" s="1"/>
  <c r="C374" i="2" s="1"/>
  <c r="C375" i="2" s="1"/>
  <c r="C376" i="2" s="1"/>
  <c r="C377" i="2" s="1"/>
  <c r="C378" i="2" s="1"/>
  <c r="C379" i="2" s="1"/>
  <c r="C380" i="2" s="1"/>
  <c r="C381" i="2" s="1"/>
  <c r="C382" i="2" s="1"/>
  <c r="C383" i="2" s="1"/>
  <c r="C384" i="2" s="1"/>
  <c r="C385" i="2" s="1"/>
  <c r="C386" i="2" s="1"/>
  <c r="C387" i="2" s="1"/>
  <c r="C388" i="2" s="1"/>
  <c r="C389" i="2" s="1"/>
  <c r="C390" i="2" s="1"/>
  <c r="C391" i="2" s="1"/>
  <c r="C392" i="2" s="1"/>
  <c r="C393" i="2" s="1"/>
  <c r="C394" i="2" s="1"/>
  <c r="C395" i="2" s="1"/>
  <c r="C396" i="2" s="1"/>
  <c r="C397" i="2" s="1"/>
  <c r="C398" i="2" s="1"/>
  <c r="C399" i="2" s="1"/>
  <c r="C400" i="2" s="1"/>
  <c r="C401" i="2" s="1"/>
  <c r="C402" i="2" s="1"/>
  <c r="C403" i="2" s="1"/>
  <c r="C404" i="2" s="1"/>
  <c r="C405" i="2" s="1"/>
  <c r="C406" i="2" s="1"/>
  <c r="C407" i="2" s="1"/>
  <c r="C408" i="2" s="1"/>
  <c r="C409" i="2" s="1"/>
  <c r="C410" i="2" s="1"/>
  <c r="C411" i="2" s="1"/>
  <c r="C412" i="2" s="1"/>
  <c r="C413" i="2" s="1"/>
  <c r="C414" i="2" s="1"/>
  <c r="C415" i="2" s="1"/>
  <c r="C416" i="2" s="1"/>
  <c r="C417" i="2" s="1"/>
  <c r="C418" i="2" s="1"/>
  <c r="C419" i="2" s="1"/>
  <c r="C420" i="2" s="1"/>
  <c r="C421" i="2" s="1"/>
  <c r="C422" i="2" s="1"/>
  <c r="C423" i="2" s="1"/>
  <c r="C424" i="2" s="1"/>
  <c r="C425" i="2" s="1"/>
  <c r="C426" i="2" s="1"/>
  <c r="C427" i="2" s="1"/>
  <c r="C428" i="2" s="1"/>
  <c r="C429" i="2" s="1"/>
  <c r="C430" i="2" s="1"/>
  <c r="C431" i="2" s="1"/>
  <c r="C432" i="2" s="1"/>
  <c r="C433" i="2" s="1"/>
  <c r="C434" i="2" s="1"/>
  <c r="C435" i="2" s="1"/>
  <c r="C436" i="2" s="1"/>
  <c r="C437" i="2" s="1"/>
  <c r="C438" i="2" s="1"/>
  <c r="C439" i="2" s="1"/>
  <c r="C440" i="2" s="1"/>
  <c r="C441" i="2" s="1"/>
  <c r="C442" i="2" s="1"/>
  <c r="C443" i="2" s="1"/>
  <c r="C444" i="2" s="1"/>
  <c r="C445" i="2" s="1"/>
  <c r="C446" i="2" s="1"/>
  <c r="C447" i="2" s="1"/>
  <c r="C448" i="2" s="1"/>
  <c r="C449" i="2" s="1"/>
  <c r="C450" i="2" s="1"/>
  <c r="C451" i="2" s="1"/>
  <c r="C452" i="2" s="1"/>
  <c r="C453" i="2" s="1"/>
  <c r="C454" i="2" s="1"/>
  <c r="C455" i="2" s="1"/>
  <c r="C456" i="2" s="1"/>
  <c r="C457" i="2" s="1"/>
  <c r="C458" i="2" s="1"/>
  <c r="C459" i="2" s="1"/>
  <c r="C460" i="2" s="1"/>
  <c r="C461" i="2" s="1"/>
  <c r="C462" i="2" s="1"/>
  <c r="C463" i="2" s="1"/>
  <c r="C464" i="2" s="1"/>
  <c r="C465" i="2" s="1"/>
  <c r="C466" i="2" s="1"/>
  <c r="C467" i="2" s="1"/>
  <c r="C468" i="2" s="1"/>
  <c r="C469" i="2" s="1"/>
  <c r="C470" i="2" s="1"/>
  <c r="C471" i="2" s="1"/>
  <c r="C472" i="2" s="1"/>
  <c r="C473" i="2" s="1"/>
  <c r="C474" i="2" s="1"/>
  <c r="C475" i="2" s="1"/>
  <c r="C476" i="2" s="1"/>
  <c r="C477" i="2" s="1"/>
  <c r="C478" i="2" s="1"/>
  <c r="C479" i="2" s="1"/>
  <c r="C480" i="2" s="1"/>
  <c r="C481" i="2" s="1"/>
  <c r="C482" i="2" s="1"/>
  <c r="C483" i="2" s="1"/>
  <c r="C484" i="2" s="1"/>
  <c r="C485" i="2" s="1"/>
  <c r="C486" i="2" s="1"/>
  <c r="C487" i="2" s="1"/>
  <c r="C488" i="2" s="1"/>
  <c r="C489" i="2" s="1"/>
  <c r="C490" i="2" s="1"/>
  <c r="C491" i="2" s="1"/>
  <c r="C492" i="2" s="1"/>
  <c r="C493" i="2" s="1"/>
  <c r="C494" i="2" s="1"/>
  <c r="C495" i="2" s="1"/>
  <c r="C496" i="2" s="1"/>
  <c r="C497" i="2" s="1"/>
  <c r="C498" i="2" s="1"/>
  <c r="C499" i="2" s="1"/>
  <c r="C500" i="2" s="1"/>
  <c r="C501" i="2" s="1"/>
  <c r="C502" i="2" s="1"/>
  <c r="C503" i="2" s="1"/>
  <c r="C504" i="2" s="1"/>
  <c r="C505" i="2" s="1"/>
  <c r="C506" i="2" s="1"/>
  <c r="C507" i="2" s="1"/>
  <c r="C508" i="2" s="1"/>
  <c r="C509" i="2" s="1"/>
  <c r="C510" i="2" s="1"/>
  <c r="C511" i="2" s="1"/>
  <c r="C512" i="2" s="1"/>
  <c r="C513" i="2" s="1"/>
  <c r="C514" i="2" s="1"/>
  <c r="C515" i="2" s="1"/>
  <c r="C516" i="2" s="1"/>
  <c r="C517" i="2" s="1"/>
  <c r="C518" i="2" s="1"/>
  <c r="C519" i="2" s="1"/>
  <c r="C520" i="2" s="1"/>
  <c r="C521" i="2" s="1"/>
  <c r="C522" i="2" s="1"/>
  <c r="C523" i="2" s="1"/>
  <c r="C524" i="2" s="1"/>
  <c r="C525" i="2" s="1"/>
  <c r="C526" i="2" s="1"/>
  <c r="C527" i="2" s="1"/>
  <c r="C528" i="2" s="1"/>
  <c r="C529" i="2" s="1"/>
  <c r="C530" i="2" s="1"/>
  <c r="C531" i="2" s="1"/>
  <c r="C532" i="2" s="1"/>
  <c r="C533" i="2" s="1"/>
  <c r="C534" i="2" s="1"/>
  <c r="C535" i="2" s="1"/>
  <c r="C536" i="2" s="1"/>
  <c r="C537" i="2" s="1"/>
  <c r="C538" i="2" s="1"/>
  <c r="C539" i="2" s="1"/>
  <c r="C540" i="2" s="1"/>
  <c r="C541" i="2" s="1"/>
  <c r="C542" i="2" s="1"/>
  <c r="C543" i="2" s="1"/>
  <c r="C544" i="2" s="1"/>
  <c r="C545" i="2" s="1"/>
  <c r="C546" i="2" s="1"/>
  <c r="C547" i="2" s="1"/>
  <c r="C548" i="2" s="1"/>
  <c r="C549" i="2" s="1"/>
  <c r="C550" i="2" s="1"/>
  <c r="C551" i="2" s="1"/>
  <c r="C552" i="2" s="1"/>
  <c r="C553" i="2" s="1"/>
  <c r="C554" i="2" s="1"/>
  <c r="C555" i="2" s="1"/>
  <c r="C556" i="2" s="1"/>
  <c r="C557" i="2" s="1"/>
  <c r="C558" i="2" s="1"/>
  <c r="C559" i="2" s="1"/>
  <c r="C560" i="2" s="1"/>
  <c r="C561" i="2" s="1"/>
  <c r="C562" i="2" s="1"/>
  <c r="C563" i="2" s="1"/>
  <c r="C564" i="2" s="1"/>
  <c r="C565" i="2" s="1"/>
  <c r="C566" i="2" s="1"/>
  <c r="C567" i="2" s="1"/>
  <c r="C568" i="2" s="1"/>
  <c r="C569" i="2" s="1"/>
  <c r="C570" i="2" s="1"/>
  <c r="C571" i="2" s="1"/>
  <c r="C572" i="2" s="1"/>
  <c r="C573" i="2" s="1"/>
  <c r="C574" i="2" s="1"/>
  <c r="C575" i="2" s="1"/>
  <c r="C576" i="2" s="1"/>
  <c r="C577" i="2" s="1"/>
  <c r="C578" i="2" s="1"/>
  <c r="C579" i="2" s="1"/>
  <c r="C580" i="2" s="1"/>
  <c r="C581" i="2" s="1"/>
  <c r="C582" i="2" s="1"/>
  <c r="C583" i="2" s="1"/>
  <c r="C584" i="2" s="1"/>
  <c r="C585" i="2" s="1"/>
  <c r="C586" i="2" s="1"/>
  <c r="C587" i="2" s="1"/>
  <c r="C588" i="2" s="1"/>
  <c r="C589" i="2" s="1"/>
  <c r="C590" i="2" s="1"/>
  <c r="C591" i="2" s="1"/>
  <c r="C592" i="2" s="1"/>
  <c r="C593" i="2" s="1"/>
  <c r="C594" i="2" s="1"/>
  <c r="C595" i="2" s="1"/>
  <c r="C596" i="2" s="1"/>
  <c r="C597" i="2" s="1"/>
  <c r="C598" i="2" s="1"/>
  <c r="C599" i="2" s="1"/>
  <c r="C600" i="2" s="1"/>
  <c r="C601" i="2" s="1"/>
  <c r="C602" i="2" s="1"/>
  <c r="C603" i="2" s="1"/>
  <c r="C604" i="2" s="1"/>
  <c r="C605" i="2" s="1"/>
  <c r="C606" i="2" s="1"/>
  <c r="C607" i="2" s="1"/>
  <c r="C608" i="2" s="1"/>
  <c r="C609" i="2" s="1"/>
  <c r="C610" i="2" s="1"/>
  <c r="C611" i="2" s="1"/>
  <c r="C612" i="2" s="1"/>
  <c r="C613" i="2" s="1"/>
  <c r="C614" i="2" s="1"/>
  <c r="C615" i="2" s="1"/>
  <c r="C616" i="2" s="1"/>
  <c r="C617" i="2" s="1"/>
  <c r="C618" i="2" s="1"/>
  <c r="C619" i="2" s="1"/>
  <c r="C620" i="2" s="1"/>
  <c r="C621" i="2" s="1"/>
  <c r="C622" i="2" s="1"/>
  <c r="C623" i="2" s="1"/>
  <c r="C624" i="2" s="1"/>
  <c r="C625" i="2" s="1"/>
  <c r="C626" i="2" s="1"/>
  <c r="C627" i="2" s="1"/>
  <c r="C628" i="2" s="1"/>
  <c r="C629" i="2" s="1"/>
  <c r="C630" i="2" s="1"/>
  <c r="C631" i="2" s="1"/>
  <c r="C632" i="2" s="1"/>
  <c r="C633" i="2" s="1"/>
  <c r="C634" i="2" s="1"/>
  <c r="C635" i="2" s="1"/>
  <c r="C636" i="2" s="1"/>
  <c r="C637" i="2" s="1"/>
  <c r="C638" i="2" s="1"/>
  <c r="C639" i="2" s="1"/>
  <c r="C640" i="2" s="1"/>
  <c r="C641" i="2" s="1"/>
  <c r="C642" i="2" s="1"/>
  <c r="C643" i="2" s="1"/>
  <c r="C644" i="2" s="1"/>
  <c r="C645" i="2" s="1"/>
  <c r="C646" i="2" s="1"/>
  <c r="C647" i="2" s="1"/>
  <c r="C648" i="2" s="1"/>
  <c r="C649" i="2" s="1"/>
  <c r="C650" i="2" s="1"/>
  <c r="C651" i="2" s="1"/>
  <c r="C652" i="2" s="1"/>
  <c r="C653" i="2" s="1"/>
  <c r="C654" i="2" s="1"/>
  <c r="C655" i="2" s="1"/>
  <c r="C656" i="2" s="1"/>
  <c r="C657" i="2" s="1"/>
  <c r="C658" i="2" s="1"/>
  <c r="C659" i="2" s="1"/>
  <c r="C660" i="2" s="1"/>
  <c r="C661" i="2" s="1"/>
  <c r="C662" i="2" s="1"/>
  <c r="C663" i="2" s="1"/>
  <c r="C664" i="2" s="1"/>
  <c r="C665" i="2" s="1"/>
  <c r="C666" i="2" s="1"/>
  <c r="C667" i="2" s="1"/>
  <c r="C668" i="2" s="1"/>
  <c r="C669" i="2" s="1"/>
  <c r="C670" i="2" s="1"/>
  <c r="C671" i="2" s="1"/>
  <c r="C672" i="2" s="1"/>
  <c r="C673" i="2" s="1"/>
  <c r="C674" i="2" s="1"/>
  <c r="C675" i="2" s="1"/>
  <c r="C676" i="2" s="1"/>
  <c r="C677" i="2" s="1"/>
  <c r="C678" i="2" s="1"/>
  <c r="C679" i="2" s="1"/>
  <c r="C680" i="2" s="1"/>
  <c r="C681" i="2" s="1"/>
  <c r="C682" i="2" s="1"/>
  <c r="C683" i="2" s="1"/>
  <c r="C684" i="2" s="1"/>
  <c r="C685" i="2" s="1"/>
  <c r="C686" i="2" s="1"/>
  <c r="C687" i="2" s="1"/>
  <c r="C688" i="2" s="1"/>
  <c r="C689" i="2" s="1"/>
  <c r="C690" i="2" s="1"/>
  <c r="C691" i="2" s="1"/>
  <c r="C692" i="2" s="1"/>
  <c r="C693" i="2" s="1"/>
  <c r="C694" i="2" s="1"/>
  <c r="C695" i="2" s="1"/>
  <c r="C696" i="2" s="1"/>
  <c r="C697" i="2" s="1"/>
  <c r="C698" i="2" s="1"/>
  <c r="C699" i="2" s="1"/>
  <c r="C700" i="2" s="1"/>
  <c r="C701" i="2" s="1"/>
  <c r="C702" i="2" s="1"/>
  <c r="C703" i="2" s="1"/>
  <c r="C704" i="2" s="1"/>
  <c r="C705" i="2" s="1"/>
  <c r="C706" i="2" s="1"/>
  <c r="C707" i="2" s="1"/>
  <c r="C708" i="2" s="1"/>
  <c r="C709" i="2" s="1"/>
  <c r="C710" i="2" s="1"/>
  <c r="C711" i="2" s="1"/>
  <c r="C712" i="2" s="1"/>
  <c r="C713" i="2" s="1"/>
  <c r="C714" i="2" s="1"/>
  <c r="C715" i="2" s="1"/>
  <c r="C716" i="2" s="1"/>
  <c r="H20" i="2"/>
</calcChain>
</file>

<file path=xl/comments1.xml><?xml version="1.0" encoding="utf-8"?>
<comments xmlns="http://schemas.openxmlformats.org/spreadsheetml/2006/main">
  <authors>
    <author>Dávid Likvácsik</author>
  </authors>
  <commentList>
    <comment ref="B319" authorId="0" shapeId="0">
      <text>
        <r>
          <rPr>
            <b/>
            <sz val="9"/>
            <color indexed="81"/>
            <rFont val="Tahoma"/>
            <family val="2"/>
            <charset val="238"/>
          </rPr>
          <t>Dávid Likvácsik:</t>
        </r>
        <r>
          <rPr>
            <sz val="9"/>
            <color indexed="81"/>
            <rFont val="Tahoma"/>
            <family val="2"/>
            <charset val="238"/>
          </rPr>
          <t xml:space="preserve">
Előző naptári év utolsó napján érvényes havi bruttó minimálbér 1,50%-a:
2023. évre vonatkozóan 3000 Ft /hó</t>
        </r>
      </text>
    </comment>
  </commentList>
</comments>
</file>

<file path=xl/sharedStrings.xml><?xml version="1.0" encoding="utf-8"?>
<sst xmlns="http://schemas.openxmlformats.org/spreadsheetml/2006/main" count="3338" uniqueCount="2031">
  <si>
    <t>Forint</t>
  </si>
  <si>
    <t>Kölcsön felvételéhez kapcsolódó egyszeri díjak:</t>
  </si>
  <si>
    <t>/fedezet</t>
  </si>
  <si>
    <t>egyedi egyéb</t>
  </si>
  <si>
    <t>Közjegyzői díjszabás szerint</t>
  </si>
  <si>
    <t>Késedelem miatti első fizetési felszólítás díja</t>
  </si>
  <si>
    <t>karton</t>
  </si>
  <si>
    <t>Késedelem miatti második fizetési felszólítás díja</t>
  </si>
  <si>
    <t>Szerződésmódosítási díjak:</t>
  </si>
  <si>
    <t>az előtörlesztett összegre vetítve</t>
  </si>
  <si>
    <t>Kölcsönösszeg</t>
  </si>
  <si>
    <t>számlavezetési költség</t>
  </si>
  <si>
    <t>Futamidő</t>
  </si>
  <si>
    <t>folyósítási juti</t>
  </si>
  <si>
    <t>Egyéb díjak:</t>
  </si>
  <si>
    <t>Postai úton megküldött kamatértesítő díja</t>
  </si>
  <si>
    <t>/kamatértesítő</t>
  </si>
  <si>
    <t>Elektronikus kamatértesítő</t>
  </si>
  <si>
    <t>díjmentes</t>
  </si>
  <si>
    <t>Eseti kimutatások díja</t>
  </si>
  <si>
    <t>Kamatláb</t>
  </si>
  <si>
    <t>fedezetértékelési díj</t>
  </si>
  <si>
    <t>Kamatperiódus</t>
  </si>
  <si>
    <t>tulajdoni lap ktg</t>
  </si>
  <si>
    <t>Kamatozás típusa</t>
  </si>
  <si>
    <t>változó</t>
  </si>
  <si>
    <t>jelzálogbejegyzési díj</t>
  </si>
  <si>
    <t>Kamat mértéke (évi)</t>
  </si>
  <si>
    <t>THM</t>
  </si>
  <si>
    <t>Vonatkozó 3 havi BUBOR</t>
  </si>
  <si>
    <t>időszak hónapban</t>
  </si>
  <si>
    <t>fenálló tőke (záró)</t>
  </si>
  <si>
    <t>Tőketörlesztés</t>
  </si>
  <si>
    <t>kamattörlesztés</t>
  </si>
  <si>
    <t>tr</t>
  </si>
  <si>
    <t>értesítő</t>
  </si>
  <si>
    <t>THM CF</t>
  </si>
  <si>
    <t>Akciós THM CF</t>
  </si>
  <si>
    <t>Prémium 1</t>
  </si>
  <si>
    <t>3 havi BUBOR +</t>
  </si>
  <si>
    <t>M1</t>
  </si>
  <si>
    <t>L2</t>
  </si>
  <si>
    <t>L3</t>
  </si>
  <si>
    <t>M2</t>
  </si>
  <si>
    <t>L1</t>
  </si>
  <si>
    <t>M3</t>
  </si>
  <si>
    <t>M4</t>
  </si>
  <si>
    <t>M5</t>
  </si>
  <si>
    <t>(1)</t>
  </si>
  <si>
    <t>(2)</t>
  </si>
  <si>
    <t>Helyrajzi számonként, szerződéskötéskor fizetendő, a biztosítéki jogok földhivatali bejegyzésének ügyintézésére.</t>
  </si>
  <si>
    <t>(3)</t>
  </si>
  <si>
    <t>Fizetendő a kölcsön fedezetéül szolgáló ingatlanra bejegyzett jelzálogjog törlése esetén.</t>
  </si>
  <si>
    <t>(4)</t>
  </si>
  <si>
    <t>Az Adóshoz/Adóstárshoz történő kiszállások díja, mely a Gránit Banknál vezetett számla (amelyről a kölcsön törlesztése is történik)  megterhelése által kerül kiegyenlítésre.</t>
  </si>
  <si>
    <t>(5)</t>
  </si>
  <si>
    <t>(6)</t>
  </si>
  <si>
    <t>(7)</t>
  </si>
  <si>
    <t>(8)</t>
  </si>
  <si>
    <t>(9)</t>
  </si>
  <si>
    <t>(10)</t>
  </si>
  <si>
    <t>(11)</t>
  </si>
  <si>
    <t>(12)</t>
  </si>
  <si>
    <t>(13)</t>
  </si>
  <si>
    <t>(14)</t>
  </si>
  <si>
    <t>Az ingatlanban bekövetkezett változás miatti helyszíni ellenőrzésért felszámított - fedezetenként fizetendő - díj.</t>
  </si>
  <si>
    <t>A THM mutató az alábbi képlet szerint került kiszámításra.</t>
  </si>
  <si>
    <t>Ck:</t>
  </si>
  <si>
    <t>a k sorszámú hitelrészlet összege, csökkentve a hitel felvételével összefüggő, az első hitelfolyósításig fizetendő költségekkel,</t>
  </si>
  <si>
    <t>Dl:</t>
  </si>
  <si>
    <t>az 1 sorszámú törlesztőrészlet vagy díjfizetés összege,</t>
  </si>
  <si>
    <t>m:</t>
  </si>
  <si>
    <t>a hitelfolyósítások száma,</t>
  </si>
  <si>
    <t>m’:</t>
  </si>
  <si>
    <t>az utolsó törlesztőrészlet vagy díjfizetés sorszáma,</t>
  </si>
  <si>
    <t>tk:</t>
  </si>
  <si>
    <t>sl:</t>
  </si>
  <si>
    <t>az első hitelfolyósítás időpontja és minden egyes törlesztőrészlet vagy díjfizetés időpontja közötti időtartam években és töredékévekben kifejezve,</t>
  </si>
  <si>
    <t>X:</t>
  </si>
  <si>
    <t>a THM értéke.</t>
  </si>
  <si>
    <t>EREDMÉNYEK:</t>
  </si>
  <si>
    <t>Lakáscélú hitel</t>
  </si>
  <si>
    <t>finanszírozási arány</t>
  </si>
  <si>
    <t>ingatlan értéke alapján felvehető összeg:</t>
  </si>
  <si>
    <t>Akciós?</t>
  </si>
  <si>
    <t>igen</t>
  </si>
  <si>
    <t>jövedelem alapján felvehető max összeg:</t>
  </si>
  <si>
    <t>nem</t>
  </si>
  <si>
    <t>Földhivatali ügyintézést a Bank végzi?</t>
  </si>
  <si>
    <t>maximális kölcsönösszeg:</t>
  </si>
  <si>
    <t>INGATLAN ADATAI:</t>
  </si>
  <si>
    <t>ingatlanfedezetek száma:</t>
  </si>
  <si>
    <t>ingatlan fedezetek piaci értéke:</t>
  </si>
  <si>
    <t>HÁZTARTÁS ADATAI:</t>
  </si>
  <si>
    <t>kamatfelár</t>
  </si>
  <si>
    <t>kamatláb</t>
  </si>
  <si>
    <t>ebből 14 év alatti gyermek:</t>
  </si>
  <si>
    <t>ebből nyugdíjas:</t>
  </si>
  <si>
    <t>Teljes hiteldíj: (a teljes futamidő alatt a tőketartozáson felül fizetett összeg)</t>
  </si>
  <si>
    <t>DÍJAK:</t>
  </si>
  <si>
    <t>Maradvány érték</t>
  </si>
  <si>
    <t>fedezet értékelési díj:</t>
  </si>
  <si>
    <t>Ügyfél fizeti</t>
  </si>
  <si>
    <t>folyósítási jutalék:</t>
  </si>
  <si>
    <t>fedezetbejegyzési díj:</t>
  </si>
  <si>
    <t>tulajdoni lap díja:</t>
  </si>
  <si>
    <t>adminisztrációs díj:</t>
  </si>
  <si>
    <t>közjegyzői díj (becslés)</t>
  </si>
  <si>
    <t>számlacsomag havídíja</t>
  </si>
  <si>
    <t>meghitelezett díjak összesen:</t>
  </si>
  <si>
    <t>meghitelezett díjakkal növelt kölcsönösszeg</t>
  </si>
  <si>
    <t>háztartás szabad jövedelme</t>
  </si>
  <si>
    <t>időszak évben</t>
  </si>
  <si>
    <t>referncia kamat</t>
  </si>
  <si>
    <t>ügyfélkamat</t>
  </si>
  <si>
    <t>maradványérték</t>
  </si>
  <si>
    <t>Jogszabály szerinti THM</t>
  </si>
  <si>
    <t>Előterjesztés készítésének dátuma</t>
  </si>
  <si>
    <t xml:space="preserve">   K   é   r   e   l   e   m        a  d  a  t  o  k</t>
  </si>
  <si>
    <t>K É R E L E M  A D A T A I</t>
  </si>
  <si>
    <t>KÖLCSÖN</t>
  </si>
  <si>
    <t>Igényelt termék</t>
  </si>
  <si>
    <t>Igényelt kölcsön összege</t>
  </si>
  <si>
    <t>Hitelcél</t>
  </si>
  <si>
    <t>Futamidő hónapban</t>
  </si>
  <si>
    <t>Hitelkiváltás esetén:</t>
  </si>
  <si>
    <t>Rendszertelen hiteltörlesztés</t>
  </si>
  <si>
    <t>Hitelkiváltás, és hibátlan hitelmúlt esetén a jelenlegi törlesztőrészlet:</t>
  </si>
  <si>
    <t>Ingatlanfedezetek száma</t>
  </si>
  <si>
    <t>Türelmi idő hónapban</t>
  </si>
  <si>
    <t>Maradványérték</t>
  </si>
  <si>
    <t>DÍJMEGHITELEZÉS</t>
  </si>
  <si>
    <t>Egyszeri díjak összesen:</t>
  </si>
  <si>
    <t>Bank meghitelezi</t>
  </si>
  <si>
    <t>Igényelt kölcsön összege a meghitelezett díjakkal együtt:</t>
  </si>
  <si>
    <t>ebből, meghitelezett díjak összege:</t>
  </si>
  <si>
    <t>számlacsomag havidíja</t>
  </si>
  <si>
    <t xml:space="preserve">       1  .    H  á  z  t  a  r  t  á  s     a  d  a  t  a  i</t>
  </si>
  <si>
    <t>1. háztartás megnevezése:</t>
  </si>
  <si>
    <t xml:space="preserve">     1   .  H  á  z   t  a  r  t  á  s     a  d  a  t  a  i</t>
  </si>
  <si>
    <t>e g y é n i     a d a t o k</t>
  </si>
  <si>
    <t>Ügyfél1</t>
  </si>
  <si>
    <t>Ügyfél2</t>
  </si>
  <si>
    <t>Ügyfél3</t>
  </si>
  <si>
    <t>Ügyfél4</t>
  </si>
  <si>
    <t>Kötelezett neve:</t>
  </si>
  <si>
    <t>?</t>
  </si>
  <si>
    <t>Személyi igazolvány sz.:</t>
  </si>
  <si>
    <t>133880CA</t>
  </si>
  <si>
    <t>született:</t>
  </si>
  <si>
    <t>ADÓSMINŐSÍTÉS</t>
  </si>
  <si>
    <t>életkor:</t>
  </si>
  <si>
    <t>végzettség:</t>
  </si>
  <si>
    <t>1 felsőfokú</t>
  </si>
  <si>
    <t>nyelvismeret:</t>
  </si>
  <si>
    <t>1 középfokú</t>
  </si>
  <si>
    <t>folyószámla:</t>
  </si>
  <si>
    <t>Van</t>
  </si>
  <si>
    <t>havi rendszeres megtak.:</t>
  </si>
  <si>
    <t>1.000 Ft és 10.000 Ft között</t>
  </si>
  <si>
    <t>gyermekek száma:</t>
  </si>
  <si>
    <t>egyéb ingatlan:</t>
  </si>
  <si>
    <t>nincs</t>
  </si>
  <si>
    <t>ADÓSMINŐSÍTÉS:</t>
  </si>
  <si>
    <t>KHR / BAR státusz</t>
  </si>
  <si>
    <t>Nem szerepel</t>
  </si>
  <si>
    <t>JÖVEDELMEK</t>
  </si>
  <si>
    <t>szakképzettsége:</t>
  </si>
  <si>
    <t>bank</t>
  </si>
  <si>
    <t>Szoba festő mázoló</t>
  </si>
  <si>
    <t>fő jövedelemszerzés módja:</t>
  </si>
  <si>
    <t>alkalmazott</t>
  </si>
  <si>
    <t>vállalkozó</t>
  </si>
  <si>
    <t>tagja e beltagja e BT-nek v. KKT-nek vagy egyéni vállalkozó e?</t>
  </si>
  <si>
    <t>ha igen: cég APEH és KHR rendben?</t>
  </si>
  <si>
    <t>munkáltató neve:</t>
  </si>
  <si>
    <t>kdb</t>
  </si>
  <si>
    <t>erste</t>
  </si>
  <si>
    <t>OTP Bank Nyrt.</t>
  </si>
  <si>
    <t>munkáltató adószáma</t>
  </si>
  <si>
    <t>10537914-4-44</t>
  </si>
  <si>
    <t>521651-5-5</t>
  </si>
  <si>
    <t>negatív információ munkáltatóról:</t>
  </si>
  <si>
    <t>munkaviszony kezdete:</t>
  </si>
  <si>
    <t>munkaviszony típusa:</t>
  </si>
  <si>
    <t>határozatlan</t>
  </si>
  <si>
    <t>igazolt bruttó havi jövedelem</t>
  </si>
  <si>
    <t>igazolt nettó havi jövedelem</t>
  </si>
  <si>
    <t>jövedelemigazolás módja</t>
  </si>
  <si>
    <t>munkáltatói ig. + folyószámla</t>
  </si>
  <si>
    <t>egyéb havi nettó jövedelem 1.</t>
  </si>
  <si>
    <t>forrása</t>
  </si>
  <si>
    <t>munkabér, alkalmazotti munkaviszony</t>
  </si>
  <si>
    <t>ingatlan bérbeadásából származó jöv.</t>
  </si>
  <si>
    <t>jövedelemigazolás módja:</t>
  </si>
  <si>
    <t>nem hivatalos igazolás</t>
  </si>
  <si>
    <t>egyéb havi nettó jövedelem 2.</t>
  </si>
  <si>
    <t>nyugdíj</t>
  </si>
  <si>
    <t>egyéb havi nettó jövedelem 3.</t>
  </si>
  <si>
    <t>hivatalos igazolás</t>
  </si>
  <si>
    <t>MEGLÉVŐ HITELEK</t>
  </si>
  <si>
    <t>meglévő egyéb hitelek törlesztő r.</t>
  </si>
  <si>
    <t>kötelezettség típusa</t>
  </si>
  <si>
    <t>lakáshitel</t>
  </si>
  <si>
    <t>hitelkártya</t>
  </si>
  <si>
    <t>kiváltásra kerül?</t>
  </si>
  <si>
    <t>fizetési morál</t>
  </si>
  <si>
    <t>hibátlan</t>
  </si>
  <si>
    <t>egyéb kötelezettség havi részlete 2:</t>
  </si>
  <si>
    <t>autóhitel</t>
  </si>
  <si>
    <t>egyéb kötelezettség havi részlete 3:</t>
  </si>
  <si>
    <t>egyéb kötelezettség havi részlete 4:</t>
  </si>
  <si>
    <t>rossz</t>
  </si>
  <si>
    <t>egyéni admin korr egyhat (k)</t>
  </si>
  <si>
    <t>összes elfogadható nettó jöv.:</t>
  </si>
  <si>
    <t>összes havi kötelezettség:</t>
  </si>
  <si>
    <t>A háztartás szerkezete:</t>
  </si>
  <si>
    <t>Felnőttek száma</t>
  </si>
  <si>
    <t>14 év alatti gyermekek száma</t>
  </si>
  <si>
    <t>nyugdíjasok száma</t>
  </si>
  <si>
    <t xml:space="preserve">Mutatkozik-e a háztartás bármely tagjánál legalább 2 egymást követő bankszámlakivonaton fedezethiány miatt visszautasított tétel? </t>
  </si>
  <si>
    <t>A háztartás bármely tagjának lakossági folyószámlájához tartozó folyószámla hitelkeret rendszeresen (legalább 4 hónapon keresztül) teljesen kihasznált-e?</t>
  </si>
  <si>
    <t>A háztartás megélhetési költsége:</t>
  </si>
  <si>
    <t>A háztartás összes korrigált nettó jövedelme:</t>
  </si>
  <si>
    <t>A háztartás összes kötelezettsége:</t>
  </si>
  <si>
    <t>A háztartás összes korrigált szabad jövedelme:</t>
  </si>
  <si>
    <t xml:space="preserve">     2   .  H  á  z   t  a  r  t  á  s     a  d  a  t  a  i</t>
  </si>
  <si>
    <t>háztartás megnevezése:</t>
  </si>
  <si>
    <t>2 felsőfokú</t>
  </si>
  <si>
    <t>2 középfokú</t>
  </si>
  <si>
    <t>van, rendszeres átutalással</t>
  </si>
  <si>
    <t>több mint 10.000 Ft</t>
  </si>
  <si>
    <t>van</t>
  </si>
  <si>
    <t>kötelezettségek, hitelek</t>
  </si>
  <si>
    <t>egyéb kötelezettség havi részlete 1:</t>
  </si>
  <si>
    <t>Mutatkozik e a háztartás bármely tagjának lakossági folyószámláján 20 napnál nagyobb fizetési késedelem(meglévő hitel, közüzemi számla, stb.)</t>
  </si>
  <si>
    <t>A háztartás bármely tagjának lakossági folyószámlájához tartozó folyószámla hitelkeret rendszeresen teljesen kihasznált e?</t>
  </si>
  <si>
    <t>Ingatlanfedezetek Adatai</t>
  </si>
  <si>
    <t>I N G A T L A N F E D E Z E T E K A D A T A I</t>
  </si>
  <si>
    <t>1. Ingatlanfedezet adatai</t>
  </si>
  <si>
    <t>2. Ingatlanfedezet adatai</t>
  </si>
  <si>
    <t>3. Ingatlanfedezet adatai</t>
  </si>
  <si>
    <t>4. Ingatlanfedezet adatai</t>
  </si>
  <si>
    <t>az ingatlan jogi státusza:</t>
  </si>
  <si>
    <t>fedezet</t>
  </si>
  <si>
    <t>fedezet és hitelcél</t>
  </si>
  <si>
    <t>ingatlan besorolása:</t>
  </si>
  <si>
    <t>lakás</t>
  </si>
  <si>
    <t>helyiség:</t>
  </si>
  <si>
    <t>Budapest</t>
  </si>
  <si>
    <t>IRSZ:</t>
  </si>
  <si>
    <t>közterület:</t>
  </si>
  <si>
    <t>Szent István krt.</t>
  </si>
  <si>
    <t>házszám:</t>
  </si>
  <si>
    <t>lépcsőház:</t>
  </si>
  <si>
    <t>emelt:</t>
  </si>
  <si>
    <t>4.</t>
  </si>
  <si>
    <t>ajtó:</t>
  </si>
  <si>
    <t>10.</t>
  </si>
  <si>
    <t>HRSZ:</t>
  </si>
  <si>
    <t>54987/A/0/2</t>
  </si>
  <si>
    <t>osztatlan közös tulajdon ?</t>
  </si>
  <si>
    <t>értékbecslő:</t>
  </si>
  <si>
    <t>értékbecslés dátuma:</t>
  </si>
  <si>
    <t>az ingatlan forgalomképessége:</t>
  </si>
  <si>
    <t>Ingatlan értékesíthetősége (nap):</t>
  </si>
  <si>
    <t>készültségi fok:</t>
  </si>
  <si>
    <t>aktuális forgalmi érték:</t>
  </si>
  <si>
    <t>aktuális hitelbiztosítéki érték:</t>
  </si>
  <si>
    <t>várható forgalmi érték:</t>
  </si>
  <si>
    <t>várható hitelbiztosítéki érték:</t>
  </si>
  <si>
    <t>vételár:</t>
  </si>
  <si>
    <t>vételárból bírálatig megfizetve:</t>
  </si>
  <si>
    <t>vételárból folyósításig fizetendő:</t>
  </si>
  <si>
    <t>fizetési határidő:</t>
  </si>
  <si>
    <t>adásvételi szerződés a banki követelményeknek megfelel</t>
  </si>
  <si>
    <t>tulajdonosok és tulajdoni hányad</t>
  </si>
  <si>
    <t>1. tulajdonos neve</t>
  </si>
  <si>
    <t>tulajdoni hányad</t>
  </si>
  <si>
    <t>2. tulajdonos neve</t>
  </si>
  <si>
    <t>3. tulajdonos neve</t>
  </si>
  <si>
    <t>4. tulajdonos neve</t>
  </si>
  <si>
    <t>5. tulajdonos neve</t>
  </si>
  <si>
    <t>6. tulajdonos neve</t>
  </si>
  <si>
    <t>7. tulajdonos neve</t>
  </si>
  <si>
    <t>8. tulajdonos neve</t>
  </si>
  <si>
    <t>1. teher típusa:</t>
  </si>
  <si>
    <t>haszonélvezeti jog</t>
  </si>
  <si>
    <t>jelzálogjog</t>
  </si>
  <si>
    <t>jogosultja:</t>
  </si>
  <si>
    <t>bejegyzett összeg és devizanem:</t>
  </si>
  <si>
    <t>státusza:</t>
  </si>
  <si>
    <t>Bankot megelőzően fennmaradó</t>
  </si>
  <si>
    <t>2. teher típusa:</t>
  </si>
  <si>
    <t>3. teher típusa:</t>
  </si>
  <si>
    <t>4. teher típusa:</t>
  </si>
  <si>
    <t>5. teher típusa:</t>
  </si>
  <si>
    <t>Fennmaradó terhek összesen:</t>
  </si>
  <si>
    <t>Ügyletlimit számítás</t>
  </si>
  <si>
    <t>E R E D M É N Y E K</t>
  </si>
  <si>
    <t>Passzív KHR-es e bármely szereplő?</t>
  </si>
  <si>
    <t>Kiváltás hibátlan hitelmúlttal?</t>
  </si>
  <si>
    <t>Adható maximális kölcsönösszeg</t>
  </si>
  <si>
    <t>Háztartás jövedelmének felhasználható része</t>
  </si>
  <si>
    <t>Igényelt kölcsönösszeg</t>
  </si>
  <si>
    <t>LIMITEK</t>
  </si>
  <si>
    <t>Háztartás rendelkezésére álló összes szabad jövedelem:</t>
  </si>
  <si>
    <t>Jövedelem alapján nyújtható kölcsönösszeg</t>
  </si>
  <si>
    <t>Háztartási limit</t>
  </si>
  <si>
    <t>törlesztő részlet max</t>
  </si>
  <si>
    <t>Ügyletlimit</t>
  </si>
  <si>
    <t>Fedezeti ingatlanok piaci értéke</t>
  </si>
  <si>
    <t>LTV (finanszírozási arány)</t>
  </si>
  <si>
    <t>Ügyletminősítés</t>
  </si>
  <si>
    <t>Hitelkiváltás esetén a maximális kölcsönösszeg:</t>
  </si>
  <si>
    <t>Maximális kölcsönösszeg</t>
  </si>
  <si>
    <t>EREDMÉNYEK - KAMATLÁB, TÖRLESZTŐRÉSZLET, THM, teljes hiteldíj</t>
  </si>
  <si>
    <t>Javaslat döntésre</t>
  </si>
  <si>
    <t>fv döntési jogkörök</t>
  </si>
  <si>
    <t>szerződéskötési és folyósítási feltételek</t>
  </si>
  <si>
    <t>folyósítási lap</t>
  </si>
  <si>
    <t>mennyit, hova utalunk</t>
  </si>
  <si>
    <t>Jogszabály szerinti CF</t>
  </si>
  <si>
    <t>Kalkulációs adatlap</t>
  </si>
  <si>
    <t>Az Ön által megadott adatok:</t>
  </si>
  <si>
    <t>Kölcsön típusa</t>
  </si>
  <si>
    <t>Igényelt kölcsön összege a díjak meghitelezése esetén</t>
  </si>
  <si>
    <t>Igényelt kölcsön futamideje</t>
  </si>
  <si>
    <t>Nettó jövedelmek összesen</t>
  </si>
  <si>
    <t>Összes meglévő hitel havi törlesztőrészlete</t>
  </si>
  <si>
    <t>A kalkuláció eredménye:</t>
  </si>
  <si>
    <t>Ingatlanfedezet értéke alapján nyújtható kölcsönösszeg</t>
  </si>
  <si>
    <t>Az igényelt kölcsön az előzetes kalkuláció alapján</t>
  </si>
  <si>
    <t>ebből: 3 havi BUBOR</t>
  </si>
  <si>
    <t>ebből: kamatfelár</t>
  </si>
  <si>
    <t xml:space="preserve">Alulírott igazolom, hogy jelen kalkulációs adatlap egy példányát a szerződéskötést megelőzően átvettem és megismertem. </t>
  </si>
  <si>
    <t>Név: ……………………………………………………………………………………</t>
  </si>
  <si>
    <t>Lakcím: ……………………………………………………………………………………</t>
  </si>
  <si>
    <t>……………………………………………………………………</t>
  </si>
  <si>
    <t>Aláírás</t>
  </si>
  <si>
    <t>termék</t>
  </si>
  <si>
    <t>kód</t>
  </si>
  <si>
    <t>felár</t>
  </si>
  <si>
    <t>kamat</t>
  </si>
  <si>
    <t>törlesztő max</t>
  </si>
  <si>
    <t>törlesztő igény</t>
  </si>
  <si>
    <t>tr/szj igényelt</t>
  </si>
  <si>
    <t>házt. Limit</t>
  </si>
  <si>
    <t>tr/szj max</t>
  </si>
  <si>
    <t>max kamat</t>
  </si>
  <si>
    <t>max öszeg</t>
  </si>
  <si>
    <t>refrencia kamat</t>
  </si>
  <si>
    <t>futam</t>
  </si>
  <si>
    <t>Szabad felhasználású hitel</t>
  </si>
  <si>
    <t>összeg</t>
  </si>
  <si>
    <t>Hibátlan múlt és hitelkiváltás esetén</t>
  </si>
  <si>
    <t>SZJ</t>
  </si>
  <si>
    <t>LTV</t>
  </si>
  <si>
    <t>részlet</t>
  </si>
  <si>
    <t>TR/SZJ</t>
  </si>
  <si>
    <t xml:space="preserve">LTV 50%- </t>
  </si>
  <si>
    <t xml:space="preserve">M1 </t>
  </si>
  <si>
    <t xml:space="preserve">M2 </t>
  </si>
  <si>
    <t xml:space="preserve">M3 </t>
  </si>
  <si>
    <t xml:space="preserve">M4 </t>
  </si>
  <si>
    <t xml:space="preserve">M5 </t>
  </si>
  <si>
    <t>M</t>
  </si>
  <si>
    <t>L</t>
  </si>
  <si>
    <t>EGYSZERŰ KALKULÁTOR ALAPJÁN</t>
  </si>
  <si>
    <t>megoszlás</t>
  </si>
  <si>
    <t xml:space="preserve">LTV 0-33% </t>
  </si>
  <si>
    <t xml:space="preserve">LTV 33%-50% </t>
  </si>
  <si>
    <t>juti</t>
  </si>
  <si>
    <t>súlyozott kamat</t>
  </si>
  <si>
    <t>Profil szorzó értéke</t>
  </si>
  <si>
    <t>Ügyfélminősítés</t>
  </si>
  <si>
    <t>Adóminősítési korrekciós együttható (k)</t>
  </si>
  <si>
    <t>egy fogyasztási egységre jutó megélhetési költség</t>
  </si>
  <si>
    <t>Településlista</t>
  </si>
  <si>
    <t>E</t>
  </si>
  <si>
    <t>A</t>
  </si>
  <si>
    <t>első felnőtt</t>
  </si>
  <si>
    <t>első gyermek</t>
  </si>
  <si>
    <t>első nyugdíjas</t>
  </si>
  <si>
    <t>0,800 - 0,899</t>
  </si>
  <si>
    <t>D</t>
  </si>
  <si>
    <t>B</t>
  </si>
  <si>
    <t>további felnőttek</t>
  </si>
  <si>
    <t>második gyermek</t>
  </si>
  <si>
    <t>minden további</t>
  </si>
  <si>
    <t>Abony</t>
  </si>
  <si>
    <t>0,900 - 1,049</t>
  </si>
  <si>
    <t>C</t>
  </si>
  <si>
    <t>minden további gy.</t>
  </si>
  <si>
    <t>Albertirsa</t>
  </si>
  <si>
    <t>1,050 - 1,199</t>
  </si>
  <si>
    <t>Alsónémedi</t>
  </si>
  <si>
    <t xml:space="preserve">        1,200 -</t>
  </si>
  <si>
    <t>felnőttek száma</t>
  </si>
  <si>
    <t>szorzó</t>
  </si>
  <si>
    <t>gyerekek száma</t>
  </si>
  <si>
    <t>nyugdíjasok</t>
  </si>
  <si>
    <t>Aszód</t>
  </si>
  <si>
    <t>Balatonfüred</t>
  </si>
  <si>
    <t>Békéscsaba</t>
  </si>
  <si>
    <t>Biatorbágy</t>
  </si>
  <si>
    <t>Végzettség</t>
  </si>
  <si>
    <t>Budajenő</t>
  </si>
  <si>
    <t>8 általánosnál kevesebb</t>
  </si>
  <si>
    <t>Budakalász</t>
  </si>
  <si>
    <t>8 általános</t>
  </si>
  <si>
    <t>Budakeszi</t>
  </si>
  <si>
    <t>Budaörs</t>
  </si>
  <si>
    <t>Cegléd</t>
  </si>
  <si>
    <t>3 középfokú</t>
  </si>
  <si>
    <t>Csobánka</t>
  </si>
  <si>
    <t>Csomád</t>
  </si>
  <si>
    <t>Csömör</t>
  </si>
  <si>
    <t>3 felsőfokú</t>
  </si>
  <si>
    <t>Csörög</t>
  </si>
  <si>
    <t>Dabas</t>
  </si>
  <si>
    <t>Debrecen</t>
  </si>
  <si>
    <t>Nyelvismeret</t>
  </si>
  <si>
    <t>Délegyháza</t>
  </si>
  <si>
    <t>Nincs</t>
  </si>
  <si>
    <t>Diósd</t>
  </si>
  <si>
    <t>Alapfokú</t>
  </si>
  <si>
    <t>Dunabogdány</t>
  </si>
  <si>
    <t>Dunaharaszti</t>
  </si>
  <si>
    <t>Dunakeszi</t>
  </si>
  <si>
    <t>Dunaújváros</t>
  </si>
  <si>
    <t>Dunavarsány</t>
  </si>
  <si>
    <t>Ecser</t>
  </si>
  <si>
    <t>Eger</t>
  </si>
  <si>
    <t>közép és 1 felsőfokú</t>
  </si>
  <si>
    <t>Érd</t>
  </si>
  <si>
    <t>közép és 2 felsőfokú</t>
  </si>
  <si>
    <t>Erdőkertes</t>
  </si>
  <si>
    <t>közép és 3 felsőfokú</t>
  </si>
  <si>
    <t>Etyek</t>
  </si>
  <si>
    <t>Felsőpakony</t>
  </si>
  <si>
    <t>Fót</t>
  </si>
  <si>
    <t>Folyószámla</t>
  </si>
  <si>
    <t>Göd</t>
  </si>
  <si>
    <t>Gödöllő</t>
  </si>
  <si>
    <t>Gyál</t>
  </si>
  <si>
    <t>Gyömrő</t>
  </si>
  <si>
    <t>Győr</t>
  </si>
  <si>
    <t>Halásztelek</t>
  </si>
  <si>
    <t>Havi rendszeres megtakarítás</t>
  </si>
  <si>
    <t>Herceghalom</t>
  </si>
  <si>
    <t>kevesebb mint 1000 Ft</t>
  </si>
  <si>
    <t>Hévíz</t>
  </si>
  <si>
    <t>Hódmezővásárhely</t>
  </si>
  <si>
    <t>Isaszeg</t>
  </si>
  <si>
    <t>Kaposvár</t>
  </si>
  <si>
    <t>Gyermekek száma</t>
  </si>
  <si>
    <t>Kecskemét</t>
  </si>
  <si>
    <t>Kerepes</t>
  </si>
  <si>
    <t>Keszthely</t>
  </si>
  <si>
    <t>Kisoroszi</t>
  </si>
  <si>
    <t>3 vagy több mint 3</t>
  </si>
  <si>
    <t>Kistarcsa</t>
  </si>
  <si>
    <t>Leányfalu</t>
  </si>
  <si>
    <t>Egyéb ingatlan</t>
  </si>
  <si>
    <t>Maglód</t>
  </si>
  <si>
    <t>Majosháza</t>
  </si>
  <si>
    <t>Miskolc</t>
  </si>
  <si>
    <t>Mogyoród</t>
  </si>
  <si>
    <t>Monor</t>
  </si>
  <si>
    <t>Életkor</t>
  </si>
  <si>
    <t>Nagykanizsa</t>
  </si>
  <si>
    <t>18-20</t>
  </si>
  <si>
    <t>Nagykáta</t>
  </si>
  <si>
    <t>20-22</t>
  </si>
  <si>
    <t>Nagykovácsi</t>
  </si>
  <si>
    <t>22-24</t>
  </si>
  <si>
    <t>Nagykőrös</t>
  </si>
  <si>
    <t>24-26</t>
  </si>
  <si>
    <t>Nagymaros</t>
  </si>
  <si>
    <t>26-28</t>
  </si>
  <si>
    <t>Nyáregyháza</t>
  </si>
  <si>
    <t>28-30</t>
  </si>
  <si>
    <t>Nyíregyháza</t>
  </si>
  <si>
    <t>30-32</t>
  </si>
  <si>
    <t>Ócsa</t>
  </si>
  <si>
    <t>32-34</t>
  </si>
  <si>
    <t>Őrbottyán</t>
  </si>
  <si>
    <t>34-36</t>
  </si>
  <si>
    <t>Örkény</t>
  </si>
  <si>
    <t>36-38</t>
  </si>
  <si>
    <t>Páty</t>
  </si>
  <si>
    <t>38-40</t>
  </si>
  <si>
    <t>Pécel</t>
  </si>
  <si>
    <t>40-42</t>
  </si>
  <si>
    <t>Pécs</t>
  </si>
  <si>
    <t>42-44</t>
  </si>
  <si>
    <t>Perbál</t>
  </si>
  <si>
    <t>44-46</t>
  </si>
  <si>
    <t>Pilis</t>
  </si>
  <si>
    <t>46-48</t>
  </si>
  <si>
    <t>Pilisborosjenő</t>
  </si>
  <si>
    <t>48-50</t>
  </si>
  <si>
    <t>Piliscsaba</t>
  </si>
  <si>
    <t>50-52</t>
  </si>
  <si>
    <t>Pilisjászfalu</t>
  </si>
  <si>
    <t>52-54</t>
  </si>
  <si>
    <t>Pilisvörösvár</t>
  </si>
  <si>
    <t>54-56</t>
  </si>
  <si>
    <t>Pilisszántó</t>
  </si>
  <si>
    <t>56-58</t>
  </si>
  <si>
    <t>Pilisszentiván</t>
  </si>
  <si>
    <t>58-60</t>
  </si>
  <si>
    <t>Pilisszentkereszt</t>
  </si>
  <si>
    <t>60-62</t>
  </si>
  <si>
    <t>Pilisszentlászló</t>
  </si>
  <si>
    <t>62-64</t>
  </si>
  <si>
    <t>Pócsmegyer</t>
  </si>
  <si>
    <t>64-</t>
  </si>
  <si>
    <t>Pomáz</t>
  </si>
  <si>
    <t>Pusztazámor</t>
  </si>
  <si>
    <t>KHR</t>
  </si>
  <si>
    <t>Ráckeve</t>
  </si>
  <si>
    <t>Remeteszőlős</t>
  </si>
  <si>
    <t>Passzív státusz</t>
  </si>
  <si>
    <t>Salgótarján</t>
  </si>
  <si>
    <t>Siófok</t>
  </si>
  <si>
    <t>Solymár</t>
  </si>
  <si>
    <t>Sopron</t>
  </si>
  <si>
    <t>Sóskút</t>
  </si>
  <si>
    <t>jövedelemszerzés módja</t>
  </si>
  <si>
    <t>Szada</t>
  </si>
  <si>
    <t>Százhalombatta</t>
  </si>
  <si>
    <t>Szeged</t>
  </si>
  <si>
    <t>nyugdíjas</t>
  </si>
  <si>
    <t>Székesfehérvár</t>
  </si>
  <si>
    <t>tanuló</t>
  </si>
  <si>
    <t>Szekszárd</t>
  </si>
  <si>
    <t>egyéb</t>
  </si>
  <si>
    <t>Szentendre</t>
  </si>
  <si>
    <t>Szigethalom</t>
  </si>
  <si>
    <t>Jövedelemigazolás módja</t>
  </si>
  <si>
    <t>Szigetmonostor</t>
  </si>
  <si>
    <t>munkáltatói igazolás</t>
  </si>
  <si>
    <t>Szigetszentmiklós</t>
  </si>
  <si>
    <t>Szob</t>
  </si>
  <si>
    <t>APEH jövedelem igazolás</t>
  </si>
  <si>
    <t>Szolnok</t>
  </si>
  <si>
    <t>Szombathely</t>
  </si>
  <si>
    <t>Sződ</t>
  </si>
  <si>
    <t>Sződliget</t>
  </si>
  <si>
    <t>Tahitótfalu</t>
  </si>
  <si>
    <t>Jövedelem típusa</t>
  </si>
  <si>
    <t>Taksony</t>
  </si>
  <si>
    <t>Tárnok</t>
  </si>
  <si>
    <t>társas vállalkozásból származó jövedelem</t>
  </si>
  <si>
    <t>Tatabánya</t>
  </si>
  <si>
    <t>egyéni vállalkozásból származó jövedelem</t>
  </si>
  <si>
    <t>Telki</t>
  </si>
  <si>
    <t>GYED, GYES, családi pótlék</t>
  </si>
  <si>
    <t>Tinnye</t>
  </si>
  <si>
    <t>EVA hatálya alatt adózott jövedelem</t>
  </si>
  <si>
    <t>Tök</t>
  </si>
  <si>
    <t>Tököl</t>
  </si>
  <si>
    <t>életjáradék</t>
  </si>
  <si>
    <t>Törökbálint</t>
  </si>
  <si>
    <t>ösztöndíjas foglalkoztatottság</t>
  </si>
  <si>
    <t>Tura</t>
  </si>
  <si>
    <t>külföldről származó jövedelem</t>
  </si>
  <si>
    <t>Üllő</t>
  </si>
  <si>
    <t>cafetéria</t>
  </si>
  <si>
    <t>Üröm</t>
  </si>
  <si>
    <t>osztalék</t>
  </si>
  <si>
    <t>Vác</t>
  </si>
  <si>
    <t>megbízási díj</t>
  </si>
  <si>
    <t>Vácrátót</t>
  </si>
  <si>
    <t>Vecsés</t>
  </si>
  <si>
    <t>hivatalosan nem igazolt jövedelem</t>
  </si>
  <si>
    <t>Veresegyház</t>
  </si>
  <si>
    <t>Veszprém</t>
  </si>
  <si>
    <t>Visegrád</t>
  </si>
  <si>
    <t>fennálló hitel típusa</t>
  </si>
  <si>
    <t>Zalaegerszeg</t>
  </si>
  <si>
    <t>Zsámbék</t>
  </si>
  <si>
    <t>szab. fel. hitel</t>
  </si>
  <si>
    <t>folyószámlahitel</t>
  </si>
  <si>
    <t>személyi kölcsön</t>
  </si>
  <si>
    <t>diákhitel</t>
  </si>
  <si>
    <t>árúhitel</t>
  </si>
  <si>
    <t>gyerektartás</t>
  </si>
  <si>
    <t>jövig igazolás módja</t>
  </si>
  <si>
    <t>IGEN / NEM</t>
  </si>
  <si>
    <t>30 napon belüli késedelmek</t>
  </si>
  <si>
    <t>munkaviszony típusa</t>
  </si>
  <si>
    <t>próbaidő</t>
  </si>
  <si>
    <t>határozott több mint 6 hónap</t>
  </si>
  <si>
    <t>határozott kevesebb mint 6 hó.</t>
  </si>
  <si>
    <t>nem hivatalos jövedelem szorzó</t>
  </si>
  <si>
    <t>negatív infó munkáltatóról</t>
  </si>
  <si>
    <t>Termék</t>
  </si>
  <si>
    <t>Használt lakás vásárlás</t>
  </si>
  <si>
    <t>Új lakás vásárlás</t>
  </si>
  <si>
    <t>Felújítás</t>
  </si>
  <si>
    <t>Telek vásárlás</t>
  </si>
  <si>
    <t>Lakáscélú hitel kiváltás</t>
  </si>
  <si>
    <t>Szabad felhasználás</t>
  </si>
  <si>
    <t>Hitel kiváltás és szabad felhasználás</t>
  </si>
  <si>
    <t>hitelkiváltás</t>
  </si>
  <si>
    <t>Hibátlan 12 havi hitelmúlt</t>
  </si>
  <si>
    <t>KHR korrekciós (B) együttható</t>
  </si>
  <si>
    <t>passzív BAR</t>
  </si>
  <si>
    <t>IGEN</t>
  </si>
  <si>
    <t>NEM</t>
  </si>
  <si>
    <t>hibátlan kiváltás</t>
  </si>
  <si>
    <t>ingatlan jogi státusz</t>
  </si>
  <si>
    <t>csak hitelcél</t>
  </si>
  <si>
    <t>Ingatlan besorolása</t>
  </si>
  <si>
    <t>lakóház, családi ház</t>
  </si>
  <si>
    <t>építési telek</t>
  </si>
  <si>
    <t>nyaraló, üdülő</t>
  </si>
  <si>
    <t>garázs, gépkocsibeálló</t>
  </si>
  <si>
    <t>tároló</t>
  </si>
  <si>
    <t>gazdasági épület</t>
  </si>
  <si>
    <t>üzlethelység</t>
  </si>
  <si>
    <t>iroda</t>
  </si>
  <si>
    <t>terhek</t>
  </si>
  <si>
    <t>jelz.jog és elidegenítési és terhelési til.</t>
  </si>
  <si>
    <t>özvegyi jog</t>
  </si>
  <si>
    <t>végrehajtási jog</t>
  </si>
  <si>
    <t>vételi jog</t>
  </si>
  <si>
    <t>szolgalmi jog</t>
  </si>
  <si>
    <t>teher státusz</t>
  </si>
  <si>
    <t>Folyósításig törlendő</t>
  </si>
  <si>
    <t>Bank által kiváltandó</t>
  </si>
  <si>
    <t>Bankot követő ranghelyen fennmaradó</t>
  </si>
  <si>
    <t>meghit</t>
  </si>
  <si>
    <t>F - szabad jövedelem felhasználható része</t>
  </si>
  <si>
    <t>HUF</t>
  </si>
  <si>
    <t>EUR</t>
  </si>
  <si>
    <t>CHF</t>
  </si>
  <si>
    <t>Közjegyzői díjszabás</t>
  </si>
  <si>
    <t>1%-a</t>
  </si>
  <si>
    <t>alapdíj</t>
  </si>
  <si>
    <t>0,5%-a</t>
  </si>
  <si>
    <t>0,25%-a,</t>
  </si>
  <si>
    <t>egyszerűsített</t>
  </si>
  <si>
    <t>komplex</t>
  </si>
  <si>
    <t>KÖLCSÖNIGÉNYLŐ NYOMTATVÁNY</t>
  </si>
  <si>
    <t>Közvetítő neve:</t>
  </si>
  <si>
    <t>Telefonszáma:</t>
  </si>
  <si>
    <t>e-mail címe:</t>
  </si>
  <si>
    <t>Tanácsadó neve:</t>
  </si>
  <si>
    <t>Gránit banki kérelemazonosító:</t>
  </si>
  <si>
    <t>Befogadás dátuma:</t>
  </si>
  <si>
    <t>Igényelt kölcsön adatai</t>
  </si>
  <si>
    <t xml:space="preserve">használt lakás vásárlás </t>
  </si>
  <si>
    <t xml:space="preserve">új lakás vásárlás </t>
  </si>
  <si>
    <t>lakáscélú hitel kiváltása</t>
  </si>
  <si>
    <t xml:space="preserve">egyéb ingatlan vásárlás </t>
  </si>
  <si>
    <t>felújítás</t>
  </si>
  <si>
    <t>személygépkocsi vásárlás</t>
  </si>
  <si>
    <t>egyéb hitel kiváltása</t>
  </si>
  <si>
    <t>utazás</t>
  </si>
  <si>
    <t>saját vállalkozás fejlesztése</t>
  </si>
  <si>
    <t>egyéb:</t>
  </si>
  <si>
    <t>Az igényelt kölcsön összege:*</t>
  </si>
  <si>
    <t xml:space="preserve"> Ft</t>
  </si>
  <si>
    <t>Folyósítási jutalék</t>
  </si>
  <si>
    <t xml:space="preserve">Az igényelt kölcsön devizaneme:*           </t>
  </si>
  <si>
    <t xml:space="preserve"> HUF</t>
  </si>
  <si>
    <t>Az igényelt hitel futamideje*</t>
  </si>
  <si>
    <t>hónap</t>
  </si>
  <si>
    <t>postai úton a levelezési címre</t>
  </si>
  <si>
    <t>postai úton bejelentett lakcímre</t>
  </si>
  <si>
    <t>e-mail címre:</t>
  </si>
  <si>
    <t>Szabad felhasználású hitel esetén nem kell kitölteni, vásárlási hitel esetén az adásvételi szerződésben megjelölt számlaszám, hitelkiváltás esetén a jogosult számlaszáma.</t>
  </si>
  <si>
    <t>1. bank neve:</t>
  </si>
  <si>
    <t>folyósítandó összeg</t>
  </si>
  <si>
    <t>Számlaszám:</t>
  </si>
  <si>
    <t>-</t>
  </si>
  <si>
    <t>2. bank neve:</t>
  </si>
  <si>
    <t>* kötelezően kitöltendő mezők</t>
  </si>
  <si>
    <t xml:space="preserve">, </t>
  </si>
  <si>
    <t>kölcsönigénylő aláírása</t>
  </si>
  <si>
    <t>KÖLCSÖNIGÉNYLŐK /  ÜGYLETSZEREPLŐK ADATAI</t>
  </si>
  <si>
    <t>Adós</t>
  </si>
  <si>
    <t>Adóstárs</t>
  </si>
  <si>
    <t>Zálogkötelezett</t>
  </si>
  <si>
    <t>Haszonélvező</t>
  </si>
  <si>
    <t>Adós / Adóstárs / Zálogkötelezett / Haszonélvező adatai</t>
  </si>
  <si>
    <t xml:space="preserve">Előnév: </t>
  </si>
  <si>
    <t>dr.</t>
  </si>
  <si>
    <t>ifj.</t>
  </si>
  <si>
    <t>id.</t>
  </si>
  <si>
    <t>özv.</t>
  </si>
  <si>
    <t>Családi név:</t>
  </si>
  <si>
    <t>Utónév:</t>
  </si>
  <si>
    <t>Születési név:</t>
  </si>
  <si>
    <t>Anyja neve:</t>
  </si>
  <si>
    <t>Állampolgárság:</t>
  </si>
  <si>
    <t>Születési hely:</t>
  </si>
  <si>
    <t>Születési idő:</t>
  </si>
  <si>
    <t>év</t>
  </si>
  <si>
    <t>hó</t>
  </si>
  <si>
    <t>nap</t>
  </si>
  <si>
    <t>Személyazonosságot igazoló okmány típusa:</t>
  </si>
  <si>
    <t>személyi igazolvány</t>
  </si>
  <si>
    <t>személyazonosító igazolvány</t>
  </si>
  <si>
    <t>Lakcímkártya száma:</t>
  </si>
  <si>
    <t>kártya formátumú vezetői engedély</t>
  </si>
  <si>
    <t>Személyi azonosító szám:</t>
  </si>
  <si>
    <t>útlevél</t>
  </si>
  <si>
    <t>Adóazonosító jel:</t>
  </si>
  <si>
    <t>ország</t>
  </si>
  <si>
    <t>irsz.</t>
  </si>
  <si>
    <t>település</t>
  </si>
  <si>
    <t>utca</t>
  </si>
  <si>
    <t>házszám</t>
  </si>
  <si>
    <t>lépcsőház</t>
  </si>
  <si>
    <t>em.</t>
  </si>
  <si>
    <t>ajtó</t>
  </si>
  <si>
    <t xml:space="preserve">Állandó lakhelyének: </t>
  </si>
  <si>
    <t>tulajdonosa</t>
  </si>
  <si>
    <t>résztulajdonosa</t>
  </si>
  <si>
    <t>bérlője</t>
  </si>
  <si>
    <t>tulajdonos családtagja</t>
  </si>
  <si>
    <t xml:space="preserve">Értesítési cím: </t>
  </si>
  <si>
    <t>azonos az állandó lakcímmel</t>
  </si>
  <si>
    <t xml:space="preserve">E-mail címe 1: </t>
  </si>
  <si>
    <t>@</t>
  </si>
  <si>
    <t xml:space="preserve">Mobiltelefon szám: </t>
  </si>
  <si>
    <t xml:space="preserve">E-mail címe 2: </t>
  </si>
  <si>
    <t>Lakás telefonszám:</t>
  </si>
  <si>
    <t xml:space="preserve">E-mail címe 3: </t>
  </si>
  <si>
    <t>Munkahely telefonszáma:</t>
  </si>
  <si>
    <t>Adós / Adóstárs további adatai</t>
  </si>
  <si>
    <t>egyedülálló</t>
  </si>
  <si>
    <t>alapfokú</t>
  </si>
  <si>
    <t>középiskola</t>
  </si>
  <si>
    <t>Rendelkezik-e nyelvvizsgával?</t>
  </si>
  <si>
    <t>házas</t>
  </si>
  <si>
    <t>egyéb középfokú</t>
  </si>
  <si>
    <t>főiskola</t>
  </si>
  <si>
    <t>alapfok</t>
  </si>
  <si>
    <t>db</t>
  </si>
  <si>
    <t>élettárs</t>
  </si>
  <si>
    <t>egyetem</t>
  </si>
  <si>
    <t>középfok</t>
  </si>
  <si>
    <t>elvált</t>
  </si>
  <si>
    <t>felsőfok</t>
  </si>
  <si>
    <t>özvegy</t>
  </si>
  <si>
    <t>Középfokú bizonyítványok száma:</t>
  </si>
  <si>
    <t>gyámság</t>
  </si>
  <si>
    <t>Diplomák száma:</t>
  </si>
  <si>
    <t>Rendelkezik egyéb ingatlan tulajdonnal?</t>
  </si>
  <si>
    <t xml:space="preserve">Jelenleg Ön: </t>
  </si>
  <si>
    <t>Társaság / vállalkozás adószáma</t>
  </si>
  <si>
    <t>Foglalkozása:</t>
  </si>
  <si>
    <t>Munkahelye neve:</t>
  </si>
  <si>
    <t>Munkahelye címe:</t>
  </si>
  <si>
    <t>Ft</t>
  </si>
  <si>
    <t>Amennyiben nem Ön az Adós: egy háztartásban él majd a hitelcél megvalósulását követően az Adóssal?</t>
  </si>
  <si>
    <t>fő</t>
  </si>
  <si>
    <t>ebből 14 év alatti gyermek</t>
  </si>
  <si>
    <t xml:space="preserve">igen </t>
  </si>
  <si>
    <t>ebből nyugdíjas</t>
  </si>
  <si>
    <t>Egyéb megtakarítás (lekötött betét, értékpapír) összege:</t>
  </si>
  <si>
    <t>1. Számlavezető bank neve:</t>
  </si>
  <si>
    <t>2. Számlavezető bank neve:</t>
  </si>
  <si>
    <t>3. Számlavezető bank neve:</t>
  </si>
  <si>
    <t>Hitel 1.</t>
  </si>
  <si>
    <t>Hitel 2.</t>
  </si>
  <si>
    <t>Hitel 3.</t>
  </si>
  <si>
    <t>Hitelintézet neve:</t>
  </si>
  <si>
    <t>Fennálló tartozás összege:</t>
  </si>
  <si>
    <t>Havi törlesztőrészlet összege:</t>
  </si>
  <si>
    <t>Hitel lejárata:</t>
  </si>
  <si>
    <t>Jelen kölcsönből kiváltásra kerül?</t>
  </si>
  <si>
    <t xml:space="preserve">Lakcíme: </t>
  </si>
  <si>
    <t>ügyletszereplő aláírása</t>
  </si>
  <si>
    <t>INGATLANOK ADATAI</t>
  </si>
  <si>
    <t>Ingatlan címe:</t>
  </si>
  <si>
    <t>Ingatlan helyrajzi száma:</t>
  </si>
  <si>
    <t>Ingatlan típusa:</t>
  </si>
  <si>
    <t>családi ház</t>
  </si>
  <si>
    <t>ikerház</t>
  </si>
  <si>
    <t>sorház</t>
  </si>
  <si>
    <t>üdülő, hétvégi ház</t>
  </si>
  <si>
    <t>garázs</t>
  </si>
  <si>
    <t>Értékbecslő által értesítendő személy neve:</t>
  </si>
  <si>
    <t>telefon:</t>
  </si>
  <si>
    <t>Az ingatlan, vagy annak része bérbeadott?</t>
  </si>
  <si>
    <t>Ha lakóingatlan:</t>
  </si>
  <si>
    <t>tulajdonos lakja, vagy fogja lakni</t>
  </si>
  <si>
    <t>tulajdonos bérbeadja, vagy bérbe fogja adni</t>
  </si>
  <si>
    <t>egyik sem</t>
  </si>
  <si>
    <t>MUNKÁLTATÓI JÖVEDELEMIGAZOLÁS</t>
  </si>
  <si>
    <t xml:space="preserve">1.1. Munkáltató neve: </t>
  </si>
  <si>
    <r>
      <t xml:space="preserve">1.2. Munkáltató címe: </t>
    </r>
    <r>
      <rPr>
        <b/>
        <sz val="10"/>
        <color indexed="8"/>
        <rFont val="Arial"/>
        <family val="2"/>
        <charset val="238"/>
      </rPr>
      <t/>
    </r>
  </si>
  <si>
    <t xml:space="preserve">1.3. Munkáltató adószáma: </t>
  </si>
  <si>
    <t xml:space="preserve">1.4. Cégbírósági nyilvántartási/Vállalkozói eng. száma: </t>
  </si>
  <si>
    <t xml:space="preserve">1.5. Telefonszáma: </t>
  </si>
  <si>
    <t>1.6. Cégalapítás dátuma:</t>
  </si>
  <si>
    <t>1.7. Fő tevékenységi köre:</t>
  </si>
  <si>
    <t>TEAOR kód:</t>
  </si>
  <si>
    <t xml:space="preserve">1.8.Foglalkoztatottak létszáma: </t>
  </si>
  <si>
    <t xml:space="preserve"> 2-10 </t>
  </si>
  <si>
    <t>11-50</t>
  </si>
  <si>
    <t>51-100</t>
  </si>
  <si>
    <t>101-500</t>
  </si>
  <si>
    <t>501-1000</t>
  </si>
  <si>
    <t>1000 felett</t>
  </si>
  <si>
    <t>2.1. Munkavállaló neve:</t>
  </si>
  <si>
    <t>2.2. Születési neve:</t>
  </si>
  <si>
    <t xml:space="preserve">2.3. Anyja születési neve: </t>
  </si>
  <si>
    <t>2.4. Születési helye, ideje:</t>
  </si>
  <si>
    <t>,</t>
  </si>
  <si>
    <t xml:space="preserve">3.1. Alkalmazásának kezdete: </t>
  </si>
  <si>
    <t>határozatlan idejű</t>
  </si>
  <si>
    <t>határozott idejű:</t>
  </si>
  <si>
    <t xml:space="preserve">       Előző munkaviszony vége: </t>
  </si>
  <si>
    <t>Ft, azaz</t>
  </si>
  <si>
    <t>forint</t>
  </si>
  <si>
    <t>Bruttó, rendszeres egyéb havi jövedelem (pótlékok, túlóra stb.)</t>
  </si>
  <si>
    <t>Jogszabályon alapuló levonások (adó, egészségbizt.járulék, nyugdíj- és munkavállalói járulék stb.):</t>
  </si>
  <si>
    <t xml:space="preserve">Havi levonások összesen:                                              </t>
  </si>
  <si>
    <t>Cafetéria nettó összege</t>
  </si>
  <si>
    <t>Nettó egyéb jövedelem (családi pótlék):</t>
  </si>
  <si>
    <t>Alulírott, mint az igazolás kiállításáért felelős személy az adatok valódiságát büntetőjogi felelősségem tudatában tanúsítom.</t>
  </si>
  <si>
    <t>Név:</t>
  </si>
  <si>
    <t>Beosztás:</t>
  </si>
  <si>
    <t>Telefonszám:</t>
  </si>
  <si>
    <t>Munkáltató cégszerű aláírása</t>
  </si>
  <si>
    <t>2.1. felhasználási célok, amelyekre a hitel fordítható</t>
  </si>
  <si>
    <t>………………………………………………………………….</t>
  </si>
  <si>
    <t>Kalkuláció alapja:</t>
  </si>
  <si>
    <t>Jelen tájékoztató nem minősül jogilag kötelező érvényű ajánlatnak. A tájékoztatóban szereplő adatokat a hitelező jóhiszeműen nyújtja és azon ajánlatát tükrözik, amelyet a rendelkezésre álló információk alapján a jelenlegi piaci feltételek mellett tenne. Az adatok a piaci feltételek változása esetén megváltozhatnak.</t>
  </si>
  <si>
    <t>A tájékoztató nem kötelezi a hitelezőt a hitel jóváhagyására.</t>
  </si>
  <si>
    <t>1. hónap</t>
  </si>
  <si>
    <t>2. hónap</t>
  </si>
  <si>
    <t>3. hónap</t>
  </si>
  <si>
    <t>4. hónap</t>
  </si>
  <si>
    <t>5. hónap</t>
  </si>
  <si>
    <t>6. hónap</t>
  </si>
  <si>
    <t>7. hónap</t>
  </si>
  <si>
    <t>8. hónap</t>
  </si>
  <si>
    <t>9. hónap</t>
  </si>
  <si>
    <t>10. hónap</t>
  </si>
  <si>
    <t>11. hónap</t>
  </si>
  <si>
    <t>12. hónap</t>
  </si>
  <si>
    <t>2. ügyfélév</t>
  </si>
  <si>
    <t>3. ügyfélév</t>
  </si>
  <si>
    <t>4. ügyfélév</t>
  </si>
  <si>
    <t>5. ügyfélév</t>
  </si>
  <si>
    <t>6. ügyfélév</t>
  </si>
  <si>
    <t>7. ügyfélév</t>
  </si>
  <si>
    <t>8. ügyfélév</t>
  </si>
  <si>
    <t>9. ügyfélév</t>
  </si>
  <si>
    <t>10. ügyfélév</t>
  </si>
  <si>
    <t>11. ügyfélév</t>
  </si>
  <si>
    <t>12. ügyfélév</t>
  </si>
  <si>
    <t>13. ügyfélév</t>
  </si>
  <si>
    <t>14. ügyfélév</t>
  </si>
  <si>
    <t>15. ügyfélév</t>
  </si>
  <si>
    <t>16. ügyfélév</t>
  </si>
  <si>
    <t>17. ügyfélév</t>
  </si>
  <si>
    <t>18. ügyfélév</t>
  </si>
  <si>
    <t>19. ügyfélév</t>
  </si>
  <si>
    <t>20. ügyfélév</t>
  </si>
  <si>
    <t>21. ügyfélév</t>
  </si>
  <si>
    <t>22. ügyfélév</t>
  </si>
  <si>
    <t>23. ügyfélév</t>
  </si>
  <si>
    <t>24. ügyfélév</t>
  </si>
  <si>
    <t>25. ügyfélév</t>
  </si>
  <si>
    <t>………………………………………………………………………………………………………………</t>
  </si>
  <si>
    <t>Kölcsön célja</t>
  </si>
  <si>
    <r>
      <rPr>
        <b/>
        <sz val="11"/>
        <color indexed="8"/>
        <rFont val="Tahoma"/>
        <family val="2"/>
        <charset val="238"/>
      </rPr>
      <t>Lakásvásárlás:</t>
    </r>
    <r>
      <rPr>
        <sz val="11"/>
        <color indexed="8"/>
        <rFont val="Tahoma"/>
        <family val="2"/>
        <charset val="238"/>
      </rPr>
      <t xml:space="preserve"> A kölcsön célja használt, valamint új építésű, önállóan forgalomképes lakó- vagy üdülőingatlan, továbbá telek megvásárlása. 
</t>
    </r>
    <r>
      <rPr>
        <b/>
        <sz val="11"/>
        <color indexed="8"/>
        <rFont val="Tahoma"/>
        <family val="2"/>
        <charset val="238"/>
      </rPr>
      <t xml:space="preserve">Lakásfelújítás: </t>
    </r>
    <r>
      <rPr>
        <sz val="11"/>
        <color indexed="8"/>
        <rFont val="Tahoma"/>
        <family val="2"/>
        <charset val="238"/>
      </rPr>
      <t xml:space="preserve">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sz val="11"/>
        <color indexed="8"/>
        <rFont val="Tahoma"/>
        <family val="2"/>
        <charset val="238"/>
      </rPr>
      <t>Hitelkiváltás:</t>
    </r>
    <r>
      <rPr>
        <sz val="11"/>
        <color indexed="8"/>
        <rFont val="Tahoma"/>
        <family val="2"/>
        <charset val="238"/>
      </rPr>
      <t xml:space="preserve"> Az ügyfél részére korábban nyújtott lakáscélú kölcsön kiváltása.</t>
    </r>
  </si>
  <si>
    <t>Kölcsönigénylők</t>
  </si>
  <si>
    <t>Kölcsön fedezete</t>
  </si>
  <si>
    <t>min. 1 000 000 Ft
maximumát az ingatlanfedezet forgalmi értéke, illetve az ügyletbe bevont szereplők Bank által elvégzett hitel és fizetőképesség vizsgálata határozza meg</t>
  </si>
  <si>
    <t>Devizanem</t>
  </si>
  <si>
    <t>5-35 év</t>
  </si>
  <si>
    <t>Kamatozás</t>
  </si>
  <si>
    <t xml:space="preserve">Kamatperiódus </t>
  </si>
  <si>
    <t>Törlesztés módja</t>
  </si>
  <si>
    <t>a kölcsön havi azonos összegű részletben fizetendő vissza, a havi törlesztőrészlet tartalmazza a mindenkori tőketörlesztés és kamat összegét</t>
  </si>
  <si>
    <t>Kamat (Kiváló 1, L2 minősítés esetén)</t>
  </si>
  <si>
    <t>Kezelési költség</t>
  </si>
  <si>
    <t>Gránit Bank kezelési költséget nem számít fel</t>
  </si>
  <si>
    <t>Fedezetértékelési díj</t>
  </si>
  <si>
    <t>Igazolás módja, benyújtandó dokumentumok</t>
  </si>
  <si>
    <t>Figyelembe vehető mérték meghatározása</t>
  </si>
  <si>
    <t>valamennyi jövedelem típus esetén</t>
  </si>
  <si>
    <t>Havi nettó jövedelem megállapítása APEH igazolásból: havi nettó jövedelem = (APEH által igazolt adóköteles (nem elkülönülten adózó) jövedelem  x 0,63)/12</t>
  </si>
  <si>
    <t>Egyéni vállalkozói igazolvány.</t>
  </si>
  <si>
    <t xml:space="preserve">KÖLCSÖNKÉRELEM ÉS MELLÉKLETEI </t>
  </si>
  <si>
    <t>Hitelkiváltás</t>
  </si>
  <si>
    <t>EGYÉB DOKUMENTUMOK</t>
  </si>
  <si>
    <t>Külföldi állampolgárok esetén</t>
  </si>
  <si>
    <t>A JÖVEDELEM IGAZOLÁSÁNAK DOKUMENTUMAI</t>
  </si>
  <si>
    <t>Határozat a nyugdíjról</t>
  </si>
  <si>
    <t>Bérbeadásból származó jövedelem esetén</t>
  </si>
  <si>
    <t>Külföldről származó jövedelem esetén</t>
  </si>
  <si>
    <t>CSATOLT DOKUMENTUMOK</t>
  </si>
  <si>
    <t>Nyilatkozat gyűjtemény</t>
  </si>
  <si>
    <t>Adásvételi szerződéssel szemben támasztott feltételek</t>
  </si>
  <si>
    <t>MNB és PSZÁF által kiadott tájékoztató a túlzott eladósodottság kockázatairól</t>
  </si>
  <si>
    <t>KHR tájékoztató</t>
  </si>
  <si>
    <t>Költségvetési adatlap</t>
  </si>
  <si>
    <r>
      <t>Teljes hiteldíj:</t>
    </r>
    <r>
      <rPr>
        <sz val="7"/>
        <color theme="6" tint="-0.499984740745262"/>
        <rFont val="Tahoma"/>
        <family val="2"/>
        <charset val="238"/>
      </rPr>
      <t xml:space="preserve"> (a teljes futamidő alatt a tőketartozáson felül fizetett összeg)</t>
    </r>
  </si>
  <si>
    <t xml:space="preserve">Meglévő hitelek havi törlesztő részletei: </t>
  </si>
  <si>
    <t>KITÖLTENDŐ ADATOK</t>
  </si>
  <si>
    <t>Haszonélvezeti jog jogosultja</t>
  </si>
  <si>
    <t>Özvegyi jog jogosultja</t>
  </si>
  <si>
    <t>Szerep</t>
  </si>
  <si>
    <t>NÉV</t>
  </si>
  <si>
    <t>Ügyletszereplők</t>
  </si>
  <si>
    <t>Címe:</t>
  </si>
  <si>
    <t>Helyrajzi szám:</t>
  </si>
  <si>
    <t>Tulajdoni lap szerinti ingatlantípus</t>
  </si>
  <si>
    <t>Tulajdonos</t>
  </si>
  <si>
    <t>Tulajfoni hányad</t>
  </si>
  <si>
    <t>ÖSSZESEN</t>
  </si>
  <si>
    <t>Forgalmi érték:</t>
  </si>
  <si>
    <t>Hitelbiztosítéki érték:</t>
  </si>
  <si>
    <t>Értékesíthetőség</t>
  </si>
  <si>
    <t>0-90 nap</t>
  </si>
  <si>
    <t>90-180 nap</t>
  </si>
  <si>
    <t>180-365 nap</t>
  </si>
  <si>
    <t>365 nap -</t>
  </si>
  <si>
    <t>Telek mérete:</t>
  </si>
  <si>
    <t>Lakás mérete:</t>
  </si>
  <si>
    <t>Fedezetül szolgáló ingatlan 1.</t>
  </si>
  <si>
    <t>Fedezetül szolgáló ingatlan 2.</t>
  </si>
  <si>
    <t>Fedezetül szolgáló ingatlan 3.</t>
  </si>
  <si>
    <t>Kiváltandó kölcsön adatai</t>
  </si>
  <si>
    <t>Jelzálogjog jogosultja</t>
  </si>
  <si>
    <t>JPY</t>
  </si>
  <si>
    <t>Tulajdoni hányad</t>
  </si>
  <si>
    <t>Osztatlan közös tulajdon?</t>
  </si>
  <si>
    <t>Kiváltandó kölcsönt nyújtó Bank neve:</t>
  </si>
  <si>
    <t>Kölcsönszerződés dátuma:</t>
  </si>
  <si>
    <t>Kölcsönszerződés száma:</t>
  </si>
  <si>
    <t>Kiváltandó kölcsön célja:</t>
  </si>
  <si>
    <t>lakáscélú</t>
  </si>
  <si>
    <t>Jelzálogjog bejegyzett összege</t>
  </si>
  <si>
    <t>Fennálló tartozás összege eredeti devizában</t>
  </si>
  <si>
    <t>Fennálló tartozás összege forintban</t>
  </si>
  <si>
    <t>nem lakáscélú</t>
  </si>
  <si>
    <t>Fennálló tartozás igazolása</t>
  </si>
  <si>
    <t>tartozáskimutató nyilatkozat</t>
  </si>
  <si>
    <t>értesítő levél</t>
  </si>
  <si>
    <t>Igazolás dátuma:</t>
  </si>
  <si>
    <t>Kiváltáshoz önerő felhasználásra kerül?</t>
  </si>
  <si>
    <t>Önerő mértéke:</t>
  </si>
  <si>
    <t>Kölcsönszerződésben szereplő kölcsönösszeg</t>
  </si>
  <si>
    <t>Folyósítási jutalék meghitelezésre kerül?</t>
  </si>
  <si>
    <t>1. HÁZTARTÁS</t>
  </si>
  <si>
    <t>egyéni adatok</t>
  </si>
  <si>
    <t>2. HÁZTARTÁS</t>
  </si>
  <si>
    <t>1 és 2</t>
  </si>
  <si>
    <t>1 és 3</t>
  </si>
  <si>
    <t>2 és 3</t>
  </si>
  <si>
    <t>1,2,3</t>
  </si>
  <si>
    <t>Tartalék:</t>
  </si>
  <si>
    <t>Havi törlesztőrészlet 1</t>
  </si>
  <si>
    <t>Havi törlesztőrészlet 2</t>
  </si>
  <si>
    <t>Havi törlesztőrészlet 3</t>
  </si>
  <si>
    <t>Összesen</t>
  </si>
  <si>
    <t>Átlagos törlesztőrészlet</t>
  </si>
  <si>
    <t>Vonatkozó ingatlan</t>
  </si>
  <si>
    <t>EREDMÉNYEK</t>
  </si>
  <si>
    <t xml:space="preserve">A folyósítási jutalék meghitelezését kérem:* </t>
  </si>
  <si>
    <t>A hitelkiváltáshoz önerőt is fel kívánok használni, ezért kérem, hogy a Bank az igényelt kölcsönösszegre vonatkozóan végezzen bírálatot, és vállalom,</t>
  </si>
  <si>
    <t>hogy a kiváltandó kölcsön végtörlesztéséhez szükséges, a kölcsön összegén felüli önerőt a folyósítás feltételeként a Bank rendelkezésére bocsátom.</t>
  </si>
  <si>
    <t>az ennek megfelelően jóváhagyott összeget szerepeltesse annak érdekében, hogy a hitelkiváltás nagyobb valószínűséggel megvalósuljon.</t>
  </si>
  <si>
    <t>kölcsönigénylő / adós aláírása</t>
  </si>
  <si>
    <t>kölcsönigénylő / adóstárs aláírása</t>
  </si>
  <si>
    <t>Gépjármű típusa:</t>
  </si>
  <si>
    <t>Kora:</t>
  </si>
  <si>
    <t xml:space="preserve">Gépjárművel rendelkezik: </t>
  </si>
  <si>
    <t>Munkaadó / vállalkozás tulajdonában:</t>
  </si>
  <si>
    <t>Magántulajdonban:</t>
  </si>
  <si>
    <t>Gépjármű becsült értéke:</t>
  </si>
  <si>
    <t>Büntetőjogi felelősségem tudatában kijelentem, hogy a fent közölt adatok a valóságnak megfelelnek.</t>
  </si>
  <si>
    <t>Büntetőjogi felelősségem tudatában kijelentem / kijelentjük, hogy a fent közölt adatok a valóságnak megfelelnek.</t>
  </si>
  <si>
    <t>A háztartás rendelkezésére álló nettó jövedelem:</t>
  </si>
  <si>
    <r>
      <rPr>
        <b/>
        <sz val="11"/>
        <color indexed="8"/>
        <rFont val="Tahoma"/>
        <family val="2"/>
        <charset val="238"/>
      </rPr>
      <t>Szabad felhasználásra:</t>
    </r>
    <r>
      <rPr>
        <sz val="11"/>
        <color indexed="8"/>
        <rFont val="Tahoma"/>
        <family val="2"/>
        <charset val="238"/>
      </rPr>
      <t xml:space="preserve">  A kölcsön célja a természetes személyek olyan jellegű kiadásainak finanszírozása, melyekre célhitelt nem tud vagy, nem kíván igénybe venni.A kölcsön felhasználását a Bank nem vizsgálja.
</t>
    </r>
    <r>
      <rPr>
        <b/>
        <sz val="11"/>
        <color indexed="8"/>
        <rFont val="Tahoma"/>
        <family val="2"/>
        <charset val="238"/>
      </rPr>
      <t xml:space="preserve">Hitelkiváltás: </t>
    </r>
    <r>
      <rPr>
        <sz val="11"/>
        <color indexed="8"/>
        <rFont val="Tahoma"/>
        <family val="2"/>
        <charset val="238"/>
      </rPr>
      <t>Az ügyfél részére korábban nyújtott nem lakáscélú kölcsön kiváltása.</t>
    </r>
  </si>
  <si>
    <t>• Az ügyleti kamat mértéke a két részből áll: referenciakamat és a Bank által megállapított kamatfelárból.
• A referenciakamat a Kölcsönszerződésben meghatározott napokon érvényes három havi BUBOR.
• a kamatfelár: az ügylet kockázati besorolásától függően, a Bank saját hatáskörében határozza meg
• a kamat változó, de kamatperióduson belül fix</t>
  </si>
  <si>
    <t>3 hónap</t>
  </si>
  <si>
    <t>Munkabér átutalási nyilatkozat</t>
  </si>
  <si>
    <t>KÖLCSÖN ADATAI</t>
  </si>
  <si>
    <t>Közjegyzői díj</t>
  </si>
  <si>
    <t>Ingatlan osztatlan közös tulajdonban van?</t>
  </si>
  <si>
    <t>A hitelt kizárólag kölcsönből kívánom kiegyenlíteni, ezért felhatalmazom a Bankot arra, hogy a kölcsönigénylésemet az általam a kölcsönigényléshez</t>
  </si>
  <si>
    <t>benyújtott tartozáskimutatáson szereplő összeg alapján kalkulált forint összeg 1%-kal növelt összegében bírálja el, és a kölcsönszerződésben</t>
  </si>
  <si>
    <t>• A kölcsönt igényelheti minden 18. életévét betöltött cselekvőképes, devizabelföldi vagy devizakülföldi természetes személy.
• A hiteligénylő életkora általános szabály szerint a futamidő lejáratának évében nem érheti el a 75. életévet.
• Az igénylők aktív státuszban nem szerepelhetnek a Központi Hitelinformációs Rendszerben. Amennyiben az ügyfelek lezárt mulasztással szerepelnek a KHR rendszerben, úgy finanszírozásuk a Bank egyedi mérlegelésének függvénye.
• Általános feltétel a hiteligénylés időpontját megelőző 3 hónap időtartam alatti rendszeres jövedelem meglétének igazolása.</t>
  </si>
  <si>
    <t xml:space="preserve"> </t>
  </si>
  <si>
    <t>Folyósítási jutalék akcióban</t>
  </si>
  <si>
    <t>Számlavezetési díj</t>
  </si>
  <si>
    <t>Bankszámla típusa</t>
  </si>
  <si>
    <t>Bajnok Plusz</t>
  </si>
  <si>
    <t>Bajnok</t>
  </si>
  <si>
    <t>Ász</t>
  </si>
  <si>
    <t>Sztár</t>
  </si>
  <si>
    <t>COOP Dolgozói</t>
  </si>
  <si>
    <t>Alapszámla-csomag</t>
  </si>
  <si>
    <t>Elektronikus</t>
  </si>
  <si>
    <t>Magas Kamat</t>
  </si>
  <si>
    <t>Diploma</t>
  </si>
  <si>
    <t>Westend</t>
  </si>
  <si>
    <t>COOP Prémium Dolgozói</t>
  </si>
  <si>
    <t>COOP Törzsvásárlói</t>
  </si>
  <si>
    <t>Aranykor Prémium</t>
  </si>
  <si>
    <t>Aranykor</t>
  </si>
  <si>
    <t>Universitas Plusz</t>
  </si>
  <si>
    <t>BROKERNET</t>
  </si>
  <si>
    <t>Universitas</t>
  </si>
  <si>
    <t>Medicina</t>
  </si>
  <si>
    <t>Bestens</t>
  </si>
  <si>
    <t>Pannónia</t>
  </si>
  <si>
    <t>GOLD</t>
  </si>
  <si>
    <t>FŐGÁZ Prémium</t>
  </si>
  <si>
    <t>Számlacsomag</t>
  </si>
  <si>
    <t>Hiteltörlesztés díja</t>
  </si>
  <si>
    <t>Számlavezetési díj (havi)*</t>
  </si>
  <si>
    <t xml:space="preserve">* Feltételhez kötött számlacsomag esetén, azzal a feltételezéssel, hogy a kedvezményes számlavezetési díj feltéteit teljesíti az ügyfél. </t>
  </si>
  <si>
    <t>Számlavezetés díja</t>
  </si>
  <si>
    <t>A THM meghatározása az aktuális feltételek és a hatályos jogszabályok figyelembevételével történt, a feltételek változása esetén mértéke módosulhat A THM-mutatók értéke nem tükrözi a változó kamatozású hitelek kamatkockázatát.</t>
  </si>
  <si>
    <t xml:space="preserve">Alkalmanként a szerződésmódosítási kérelem benyújtásával egyidőben esedékes, minden, a futamidő alatt az ügyfél által kezdeményezett szerződésmódosítás esetén. Amennyiben a szerződésmódosítás nem jön létre, a díj nem kerül visszafizetésre. A futamidő hosszabbításáért nem kerül felszámításra szerződésmódosítási díj, amennyiben a futamidő meghosszabbítására a megelőző 5 éven belül nem került sor. Nem kerül felszámítra szerződésmódosítási díj a futamidő alatt egy alkalommal, amennyiben a futamidő hosszabbításra amiatt kerül sor, mert az Adós a szerződése alapján fennálló kötelezettsége teljesítésével legalább kilencven napos késedelemben van, és írásban kezdeményezi a futamidő meghosszabbítását legfeljebb öt évvel. </t>
  </si>
  <si>
    <t>Nyugdíjas igazolvány másolata</t>
  </si>
  <si>
    <t>Bérleti szerződés</t>
  </si>
  <si>
    <t>Az itt közölt adatok tájékoztató jellegűek és nem tekinthetők a GRÁNIT Bank konkrét szerződéses ajánlatának, vagy kötelezettségvállalásának. A pontos törlesztőrészlet összegéről a GRÁNIT Bank a folyósítási értesítő útján értesíti az ügyfelet. A THM meghatározása az aktuális feltételek, illetve a hatályos jogszabályok figyelembevételével történt és a feltételek változása esetén mértéke módosulhat. A THM mutató értéke nem tükrözi a hitel kamatkockázatát.</t>
  </si>
  <si>
    <t>Kelt: Budapest, 201………</t>
  </si>
  <si>
    <t>Lakcím: ……………………………………………………………………………….</t>
  </si>
  <si>
    <t>SZIG: …………………………………………………………………………………</t>
  </si>
  <si>
    <t>Tanácsadó GRÁNIT Bank azonosítója:</t>
  </si>
  <si>
    <t>GRÁNIT Banki kérelemazonosító:</t>
  </si>
  <si>
    <t>Személyazonosító okmány száma:</t>
  </si>
  <si>
    <t>Kijelentem, hogy a fent megjelölt jövedelmek után - tudomásom szerint - az előírt közterhek megfizetésre kerültek.</t>
  </si>
  <si>
    <t>egyéb*</t>
  </si>
  <si>
    <t>*Pl. GYES, GYED, GYÁS, TGYÁS, járadék, stb.:</t>
  </si>
  <si>
    <t>1 000 Ft alatt</t>
  </si>
  <si>
    <t>1000 - 10 000 Ft között</t>
  </si>
  <si>
    <t>10 000 Ft felett</t>
  </si>
  <si>
    <t>1 000 000 Ft alatt</t>
  </si>
  <si>
    <t xml:space="preserve">1 000 000 - 3 000 000 Ft között </t>
  </si>
  <si>
    <t xml:space="preserve">3 000 000 - 5 000 000 Ft között </t>
  </si>
  <si>
    <t>5 000 000 Ft felett</t>
  </si>
  <si>
    <t xml:space="preserve">Jelen vázlatos tájékoztató a GRÁNIT Bank termékeinek összehasonlíthatóságát támogatja. A részletes feltételeket a Bank Üzletszabályzata, vonatkozó Általános Szerződési Feltételei, és a Hirdetmény tartalmazza. </t>
  </si>
  <si>
    <t>GRÁNIT Lakáshitel</t>
  </si>
  <si>
    <t>GRÁNIT Szabad felhasználású hitel</t>
  </si>
  <si>
    <t>A kölcsön biztosítéka a fedezetül felajánlott, magánszemély tulajdonában álló, Magyarország területén fekvő, önálló forgalomképes ingatlanra alapított, a GRÁNIT Bank Zrt. javára bejegyzett önálló zálogjog.
Fedezetként elfogadható ingatlantípusok:
• lakóingatlanok, ideértve a társasházi, vagy sorházi öröklakást, szövetkezeti lakást, önálló lakást, vagy egyéb lakás céljára szolgáló helyiségeket
• üdülő, hétvégi ház, 
• garázs, gépkocsibeálló, tároló (önállóan forgalomképes, önállóan nem fogadható el fedezetként) 
• építési telek ingatlan
• tároló (kiegészítő fedezetként)</t>
  </si>
  <si>
    <t>Valamennyi lakossági folyószámláról az utolsó 6 teljes havi bankszámla kivonat (eredeti vagy Internetről letöltött formában).</t>
  </si>
  <si>
    <t>Folyószámlára érkező munkabér esetén a munkáltatói igazoláson szereplő átlagos nettó munkabér összege illetve a folyószámlára érkező jóváírások hat havi átlaga közül az alacsonyabb érték.</t>
  </si>
  <si>
    <t>Nem folyószámlára érkező jövedelem esetén a NAV jövedelemigazoláson szereplő jövedelem vehető figyelembe (de ha az előző adóévben más cég alkalmazottja (is) volt a hiteligénylő, lehetőség van a NAV igazolás helyett a munkáltatói jövedelemigazoláson szereplő összeg elfogadására is, ha azt alátámasztja a hiteligénylő magánszemélyre vonatkozó utolsó 6 havi E-bevallás).</t>
  </si>
  <si>
    <t xml:space="preserve">társas vállalkozásból származó jövedelem,
Bt., Kkt., Kft., egyszemélyes Zrt., egyéni cég, szövetkezet, a lakásszövetkezet, a végrehajtói iroda, az ügyvédi iroda, a szabadalmi ügyvivői iroda, a közjegyzői iroda és az erdőbirtokossági társulat tulajdonosai saját cégből szerzett jövedelem
</t>
  </si>
  <si>
    <t>NAV által, hiteligénylő magánszemélyre vonatkozóan kiállított eredeti jövedelemigazolás a megelőző lezárt adóévről.</t>
  </si>
  <si>
    <t>Az adó és köztartozások megfizetését igazoló eredeti NAV adóigazolás, mind a hiteligénylő személyére, mind a vállalkozásra vonatkozóan.</t>
  </si>
  <si>
    <t>Havi nettó jövedelem megállapítása NAV igazolásból: havi nettó jövedelem = (NAV által igazolt adóköteles (nem elkülönülten adózó) jövedelem x 0,63)/12</t>
  </si>
  <si>
    <t>NAV által a hiteligénylő magánszemélyre/egyéni vállalkozóra vonatkozóan kiállított eredeti jövedelemigazolás a megelőző lezárt adóévről.</t>
  </si>
  <si>
    <t>Az adó és köztartozások megfizetését igazoló eredeti NAV adóigazolás az egyéni vállalkozóra vonatkozóan.</t>
  </si>
  <si>
    <t>Amennyiben lakossági folyószámlára érkezik, úgy az utolsó 6 teljes havi bankszámlakivonat.</t>
  </si>
  <si>
    <t>Amennyiben nem lakossági folyószámlára érkezik a juttatás, úgy az ellátást folyósító intézet 12 hónapnál nem régebbi igazolása.</t>
  </si>
  <si>
    <t>saját jogú nyugdíj, véglegesített rokkant nyugdíj</t>
  </si>
  <si>
    <t>Nyugdíjas igazolvány másolata és határozat a nyugdíjról.</t>
  </si>
  <si>
    <t>Amennyiben lakossági folyószámlára érkezik a nyugdíj, úgy az utolsó 6 teljes havi bankszámlakivonat.</t>
  </si>
  <si>
    <t>Amennyiben nem lakossági folyószámlára érkezik a nyugdíj, úgy a Nyugdíjfolyósító Ig. 12 hónapnál nem régebbi igazolása az ellátás összegéről.</t>
  </si>
  <si>
    <t>100 %-ban kerül elfogadásra.</t>
  </si>
  <si>
    <t>járadék (pl. életjáradék, sportolói járadék, állami kitüntetéshez kapcsolódó járadék, stb.)</t>
  </si>
  <si>
    <t>Utolsó 6 teljes havi bankszámla kivonat, amennyiben magyar/külföldi állam folyósítja a járadékot és csoportos jóváírással érkezik a járadék.</t>
  </si>
  <si>
    <t>Egyéb esetben a járadékot folyósító intézet utolsó, 12 hónapnál nem régebbi igazolása a havi járadék össszegéről.</t>
  </si>
  <si>
    <t>Munkáltatói jövedelemigazolás. (Angol és német nyelvektől eltérő nyelvek esetén OFFI vagy a Bank által elfogadott fordítóirodák fordításában.)</t>
  </si>
  <si>
    <t>Cégszerűen aláírt Munkaszerződés. (Angol és német nyelvektől eltérő nyelvek esetén OFFI vagy a Bank által elfogadott fordítóirodák fordításában.)</t>
  </si>
  <si>
    <t xml:space="preserve">Külföldi adóhatóság által kiállított, vagy általa hitelesített jövedelemigazolás. (Angol és német nyelvektől eltérő nyelvek esetén OFFI vagy a Bank által elfogadott fordítóirodák fordításában.) </t>
  </si>
  <si>
    <t>A devizában meghatározott nettó jövedelem forintösszege hitelbírálat számítása előtt 2 munkanappal korábban hivatalosan jegyeztt MNB árfolyamon kerül meghatározásra, mely 100 %-ban kerül elfogadásra.</t>
  </si>
  <si>
    <t>Cafetéria</t>
  </si>
  <si>
    <t>Munkáltató cégszerűen aláírt igazolása formanyomtatványon.</t>
  </si>
  <si>
    <t>Maximum 20 ezer forint havi értékben.</t>
  </si>
  <si>
    <t>Osztalék akkor fogadható el jövedelemként, ha az ügyfél az elmúlt két egymást követő évben vett ki osztalékot, amit igazol eredeti NAV jövedelemigazolással az elmúlt 2 lezárt adóévre vonatkozóan.</t>
  </si>
  <si>
    <t>2 évi összeg 1 havi átlaga.</t>
  </si>
  <si>
    <t>Ha nem elkülönülten adóznak utána:
Havi nettó jövedelem megállapítása NAV igazolásból: havi nettó jövedelem = (NAV által igazolt adóköteles (nem elkülönülten adózó) jövedelem x 0,63)/12</t>
  </si>
  <si>
    <t>Ha elkülönülten adóznak utána:
Havi nettó osztalék megállapítása NAV igazolásból: havi nettó osztalék = (NAV által igazolt adóköteles (elkülönülten adózó) osztalék x 0,7)/12</t>
  </si>
  <si>
    <t>bérleti díj</t>
  </si>
  <si>
    <t>Bérleti szerződés (legalább 3 hónapja fennáll és határozatlan időtartamra szól) és a megelőző lezárt adóévről NAV által a hiteligénylő magánszemélyre vonatkozóan kiállított eredeti jövedelemigazolás.</t>
  </si>
  <si>
    <t>akik közül jelen kölcsönkérelemben Adós/Adóstársként szerepel:</t>
  </si>
  <si>
    <t>LTP/életbiztosítás havi összege (a havi törlesztőrészleten túl):</t>
  </si>
  <si>
    <t>Lakás-előtakarékossági (LTP)-, vagy életbiztosítási szerződéssel kombinált a hitel?</t>
  </si>
  <si>
    <t>Korlátozott időtartamra akciós vagy halasztott tőketörlesztésű a hitel, amely jelenleg is tart?</t>
  </si>
  <si>
    <t>Havi törlesztőrészlet az akció lejárta után/tőketörlesztés megkezdésekor:</t>
  </si>
  <si>
    <t>A hitelben szereplő Adós/Adóstársak száma összesen:</t>
  </si>
  <si>
    <t>JTM arányok</t>
  </si>
  <si>
    <t>Ft alatt</t>
  </si>
  <si>
    <t>Ft-nál nagyobb jövedelemnél</t>
  </si>
  <si>
    <t>max JTM törlesztőrészlet</t>
  </si>
  <si>
    <t>Szabfel hitel kiváltás, adósságrendezés</t>
  </si>
  <si>
    <t>JTM szerinti hitelcél</t>
  </si>
  <si>
    <t>Új hitel felvétele</t>
  </si>
  <si>
    <t>KOMPLEX KALKULÁTOR ALAPJÁN</t>
  </si>
  <si>
    <t>Adósok összes nettó jövedelme:</t>
  </si>
  <si>
    <t>JTM limit alapján nyújtható ~ kölcsönösszeg</t>
  </si>
  <si>
    <t>JTM max. kölcsön</t>
  </si>
  <si>
    <t>Ingatlan hitelbiztosítéki értéke:</t>
  </si>
  <si>
    <t>Ingatlan figyelembe vett forgalmi értéke:</t>
  </si>
  <si>
    <t>Kölcsön és egy éves kamatának összege:</t>
  </si>
  <si>
    <t>maximum 200 000 Ft</t>
  </si>
  <si>
    <t>Törlesztőrészlet-Rendszeres jövedelem arányának alakulása</t>
  </si>
  <si>
    <t>A hitel kamata:</t>
  </si>
  <si>
    <t>A hitel típusa:</t>
  </si>
  <si>
    <t>A hitel összege:</t>
  </si>
  <si>
    <t>A hitel futamideje:</t>
  </si>
  <si>
    <t>Rendszeres jövedelem változása</t>
  </si>
  <si>
    <t>-30% változás</t>
  </si>
  <si>
    <t>-20% változás</t>
  </si>
  <si>
    <t>-10% változás</t>
  </si>
  <si>
    <t>0% változás</t>
  </si>
  <si>
    <t>+10% változás</t>
  </si>
  <si>
    <t>+20% változás</t>
  </si>
  <si>
    <t>+30% változás</t>
  </si>
  <si>
    <t>Törlesztő r./Rendszeres jöv. aránya</t>
  </si>
  <si>
    <t>Törlesztő r.</t>
  </si>
  <si>
    <t>Kamat emelkedése</t>
  </si>
  <si>
    <t>Név:     ……………………………………………………………………………………</t>
  </si>
  <si>
    <t>SZIG:    ……………………………………………………………………………………</t>
  </si>
  <si>
    <t xml:space="preserve">Alulírott igazolom, hogy a kérelem tárgyát képező hiteltermékkel kapcsolatban az 56/2014. (XII.31.) NGM rendeletben foglaltak szerinti tájékoztatást teljes körűen megkaptam és jelen tájékoztatás egy példányát a szerződéskötést megelőzően átvettem és megismertem. </t>
  </si>
  <si>
    <t>1.     a hitel típusa</t>
  </si>
  <si>
    <t xml:space="preserve"> A hitel az alábbi célra kerül felvételre:</t>
  </si>
  <si>
    <t>2.     hitelező neve és levelezési címe</t>
  </si>
  <si>
    <t>3.     adott esetben a hitelközvetítő neve (cégneve) és levelezési címe</t>
  </si>
  <si>
    <t xml:space="preserve">Alulírott igazolom, hogy a kérelem tárgyát képező hiteltermékkel kapcsolatban a 2009. évi CLXII. tv.örvény valamint az 56/2014 (XII.31.) NGM rendelet  szerint tájékoztatást teljes körűen megkaptam és jelen tájékoztatás egy példányát a szerződéskötést megelőzően átvettem és megismertem. </t>
  </si>
  <si>
    <t>Aláírás (Zálogkötelezettek)</t>
  </si>
  <si>
    <t>Rendszeres jövedelem GRÁNIT bankszámlára érkezik?</t>
  </si>
  <si>
    <t>Kölcsön összege</t>
  </si>
  <si>
    <t>(17)</t>
  </si>
  <si>
    <t>Csak a folyósítási jutalék elengedésével került meghatározásra! Az akció a 2014. július 1-től 2015. március 31-ig hiánytalanul befogadott, 2015. február 1. után szerződött és legkésőbb 2015. június 30-ig folyósított GRÁNIT Lakáshitel és GRÁNIT Szabad felhasználású hitelekre vonatkozik.</t>
  </si>
  <si>
    <t>(18)</t>
  </si>
  <si>
    <t>(19)</t>
  </si>
  <si>
    <t>Nem szerződésszerű teljesítés esetén felszámításra kerülő díjak, kamat:</t>
  </si>
  <si>
    <t>Az esedékessé vált és meg nem fizetett tartozások (tőke, kamat, költségek) után a késedelem idejére az ügyleti kamaton felül kerül felszámításra. Éves mértékben került feltüntetésre. Lakáscélú jelzáloghitelek esetén a szerződés felmondását követő 90. napot követően a felmondás napját megelőző napon érvényes ügyleti kamatot és kezelési költséget meghaladó összegben nem kerül felszámításra.</t>
  </si>
  <si>
    <t>7 m Ft-ot eléri a kölcsönösszeg?</t>
  </si>
  <si>
    <t>Adósok együttes nettó (bankszámlára érkező jövedelme) eléri a 250 000 Ft-ot?</t>
  </si>
  <si>
    <t>Szükséges</t>
  </si>
  <si>
    <t>Benyújtás dátuma</t>
  </si>
  <si>
    <t>Kölcsönigénylő nyomtatvány</t>
  </si>
  <si>
    <t>Ügyletszereplő adatai nyomtatvány</t>
  </si>
  <si>
    <t>Minden szereplő által külön-külön kitöltve.</t>
  </si>
  <si>
    <t>Ingatlan adatai nyomtatvány</t>
  </si>
  <si>
    <t>Minden ingatlanra külön-külön kitöltve.</t>
  </si>
  <si>
    <t>Nyilatkozatok nyomtatvány</t>
  </si>
  <si>
    <t>Általános tájékoztató</t>
  </si>
  <si>
    <t>Adós és Adóstárs(ak) által aláírva.</t>
  </si>
  <si>
    <t>Személyes tájékoztató</t>
  </si>
  <si>
    <t>Törlesztőrészlet-Rendszeres jöv. arányának alakulása</t>
  </si>
  <si>
    <t>Tájékoztató Jelzálogkötelezettek részére</t>
  </si>
  <si>
    <t>Zálogkötelezett(ek) által aláírva (amennyiben szükséges).</t>
  </si>
  <si>
    <t>Fedezet értékelési díj befizetésének igazolása</t>
  </si>
  <si>
    <t>Igazolható: Befizetést igazoló pénztárbizonylattal vagy az értékbecslési díj átutalásának igazolásával. (Az átutalási megbízás közleményében feltüntetendők: ügyfél neve+címe+befizetés jogcíme: „ingatlan értékbecslés megrendelése”. Számlaszám: 12100011-18181816).</t>
  </si>
  <si>
    <t xml:space="preserve">Minden szereplőtől érvényes azonosító okmány. Külföldi esetén: útlevél. Az okmány másolaton szerepeni kell: „a fénymásolat készítéséhez hozzájárulok”+ dátum+ügyfél aláírása. </t>
  </si>
  <si>
    <t>Minden szereplőtől.</t>
  </si>
  <si>
    <t>Alaprajz</t>
  </si>
  <si>
    <t>Méretarányos alaprajz az ingatlan(ok)ról. Lehet ügyfél által készített is.</t>
  </si>
  <si>
    <t>Használati megállapodás és vázrajz</t>
  </si>
  <si>
    <t>Osztatlan közös tulajdon esetén, ügyvéd vagy közjegyző által ellenjegyzett.</t>
  </si>
  <si>
    <t xml:space="preserve">Amennyiben az ingatlan bérbe van adva. </t>
  </si>
  <si>
    <t>Az ingatlanon fennmaradó teher esetén</t>
  </si>
  <si>
    <t>Igazolás fizetési múltról</t>
  </si>
  <si>
    <t>Alkalmazott esetén</t>
  </si>
  <si>
    <t>Utolsó 6 havi Lakossági bankszámla kivonat</t>
  </si>
  <si>
    <t>Az igénylők valamennyi lakossági bankszámlájáról, valamint hitelkártya számlájáról teljes havi kivonata szükséges.</t>
  </si>
  <si>
    <t>NAV jövedelemigazolás</t>
  </si>
  <si>
    <t>GYED, GYES, családi pótlék igazolása</t>
  </si>
  <si>
    <t>Saját jogú nyugdíjas, véglegesített rokkantnyugdíjas esetén</t>
  </si>
  <si>
    <t>Utolsó 6 havi bankszámla kivonat</t>
  </si>
  <si>
    <t>Amennyiben a nyugdíj folyószámlára érkezik.</t>
  </si>
  <si>
    <t>Egyéni vállalkozás esetén</t>
  </si>
  <si>
    <t>NAV köztartozásmentes igazolás</t>
  </si>
  <si>
    <t>Osztalékból származó jövedelem esetén</t>
  </si>
  <si>
    <t>Legalább 3 hónapja fennálló, határozatlan időtartamra megkötött.</t>
  </si>
  <si>
    <t>Munkáltatói jövedelem igazolás</t>
  </si>
  <si>
    <t>Cégszerűen aláírva. (Angol és német nyelvektől eltérő nyelvek esetén OFI vagy a Bank által elfogadott fordítóirodák fordításában.)</t>
  </si>
  <si>
    <t>Munkaszerződés</t>
  </si>
  <si>
    <t>Jövedelemigazolás</t>
  </si>
  <si>
    <t>Credit Bureau igazolás</t>
  </si>
  <si>
    <t>Bírálathoz: ügyfél személyes megjelenésekor a Bank által készített másolat, vagy magyar konzul által/Apostillel felülhitelesített másolat. Amennyiben az útlevél nem tartalmazza a születési helyet, anyja nevét, akkor azokat fentieknek megfelelően kell igazolni.</t>
  </si>
  <si>
    <t>Kézbesítési megbízotti meghatalmazás</t>
  </si>
  <si>
    <t>Az ingatlan-nyilvántartási törvény előírásának megfelelően.</t>
  </si>
  <si>
    <t>Közigazgatási Hivatal engedélye</t>
  </si>
  <si>
    <t>Amennyiben a törvény előírja.</t>
  </si>
  <si>
    <t>Egyéb dokumentumok</t>
  </si>
  <si>
    <t>Házastárs/élettárs kihagyása az igénylésből</t>
  </si>
  <si>
    <t>Kihagyható, ha ügyvéd által ellenjegyzett eredeti szerződéssel igazolják hogy: a fedezeti ingatlan az adósként is bevont házasfél külön vagyonát képezi, illetve az adósként nem szereplő házastárs/élettárs kijelenti, hogy az ingatlanra semmilyen formában és jogcímen igényt nem támaszt, továbbá, hogy az adós a hitelt az ő különvagyonának tekintett forrásból törleszti.</t>
  </si>
  <si>
    <t>Folyamatban lévő válás esetén</t>
  </si>
  <si>
    <t>Be kell nyújtani az illetékes bíróság által érkeztetett válókereset, és a fenti leírásnak megfelelő vagyonjogi megállapodást.</t>
  </si>
  <si>
    <t>Adós, adóstárs, zálogkötelezett akadályoztatása esetén</t>
  </si>
  <si>
    <t>Közjegyzői okiratba foglalt meghatalmazás akadályoztatás esetén a kölcsönszerződés, a biztosítéki szerződések, a bankszámla szerződés, a lakásbiztosítási szerződés, valamint az ezekkel kapcsolatos nyilatkozatok aláírására vonatkozóan. Külföldön kiállított meghatalmazás esetén konzuli felülhitelesítés vagy Apostille szükséges.</t>
  </si>
  <si>
    <t>Igénylő adatai</t>
  </si>
  <si>
    <t>Igénylő neve:</t>
  </si>
  <si>
    <t>Születési helye, ideje:</t>
  </si>
  <si>
    <t>Állandó lakcíme:</t>
  </si>
  <si>
    <t>Tudomásul veszem, hogy a hitelbírálat csak hiánytalan dokumentáció benyújtásakor kezdődik meg, valamint a Bank fenntartja magának a jogot további dokumentumok bekérésére. A mai dátummal jelölt dokumentumokat a Bank részére átadtam.</t>
  </si>
  <si>
    <t>A hiteligénylés befogadásához szükséges dokumentumok teljeskörűen benyújtásra kerültek.</t>
  </si>
  <si>
    <t>INGATLANHOZ KAPCSOLÓDÓ DOKUMENTUMOK</t>
  </si>
  <si>
    <t>Valamennyi ingatlanfedezetre benyújtandó</t>
  </si>
  <si>
    <t>Ügyvéd vagy közjegyző által ellenjegyzett nyilatkozat vagy jogerős bírósági végzés a házasság felbontásáról, amely tartalmazza a vagyonmegállapodást.</t>
  </si>
  <si>
    <t>Használt ingatlan vásárlása esetén</t>
  </si>
  <si>
    <t>A megvásárolni kívánt ingatlanról. Az adásvételi szerződés kötelező tartalmi elemei külön dokumentumban érhetőek el.</t>
  </si>
  <si>
    <t>A megvásárolni kívánt ingatlanról, eredeti példányban.</t>
  </si>
  <si>
    <t>Letéti szerződés</t>
  </si>
  <si>
    <t>Elővásárlási jogról lemondó nyilatkozat</t>
  </si>
  <si>
    <t>Amennyiben a tulajdonostárs(ak)nak vagy másnak az ingatlanra vonatkozóan elővásárlási joga van.</t>
  </si>
  <si>
    <t>Építés, bővítés, felújítás esetén</t>
  </si>
  <si>
    <t>Költségkimutatás</t>
  </si>
  <si>
    <t>Építési engedély és műszaki tervdokumentáció</t>
  </si>
  <si>
    <t>Jogerős építési engedély és a hozzá kapcsolódó műszaki leírás, tervrajz. (Amennyiben nem építési engedély köteles a munkálat, nem szükséges)</t>
  </si>
  <si>
    <t>Kivitelezővel kötött szerződés</t>
  </si>
  <si>
    <t xml:space="preserve">Amennyiben létrejött szerződés a kivitelezővel. </t>
  </si>
  <si>
    <t>Új ingatlan vásárlása esetén</t>
  </si>
  <si>
    <t>Társasházi alapító okirat és mellékletei</t>
  </si>
  <si>
    <t>Földhivatal által érkeztetett Társasház Alapító Okirat a mellékletét képező alaprajzzal és helyszínrajzzal együtt, továbbá a földhivatali eljárásra vonatkozó kérelem.</t>
  </si>
  <si>
    <t>Társasház előzetes alapító okiratának rendelkezése</t>
  </si>
  <si>
    <t>A társasház előzetes alapító okiratának rendelkezése, valamint az alapítási szándék legalább széljegyzetben történő megjelenése a tulajdoni lapon első helyen vagy a tulajdoni lap III. részén feljegyzett tényként már szerepel.</t>
  </si>
  <si>
    <t>A projektfinanszírozó bank előzetes szándéknyilatkozata</t>
  </si>
  <si>
    <t>Projekthitelből épülő új társasházi lakás vásárlása esetén, a projektfinanszírozó bank előzetes szándéknyilatkozata a jelzálog (és esetleges egyéb biztosítéki jogok) törlési engedély kiadására vonatkozóan, a bankszámlaszámot is feltüntetve, ahova a vételár utolsó részét képező lakossági kölcsön összegét utalni kell.</t>
  </si>
  <si>
    <t>Pótfedezet, a megvásárolandó ingatlantól eltérő fedezet esetén</t>
  </si>
  <si>
    <t>A vonatkozó zálog és kölcsönszerződés, továbbá a jogosult (hitelező) 30 napnál nem régebbi igazolása a fennálló tartozásról, és hozzájárulása a Bank jelzálogjogának bejegyzéséhez. (Esetlegesen ranghelycsere megállapodás benyújtása.)</t>
  </si>
  <si>
    <t>Amennyiben a nyugdíj nem folyószámlára érkezik, 12 hónapnál nem régebbi igazolás az ellátás összegéről.</t>
  </si>
  <si>
    <t>Amennyiben magyar/külföldi állam biztosítja a járadékot és az csoportos jóváírással érkezik.</t>
  </si>
  <si>
    <t>Igazolás a járadék összegéről</t>
  </si>
  <si>
    <t xml:space="preserve">Egyéb esetben a járadékot folyósító intézet 12 hónapnál nem régebbi igazolása a havi járadék összegéről. </t>
  </si>
  <si>
    <t>Nyilatkozat a kölcsönszerződés átvételéről és megismeréséről</t>
  </si>
  <si>
    <t>Utolsó 6 havi folyószámla-kivonattal, vagy amennyiben az ellátás nem lakossági folyószámlára érkezik, úgy az ellátást folyósító intézet 30 napnál nem régebbi igazolásával.</t>
  </si>
  <si>
    <t>30 napnál nem régebbi. Amennyiben a jövedelem nem lakossági folyószámlára érkezik.</t>
  </si>
  <si>
    <t>30 napnál nem régebbi. Cégszerűen aláírva. (Angol és német nyelvektől eltérő nyelvek esetén OFI vagy a Bank által elfogadott fordítóirodák fordításában.)</t>
  </si>
  <si>
    <t>30 napnál nem régebbi külföldi adóhatóság által kiállított, vagyáltala hitelesített jövedelemigazolás. (Angol és német nyelvektől eltérő nyelvek esetén OFI vagy a Bank által elfogadott fordítóirodák fordításában.)</t>
  </si>
  <si>
    <t>30 napnál nem régebbi. Cégszerűen aláírva, a külföldön felvett hitelek fizetési moráljának igazolására. (Angol és német nyelvektől eltérő nyelvek esetén OFI vagy a Bank által elfogadott fordítóirodák fordításában.)</t>
  </si>
  <si>
    <t>A megelőző lezárt adóévről, a hiteligénylő magánszemélyre/egyéni vállalkozóra vonatkozóan.  (30 napnál nem régebbi.)</t>
  </si>
  <si>
    <t>Adó és köztartozások megfizetését igazoló eredeti NAV adóigazolás az egyéni vállalkozóra vonatkozóan. (30 napnál nem régebbi.)</t>
  </si>
  <si>
    <t>Adó és köztartozások megfizetését igazoló eredeti NAV adóigazolás a magánszemélyre és a vállalkozásra vonatkozóan. (30 napnál nem régebbi.)</t>
  </si>
  <si>
    <t>A megelőző lezárt adóévről, amelyen szerepel a bérbeadásból származó jövedelem.  (30 napnál nem régebbi.)</t>
  </si>
  <si>
    <t xml:space="preserve">LTV 0-60% </t>
  </si>
  <si>
    <t xml:space="preserve">LTV 60%- </t>
  </si>
  <si>
    <t>Ingatlanfedezeti értéke alapján nyújtható kölcsönösszeg (figyelembe véve 80% ill. 75%-os LTV-t)</t>
  </si>
  <si>
    <t>MNB Tájékoztató a KHR-ről</t>
  </si>
  <si>
    <t>MNB Tájékoztató a Túlzott eladósodottság kockázatáról</t>
  </si>
  <si>
    <t>ÁKKH szerinti hitelkamat</t>
  </si>
  <si>
    <t>A háztartásban élők száma:</t>
  </si>
  <si>
    <t>ÁKKH</t>
  </si>
  <si>
    <t>5 év</t>
  </si>
  <si>
    <t>Új lakás építés</t>
  </si>
  <si>
    <t>1. Hitelező/hitelközvetítő adatai</t>
  </si>
  <si>
    <t>1.1. a hitelező neve (cégneve) és
címe (székhelye)</t>
  </si>
  <si>
    <t>1.2. amennyiben van, a hitelközvetító neve (cégneve) és címe (székhelye)</t>
  </si>
  <si>
    <t>2. A jelzáloghitelekkel kapcsolatos adatok</t>
  </si>
  <si>
    <t>2.2. a jelzáloghitel biztosítékai, adott esetben annak lehetősége, hogy más tagállamban is lehet.</t>
  </si>
  <si>
    <t>2.3. a hitel lehetséges futamideje</t>
  </si>
  <si>
    <t>2.4. a hitelező által kínált jelzáloghitelek típusai, fix kamatozású, referencia-kamatlábhoz kötött vagy kamatperiódusokban rögzített, a kamatozás jellemzőinek rövid ismertetetése beleértve a fogyasztót érintő hatásokat; alkalmazása esetén kamatfelár, kamatváltoztatási vagy kamatfelár-változtatási mutató.</t>
  </si>
  <si>
    <t xml:space="preserve">A GRÁNIT Bank Zrt. által kínált jelzáloghitelek kizárólag forintban elérhetők.  </t>
  </si>
  <si>
    <t>A kölcsönfelvevő jogosult a futamidő alatt bármely törlesztési esedékességkor (Törlesztési napon) a kölcsönszerződésben rögzített lejárati idő előtt tartozását visszafizetni.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Előtörlesztés esetén a Bank díjat számol fel, melynek mértékét a lakossági Jelzáloghitelekre vonatkozó mindenkori Hirdetmény tartalmazza.</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</si>
  <si>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</si>
  <si>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Jövedelem mértéke:</t>
  </si>
  <si>
    <t>Felvett hitelösszeg</t>
  </si>
  <si>
    <t>Hiteldíj</t>
  </si>
  <si>
    <t>Bevezető szöveg</t>
  </si>
  <si>
    <t>Ez a dokumentum</t>
  </si>
  <si>
    <t>-án/én</t>
  </si>
  <si>
    <t>Fedezet értéke:</t>
  </si>
  <si>
    <t>Ez a dokumentum az Ön által ezidáig megadott adatok és a jelenlegi pénzügyi piaci feltételek alapján készült.</t>
  </si>
  <si>
    <t>Hitelkiváltás vagy új hitel:</t>
  </si>
  <si>
    <t>1. Hitelező</t>
  </si>
  <si>
    <t>2. Hitelközvetítő</t>
  </si>
  <si>
    <t>Levelezési cím:</t>
  </si>
  <si>
    <t>Tájékoztatjuk, hogy igénye kapcsán a hitelközvetítő hiteltanácsadást nem nyújt. Egyes kérdésekre adott válaszai alapján azonban tájékoztatjuk az adott jelzáloghitel feltételeiről, hogy Ön dönthessen.</t>
  </si>
  <si>
    <t>A hitelközvetítő díjazását a Banktól kapja, amely százalékos értékben kerül meghatározásra a hitelösszeg függvényében.</t>
  </si>
  <si>
    <t>A jutalék mértéke:</t>
  </si>
  <si>
    <t>,azaz</t>
  </si>
  <si>
    <t>.</t>
  </si>
  <si>
    <t>A hitel összege és pénzneme:</t>
  </si>
  <si>
    <t xml:space="preserve">Ez azt jelenti, hogy </t>
  </si>
  <si>
    <t>-ért amelyet hitelként felvesz,</t>
  </si>
  <si>
    <t>-ot kell visszafizetnie.</t>
  </si>
  <si>
    <t>Ennek a tájékoztatásnak az elkészítéséhez az ingatlan értékét</t>
  </si>
  <si>
    <t>-nak/nek tekintettük.</t>
  </si>
  <si>
    <t>Az igénybe vehető maximális hitelösszeg az ingatlan értékéhez viszonyítva</t>
  </si>
  <si>
    <t>A tényleges igénybe vehető hitelösszeget azonban nem csak a hitel fedezetéül szolgáló ingatlan forgalmi értéke, hanem az Adósok igazolt nettó jövedelme, az aktuális eladósodottságuk mértéke és a tényleges kockázatai alapú adós és ügyletminősítés határozza meg!</t>
  </si>
  <si>
    <t xml:space="preserve">A teljes hiteldíj mutató (THM) a hitel teljes éves díját mutatja meg százalékban kifejezve. A THM különböző ajánlatok összehasonlítását szolgálja. </t>
  </si>
  <si>
    <t>A THM meghatározása az igényelt hitelre vonatkozóan az Ön által megadott információk és ezek alapján a hitel jelen Tájékoztatójában rögzített paramétek szerint továbbá az aktuális feltételek illetve hatályos jogszabályok figyelembevételével történt. A feltételek változása esetén a THM mértéke módosulhat. A THM mutató értéke nem tükrözi a hitel kamatkockázatát.</t>
  </si>
  <si>
    <t xml:space="preserve">A THM az alábbiakat tartalmazza:
</t>
  </si>
  <si>
    <t xml:space="preserve">Induló Kamatláb: </t>
  </si>
  <si>
    <t>A THM egyéb összetevői</t>
  </si>
  <si>
    <t>Egyszer fizetendő költségek</t>
  </si>
  <si>
    <t>Rendszeresen fizetendő költségek</t>
  </si>
  <si>
    <t>Hiteltörlesztés beszedésének díja</t>
  </si>
  <si>
    <t>Az alábbi költségek nem ismertek a Bank számára, és így azokat a THM nem foglalja magában:</t>
  </si>
  <si>
    <t>összege a választott Biztosító díjszabása szerinti, jelenleg nem ismert a Bank számára</t>
  </si>
  <si>
    <t xml:space="preserve">Kérjük, tájékozódjon az ehhez a hitelhez kapcsolódó minden egyéb illetékről és költségről. </t>
  </si>
  <si>
    <t>-ra/re emelkedne</t>
  </si>
  <si>
    <t>a THM</t>
  </si>
  <si>
    <t>-ra/re nőhet.</t>
  </si>
  <si>
    <t>A törlesztések gyakorisága:</t>
  </si>
  <si>
    <t>havi</t>
  </si>
  <si>
    <t>A törlesztések száma:</t>
  </si>
  <si>
    <t>Az egyes törlesztőrészletek összege:</t>
  </si>
  <si>
    <t xml:space="preserve">A hitel forint alapú hitel. A törlesztések forintban történnek. </t>
  </si>
  <si>
    <t xml:space="preserve">Az Ön jövedelme változhat. Kérjük, gondolja át, hogy a jövedelme csökkenése esetén is képes lesz-e törleszteni a havi részleteket. </t>
  </si>
  <si>
    <t>Például amennyiben a kamat</t>
  </si>
  <si>
    <t>-ra/re emelkedne, az Ön által fizetendő részlet</t>
  </si>
  <si>
    <t>-ra/re nőne.</t>
  </si>
  <si>
    <t>A törlesztőrészletek (2. oszlop) a fizetendő kamat (3. oszlop), a fizetendő tőke (4. oszlop) és az egyéb költségek (5. oszlop) összegéből állnak. A fennmaradó tőke (6. oszlop) az egyes törlesztőrészletek után még törlesztendő hitelösszeg.</t>
  </si>
  <si>
    <t>1. A törlesztés ütemezése</t>
  </si>
  <si>
    <t>2. A törlesztőrészlet összege</t>
  </si>
  <si>
    <t>3. Törlesztőrészletenként fizetendő kamat</t>
  </si>
  <si>
    <t>4. Törlesztőrészletenként visszafizetett tőke</t>
  </si>
  <si>
    <t>5. A törlesztőrészletben foglalt egyéb költségek</t>
  </si>
  <si>
    <t>6. Az egyes törlesztőrészletek után fennmaradó tőke</t>
  </si>
  <si>
    <t>1. ügyfélév</t>
  </si>
  <si>
    <t>Mindösszesen</t>
  </si>
  <si>
    <t>Kérem, vegye figyelembe, hogy a Táblázat csak szemléltetésre szolgál, és a jelzálogkölcsön változó kamatozású (kamatperióduson belül fix), ebből fakadóan a táblázatban közölt értékek változhatnak.</t>
  </si>
  <si>
    <t>A THM számítása során a jogszabályoknak megfelelően nem kerülnek figyelembe vételre:</t>
  </si>
  <si>
    <t>Összege</t>
  </si>
  <si>
    <t>(A közjegyzői díjat a kölcsönfelvevők fizetik a választott Közjegyzőnek. A Közjegyzői díj összegét a közjegyzői díjszabásra vonatkozó jogszabály (a közjegyző díjszabásról szóló 14/1991 (XI.26) IM rendelet) alapján – az ügyértéktől (kölcsön összege) és egyéb feltételektől függően – az eljáró közjegyző határozza meg. A díjszabásról a közjegyzőnél, illetve a Közjegyzői Kamaránál kaphat pontos tájékoztatást (www.mokk.hu).</t>
  </si>
  <si>
    <t>További, a kölcsön futamideje alatt az ügyfél számára költséget jelentő banki díjak, így például:</t>
  </si>
  <si>
    <t>Késedelmes teljesítés esetén felszámításra kerülő késedelmi kamat (Banknak fizetendő)</t>
  </si>
  <si>
    <t>Egyéb olyan fizetési kötelezettség, amely a szerződésben vállalt kötelezettségek nem teljesítéséből származik</t>
  </si>
  <si>
    <t>Átutalási díjak (Banknak fizetendő)</t>
  </si>
  <si>
    <t>Számla kondíciók alapján</t>
  </si>
  <si>
    <t>Eseti kimutatás díja (Banknak fizetendő)</t>
  </si>
  <si>
    <t>Szerződésmódosítás díja (Banknak fizetendő)</t>
  </si>
  <si>
    <t>Fedezettörlési díj (fedezetenként fizetendő a Földhivatalnak)</t>
  </si>
  <si>
    <t>Amennyiben a hitel előtörlesztése mellett dönt, kérem vegye fel a kapcsolatot velünk, hogy pontosan megállapítsuk az előtörlesztés időpontjában esedékes előtörlesztési díjat.</t>
  </si>
  <si>
    <t>Szerződésmódosítási díj (Banknak fizetendő)</t>
  </si>
  <si>
    <t>Szerződésmódosítás közjegyzői okiratba foglalásának díja (a választott Közjegyzőnek fizetendő)</t>
  </si>
  <si>
    <t>Fedezet értékelési díj  (Banknak fizetendő)</t>
  </si>
  <si>
    <t>Fedezetbejegyzési díj (fedezetenként fizetendő a Földhivatalnak)</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</si>
  <si>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</si>
  <si>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 xml:space="preserve">Alulírott aláírásommal elismerem, hogy a Személyes tájékoztató 6. pontjában szemléltetett legrosszabb esetre szóló forgatókönyvet megismertem, mérlegeltem, hogy a kamat emelkedése esetén vagy a jövedelmem csökkenése esetén is képes leszek fizetni a törlesztőrészletet. </t>
  </si>
  <si>
    <t>Igényének és körülményeinek értékelése alapján ezt a jelzáloghitelt ajánljuk Önnek.</t>
  </si>
  <si>
    <t>Nem ajánljuk Önnek az adott jelzáloghitelt. Egyes kérdésekre adott válaszai alapján azonban tájékoztatjuk az adott jelzáloghitel feltételeiről, hogy Ön dönthessen.</t>
  </si>
  <si>
    <t>Digitális</t>
  </si>
  <si>
    <t>Ajánlat érvényessége</t>
  </si>
  <si>
    <t>akció vége</t>
  </si>
  <si>
    <t>MINIMUM hátralévő napszám</t>
  </si>
  <si>
    <t>Forgatókönyv kamatláb</t>
  </si>
  <si>
    <t>Akció vége</t>
  </si>
  <si>
    <t>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t>
  </si>
  <si>
    <t>Az alábbi tájékoztatás a kamat és egyéb költségek kivételével</t>
  </si>
  <si>
    <t>Önnek (azaz a szerződéskötés és a folyósítás is megtörténik). Ezt követően a piaci feltételek függvényében változhat. Ez a dokumentum nem kötelezi GRÁNIT Bank Zrt-t arra, hogy hitelt nyújtson Önnek.</t>
  </si>
  <si>
    <t>Családi Otthonteremtési Kedvezményhez (CSOK) és Adó-visszatérítési támogatáshoz kapcsolódó díjak:</t>
  </si>
  <si>
    <t>maximum 30 000 Ft</t>
  </si>
  <si>
    <t>Ügyfél által fizetendő (nettó) kamat</t>
  </si>
  <si>
    <t>Ügyfél által fizetendő (nettó) kamat:</t>
  </si>
  <si>
    <t>Ügyleti (bruttó) kamat:</t>
  </si>
  <si>
    <t>A kölcsön felvételéhez kapcsolódó díjak nem hitelezhetők meg.</t>
  </si>
  <si>
    <t>Futamidő hónapban (max. 300)</t>
  </si>
  <si>
    <t>A kölcsön futamideje: minimum 5 év, maximum 25 év lehet, de figyelembe véve azt is, hogy a hiteligénylők közül a legfiatalabb szereplő életkora a futamidő lejáratának évében nem érheti el a 75. életévet.</t>
  </si>
  <si>
    <t>-ig érvényes, amennyiben ezen időszakon belül a GRÁNIT Bank Zrt. hitelt nyújt</t>
  </si>
  <si>
    <t>Államilag kamattámogatott</t>
  </si>
  <si>
    <t>Ügyfél által fizetendő (nettó) kamatláb az állami támogatás időszaka alatt:</t>
  </si>
  <si>
    <t>Ügyleti (bruttó, állami támogatás nélküli) kamatláb:</t>
  </si>
  <si>
    <t>Az Ön hitelére érvényes THM az állami támogatás időszaka alatt:</t>
  </si>
  <si>
    <t>Jogszabályi THM</t>
  </si>
  <si>
    <t>Az Ön hitelére érvényes THM állami támogatás nélkül:</t>
  </si>
  <si>
    <t xml:space="preserve">Felhívjuk a figyelmét arra, hogy a bemutatott THM azzal a feltételezéssel került kiszámításra, hogy az 5 éves ÁKKH a szerződés teljes időtartama alatt a kezdeti időszakra érvényes szinten marad. </t>
  </si>
  <si>
    <t>ügyfélkamat támogatással</t>
  </si>
  <si>
    <t>ügyfélkamat támogatás nélkül</t>
  </si>
  <si>
    <t>Kamatláb kamattámogatás nélkül</t>
  </si>
  <si>
    <t>A kölcsön célja új építésű, önállóan forgalomképes lakóingatlan és a hozzás tartozó telek megvásárlása. Új lakás vásárlásnak minősül a 2008. július 1-jén, vagy azt követően kiállított a) használatbavételi engedéllyel vagy b) a használatbavétel tudomásulvételét igazoló hatósági bizonyítvánnyal vagy c) egyszerű bejelentéshez kötött épület felépítésének megtörténtéről szóló hatósági bizonyítvánnyal rendelkező lakás vagy lakóház, amelyet gazdálkodó szervezet természetes személy részére való értékesítés céljára épít vagy építtet, és amelyet első ízben természetes személy részére értékesítenek.</t>
  </si>
  <si>
    <t>A kölcsön célja új lakás építése. Új lakás építésének minősül 2008. július 1-jén, vagy azt követően kiállított a) építési engedély vagy b) egyszerű bejelentéshez kötött építési tevékenység bejelentésének megtörténtét az építésügyi hatság által kiállított igazoló dokumentum alapján felépített lakás vagy lakóház, amely a) használatbavételi engedéllyel vagy b) a használatbavétel tudomásulvételét igazoló hatósági bizonyítvánnyal vagy c) egyszerű bejelentéshez kötött épület felépítésének megtörténtéről szóló hatósági bizonyítvánnyal még nem rendelkezik az igényléskor.</t>
  </si>
  <si>
    <t>(ügyfél által fizetendő (nettó) kamat a kamattámogatás ideje alatt)</t>
  </si>
  <si>
    <t>(Ügyleti (bruttó, kamattámogatás nélkül) kamat)</t>
  </si>
  <si>
    <t>Piaci kamatozású lakáscélú hitel</t>
  </si>
  <si>
    <t>Piaci kamatozású szabadfelhasználású hitel</t>
  </si>
  <si>
    <t>Otthonteremtési Kamattámogatású hitel</t>
  </si>
  <si>
    <t>(állami kamattámogatással)</t>
  </si>
  <si>
    <t>Egyszerű bejelentéshez kötött építési tevékenység bejelentésének megtörténtét az építésügyi hatóság által kiállított igazoló dokumentummal</t>
  </si>
  <si>
    <t>Egyszerű bejelentéshez kötött építkezés esetén (2016. január 1-én vagy azt követően, 300 m2 alatti lakásnál).</t>
  </si>
  <si>
    <t>Egyszerű bejelentéshez kötött építési tevékenység esetén.</t>
  </si>
  <si>
    <t>Kamatértesítő megküldésének módja</t>
  </si>
  <si>
    <t>Biztosítás fizetése</t>
  </si>
  <si>
    <t>negyedéves</t>
  </si>
  <si>
    <t>féléves</t>
  </si>
  <si>
    <t>éves</t>
  </si>
  <si>
    <t>Kamatértesítő</t>
  </si>
  <si>
    <t>elektronikusan</t>
  </si>
  <si>
    <t>Postán</t>
  </si>
  <si>
    <t>kamatértesítő küldésének díja</t>
  </si>
  <si>
    <t>életbiztosítás (egyedüli Adósnál, ügyfél választása szerint)</t>
  </si>
  <si>
    <t>ingatlan biztosítás összege:</t>
  </si>
  <si>
    <t>ingatlan biztosítás fizetésének gyakorisága:</t>
  </si>
  <si>
    <t>BANKSZÁMLA TÍPUSA:</t>
  </si>
  <si>
    <t>ÜGYFÉL NEVE:</t>
  </si>
  <si>
    <t>életbiztosítás összege:</t>
  </si>
  <si>
    <t>életbiztosítás fizetésének gyakorisága:</t>
  </si>
  <si>
    <t>Biztosítások</t>
  </si>
  <si>
    <t>Életbiztosítás összege</t>
  </si>
  <si>
    <t>Életbiztosítás fizeteésének gyakorisága</t>
  </si>
  <si>
    <t>Kamatértesítő küldésének módja</t>
  </si>
  <si>
    <t>ingatlanbiztosítás díja</t>
  </si>
  <si>
    <t>ingatlanbiztosítás fizetésének gyakorisága</t>
  </si>
  <si>
    <t>JELEN TÁJÉKOZTATÓ NEM TELJESKÖRŰ ÉS NEM MINŐSÜL AJÁNLATTÉTELNEK! A FELTŰNTETETT KONDÍCIÓK CSAK TÁJÉKOZTATÓ JELLEGŰEK,</t>
  </si>
  <si>
    <t>A BANK A BÍRÁLAT JOGÁT MINDEN ESETBEN FENNTARTJA.</t>
  </si>
  <si>
    <t>A Felelős Műszaki Vezető személyét igazoló irat</t>
  </si>
  <si>
    <t>Felelős Műszaki Vezetői névjegyzékbe vételt igazoló érvényes okirat és Felelős Műszaki Vezető nyilatkozata arról, hogy valóban Ő felel az adott építkezésért, vagy önkormányzat felé bejelentő okirat arról, hogy ki az adott építkezés Felelős Műszaki Vezetője.</t>
  </si>
  <si>
    <t>Tulajdoni hányadról szóló megállapodás</t>
  </si>
  <si>
    <t>Építési hitelcél esetén amennyiben a telek nem az építő tulajdonában áll, úgy a tulajdoni hányadról szóló megállapodás</t>
  </si>
  <si>
    <t>ingatlan biztosítás összege</t>
  </si>
  <si>
    <t xml:space="preserve">A teljes hiteldíj mutató (THM) a hitel teljes díjának arányát fejezi ki a hitel teljes összegéhez viszonyítva éves alapon és százalékban kifejezve. A THM számítás a 83/2010. (III.25.) Korm. rendelet és a 2009. évi CLXII. tv. rendelkezései szerint lakásvásárlási célú 5 millió Ft hitelösszegre, 20 éves futamidőre és annuitásos törlesztés feltételezésével készült.
A THM mutató számítása során egy fedezeti ingatlanra vonatkozó fedezet értékelési díj, fedezetbejegyzési díj, tulajdoni lap díja, továbbá a folyósítási jutalék, havi 0 Ft-os bankszámlavezetési díj (Sztár számlacsomag), a törlesztés beszedésének díja (0,0%), valamint elektronikusan megküldött kamatértesítő került figyelembe vételre. A jelzáloghitelek esetén a fedezetül bevont ingatlanra vonatkozóan vagyonbiztosítás, egyedüli igénylő esetén az Adós személyére vonatkozó kockázati életbiztosítás megkötése vagy megléte szükséges az ügyfél által választott bármelyik biztosítónál.
</t>
  </si>
  <si>
    <t>Ügyletminősítés eredménye</t>
  </si>
  <si>
    <t>1,50%,
kivéve a jelzáloglevéllel finanszírozott kölcsönszerződés előtörlesztése esetén, ide értve a jelzálog-hitelintézet által refinanszírozott kölcsönszerződést is, ha a kamatperiódus fordulónapjától eltérő napon történik részleges vagy teljes előtörlesztés: 2,00%</t>
  </si>
  <si>
    <t>Építésnél a helyszíni szemlék száma</t>
  </si>
  <si>
    <t>granit</t>
  </si>
  <si>
    <t>Alulírottak büntetőjogi felelősségünk tudatában kijelentjük, hogy cégünk felszámolási eljárás, csődeljárás, illetve végelszámolás, valamint a munkavállalónk felmondás alatt nem áll és jelen igazoláson feltűntetett jövedelmek után az előírt közterhek levonásra és megfizetésre kerültek. Ezt az igazolást a munkavállaló GRÁNIT Bank Zrt-hez benyújtandó hitelkérelméhez, illetve a munkavállaló harmadik személy iránti készfizető kezességvállalásához adtuk ki.</t>
  </si>
  <si>
    <t>Akció vége:</t>
  </si>
  <si>
    <t xml:space="preserve">A kedvezmény feltétele, hogy az Adósok rendszeres havi jövedelmének egésze a GRÁNIT Banknál vezetett bankszámlára érkezzen a kölcsön teljes futamideje alatt. Jövedelemnek minősül a következő jogcímeken érkező rendszeres, havi átutalás: munkabér, munkabér jellegű juttatás, nyugdíj, TGYÁS, GYES, GYED, családi pótlék.
A Bank jogosult a kedvezmény feltételeinek teljesítését a kölcsön futamideje alatt ellenőrizni. Amennyiben a kedvezmény feltételei legalább 2 egymást követő hónapon keresztül nem teljesülnek, a Bank jogosult az elengedett, visszatérített díjakkal megterhelni a hitel törlesztésül szolgáló bankszámlát. A Bank a futamidő első két hónapjában nem ellenőrzi a feltétel teljesülését. </t>
  </si>
  <si>
    <t>ÁKKH érvényesség vége</t>
  </si>
  <si>
    <t>KALKULÁCIÓ KÉSZÍTÉSÉNEK NAPJA:</t>
  </si>
  <si>
    <t>kalkulácio + 15 nap</t>
  </si>
  <si>
    <t>Átárazás előtti nap</t>
  </si>
  <si>
    <t>Kelt: Budapest, ……………………………………..</t>
  </si>
  <si>
    <t xml:space="preserve">Amennyiben panasza van, kérjük, vegye fel a kapcsolatot GRÁNIT Bank Zrt. Ügyfélszolgálatával (cím: 1095 Budapest, Lechner Ödön fasor 8.) Panaszát bejelentheti telefonon keresztül a 06-1-5100-527-es telefonszámon vagy e-mailen a panasz@granitbank.hu e-mail címen. A panasz kezelésére rendelkezésre álló idő legfeljebb 30 nap.
Amennyiben a panasza helyben nem rendeződik az Ön számára kielégítően, a következő szervezetekhez is fordulhat: Pénzügyi Békéltető Testület (1013 Budapest, Krisztina krt. 39., levelezési cím: H-1525 Budapest, BKKP Pf.: 172.).
Tájékoztatjuk, hogy a hitelintézetekről és a pénzügyi vállalkozásokról szóló 2013. évi CCXXXVII. törvény, valamint a 28/2014 (VII.23.) MNB rendelet alapján, a Magyar Nemzeti Bankról szóló törvény szerinti fogyasztóvédelmi rendelkezések megsértése esetén a Magyar Nemzeti Banknál fogyasztóvédelmi eljárást kezdeményezhet, vagy a szerződés létrejöttével, érvényességével, joghatásaival és megszűnésével, továbbá a szerződésszegéssel és annak joghatásaival kapcsolatos jogvita esetén bírósághoz fordulhat, vagy a Pénzügyi Békéltető Testület eljárását kezdeményezheti. A Bank a Pénzügyi Békéltető Testület felé alávetésről szóló nyilatkozatot nem tett. A Pénzügyi Békéltető Testület elérhetőségei: 1013 Budapest, Krisztina krt. 39., levelezési cím: H-1525 Budapest BKKP Pf.: 172., tel.: +36-1-489-9700, 06-80-203-776 email cím: pbt@mnb.hu. A Magyar Nemzeti Bank Pénzügyi Fogyasztóvédelmi Központ aktuális elérhetőségei: (ugyfelszolgalat@mnb.hu, 1534 Budapest BKKP Postafiók: 777., tel.: 06-80-203-776) 
A Bank a Magyar Nemzeti Bank honlapján a Pénzügyi Békéltető Testület eljárásának kezdeményezése, illetve az Magyar Nemzeti Bank fogyasztóvédelmi ellenőrzési eljárásának kezdeményezésére irányuló kérelem (pénzügyi fogyasztóvédelmi beadvány) benyújtása céljára rendszeresített formanyomtatványokat a következő elérhetőségek valamelyikére beérkezett igény esetén díjmentesen küldi meg az Ügyfél részére. </t>
  </si>
  <si>
    <t>Kelt: Budapest, …………..……………...........................................</t>
  </si>
  <si>
    <t>Munkahelyének tulajdonosa, vezető tisztségviselője közeli hozzátartozója:</t>
  </si>
  <si>
    <t>Az ingatlan székhelye vagy telephelye lesz cégnek?</t>
  </si>
  <si>
    <t>Az ingatlan székhelye vagy telephelye cégnek?</t>
  </si>
  <si>
    <t>igen*</t>
  </si>
  <si>
    <t>*A cég neve:</t>
  </si>
  <si>
    <t xml:space="preserve">3.3. Munkaszerződésének időtartama: </t>
  </si>
  <si>
    <t xml:space="preserve">3.4. Foglalkozása/beosztása: </t>
  </si>
  <si>
    <t xml:space="preserve">3.5. Előző munkaviszony kezdete: </t>
  </si>
  <si>
    <t xml:space="preserve">3.2. Munkavállaló a próbaidejét tölti: </t>
  </si>
  <si>
    <t>Próbaidejének vége:</t>
  </si>
  <si>
    <t>SZIG:   ……………………………………………………………………………………</t>
  </si>
  <si>
    <t>Kelt: Budapest, ....</t>
  </si>
  <si>
    <t>A kölcsön biztosítéka minden esetben magánszemély tulajdonában álló, Magyarország területén lévő, önállóan forgalomképes lakóingatlanon alapított és az  ingatlan-nyilvántartásba a Kölcsönszerződésben szereplő hitelösszeg 130%-ra bejegyzett önálló zálogjog és elidegenítési és terhelési tilalom.</t>
  </si>
  <si>
    <t>Ingatlan fedezet mellett nyújtott annuitásos (egyenletes törlesztésű) jelzáloghitel, melynek fedezetül felajánlott ingatlan(ok)ra a Bank Kölcsönszerződésben szereplő hitelösszeg 130%-ra önálló zálogjogot és azt biztosító elidegenítési és terhelési tilalmat jegyeztet be.</t>
  </si>
  <si>
    <t>Büntetőjogi felelősségem tudatában kijelentem, hogy jelen adatlapon közölt adatok a valóságnak megfelelnek.</t>
  </si>
  <si>
    <t>Meglévő lakásbiztosítás esetén. Díjfizetés igazolása: bankszámlakivonattal, csekk feladóvevénnyel vagy pénztári befizetési bizonylattal.</t>
  </si>
  <si>
    <t xml:space="preserve">Az ingatlan fedezete lesz a kölcsönnek?  </t>
  </si>
  <si>
    <t>TESZT ANNA</t>
  </si>
  <si>
    <t>A 2018.06.30-ig befogadott hitelkérelmeknél</t>
  </si>
  <si>
    <t>A 2018.07.01-től befogadott hitelkérelmeknél</t>
  </si>
  <si>
    <t>2. A hitel fő jellemzői</t>
  </si>
  <si>
    <t>3. Kamat és egyéb költségek</t>
  </si>
  <si>
    <t>4. A törlesztések gyakorisága és száma</t>
  </si>
  <si>
    <t>5. Az egyes törlesztőrészletek összege</t>
  </si>
  <si>
    <t>6. Szemléltető törlesztési táblázat</t>
  </si>
  <si>
    <t>7. További kötelezettségek</t>
  </si>
  <si>
    <t>8. Előtörlesztés</t>
  </si>
  <si>
    <t>9. Rugalmas elemek</t>
  </si>
  <si>
    <t>10. A fogyasztó egyéb jogai</t>
  </si>
  <si>
    <t>11. Panaszok</t>
  </si>
  <si>
    <t>12. A hitelhez kapcsolódó kötelezettségeknek való nem megfelelés következményei a fogyasztóra nézve</t>
  </si>
  <si>
    <t>13. Felügyelet</t>
  </si>
  <si>
    <t>Kamatértesítő díja</t>
  </si>
  <si>
    <t>Folyósítási jutalék (Banknak fizetendő)*</t>
  </si>
  <si>
    <t>Kockázati életbiztosítás*** (egyedüli Adós esetén, ügyfél által választott Biztosítónak rendszeres fizetendő díj)</t>
  </si>
  <si>
    <t xml:space="preserve">*** 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Az életbiztosítás után fizetendő díjat a biztosítók egyedi díjszabásuk szerint határozzák meg. </t>
  </si>
  <si>
    <t>3.     a hitel teljes összege és lehívásának feltétele</t>
  </si>
  <si>
    <t>4.     a hitel futamideje</t>
  </si>
  <si>
    <t>5.     a késedelmi kamat vagy az egyéb olyan fizetési kötelezettség, amely a hitelszerződésben vállalt kötelezettség nem teljesítéséből származik</t>
  </si>
  <si>
    <t>Fedezetbejegyzési díj (fedezetenként fizetendő a Földhivatalnak az önálló zálogjog és elidegenítési és terhelési tilalom bejegyzésére)</t>
  </si>
  <si>
    <t>A szerződés aláírásával az Adósok kötelezettséget vállalnak arra, hogy a kölcsönszerződésben foglaltakat (különös tekintettel a fizetési kötelezettségekre) maradéktalanul teljesítik. Ha bármilyen okból ennek nem tudnak eleget tenni, az szerződésszegésnek minősül és maga után vonja a szerződés azonnali hatályú felmondását, mellyel a még fennálló teljes tartozása azonnali hatállyal és egy összegben esedékessé válik. Zálogkötelezettek tudomásul veszik, hogy a hitel felmondását követően a Banknak lehetősége van az önálló zálogjogot harmadik fél részére részben vagy egészben átruházni. A kölcsön- és zálogszerződés felmondásának okait a Bank hatályos Üzletszabályzata, a Kockázatvállalással kapcsolatos Lakossági ügyletek ÁSZF-je és az aláírt szerődés tartalmazza. A szerződés felmondásával valamint a követelés érvényesítésével kapcsolatban (pl. bírósági végrehajtás során) felmerülő valamennyi költség az Adósokat terheli. A felmondását megelőzően a Bank az Adósoknak, Zálogkötelezettnek küldött írásbeli fizetési felszólításban felhívja figyelmet a teljes fennálló és a lejárt tartozás összegére, a fizetendő kamat és késedelmi kamat mértékére, valamint a nemfizetés esetén teljesítendő további kamatteherre és a tartozás rendezésének elmaradása esetén a várható jogkövetkezményekre. Ezzel együtt bemutatja az Adósoknak a szerződés megkötésétől kezdődően – egyes évekre összesítve, de a külön kérésére havi bontásban is – teljesített törlesztő részletek, a visszafizetett tőkeösszeg, az elszámolt kamat, késedelmi kamat és egyéb költségek, továbbá a tőkésített kamat és a fennálló tartozás alakulását.
Amennyiben a kölcsön nem kerül visszafizetésre, a Bank a követelését a hatályos Üzletszabályzata, a Kockázatvállalással kapcsolatos Lakossági ügyletek ÁSZF-je és a kölcsön- és zálogszerződésben foglaltak szerint fogja érvényesíteni, ide értve, de nem kizárólagosan: a Banknak jogában áll az Adós bármely bankszámláját az ügyfél megkérdezése nélkül a követelés összegének erejéig megterhelni, a követelés harmadik fél részé renegedményezni vagy bírósági végrehajtás kezdeményezni a hitel fedezetéül szolgáló ingatlan(ok) valamint az Adós bármely ingó és ingatlan vagyonára nézve, melynek keretében a Zálogkötelezett akár a biztosítékul szolgáló ingatlan tulajdonjogát is elveszítheti.</t>
  </si>
  <si>
    <t>6.     az előtörlesztéshez való jog, és annak az Fhtv. 25. §-a szerinti esetleges költségei</t>
  </si>
  <si>
    <t>7.     a fizetés elmulasztásának lehetséges következményei</t>
  </si>
  <si>
    <t>2.5. olyan hitelszerződés esetén, amely a 2016/1011/EU európai parlamenti és tanácsi rendelet 3. cikk (1) bekezdésének 3. pontjában meghatározott referenciamutatóra hivatkozik, a referenciamutatók és azok kezelőinek nevei, valamint következményei a fogyasztóra nézve.</t>
  </si>
  <si>
    <t>2.6. forinttól eltérő devizanem esetén annak törlesztéskor és adott esetben átváltáskor jelentkező következményei a fogyasztóra nézve.</t>
  </si>
  <si>
    <t>2.7. egy reprezentatív példával a hitel teljes összege, a hitel teljes díja, a fogyasztó által fizetendő teljes összeg és a teljes hiteldíj mutató.</t>
  </si>
  <si>
    <t>2.8. a hitel teljes díjába bele nem számított további költségek és díjak</t>
  </si>
  <si>
    <t>2.9. az előtörlesztés lehetősége és annak feltételei</t>
  </si>
  <si>
    <t>2.10. a hitelező által kínált törlesztési lehetőségek, beleértve a törlesztőrészletek számát, összegét és a törlesztés gyakoriságát is.</t>
  </si>
  <si>
    <t>2.11. a fedezetül szolgáló ingatlan értékelésének szükségessége, ki végezteti el az értékelést és a fogyasztót ezzel kapcsolatban milyen költség terheli.</t>
  </si>
  <si>
    <t>2.12. azok a kapcsolódó szolgáltatások, amelyeket a fogyasztónak igénybe kell vennie a hitel felvételéhez vagy a meghirdetett feltételek melletti felvételéhez, ha van rá lehetőség annak feltüntetése, hogy a kapcsolódó szolgáltatásokat a hitelezőtől eltérő szolgáltatótól lehet megvenni, illetve a kapcsolódó szolgáltatás külön szerződéses jogviszony létrejöttéhez kötött-e.</t>
  </si>
  <si>
    <t>2.13. általános figyelmeztetés a hitelszerződés be nem tartásának lehetséges következményeire.</t>
  </si>
  <si>
    <t>2.14. a lakáshitelek törlesztéséhez kapcsolódó adókedvezményre és egyéb állami támogatásra vonatkozó általános tájékoztatás, illetve tájékoztatás arról, hogy hol lehet további felvilágosítást kapni.</t>
  </si>
  <si>
    <t>2.15. a hitelbírálat időtartama</t>
  </si>
  <si>
    <t>A hitelszerződésben vállalt kötelezettségek be nem tartása (pl. késedelmes fizetés esetén a hitelkamaton felüli késedelmi kamat felszámítását és) akár a szerződés felmondását is eredményezheti. Felmondási Esemény bekövetkezése esetén a Hitelező jogosult a  Kölcsönszerződést egyoldalúan azonnali hatállyal felmondani továbbá felmondás esetén az önálló zálogjogot harmadik fél részére részben vagy egészben átruházni. (Ilyen események lehetnek például: az Adós a Kölcsönszerződésből fakadó bármely fizetési kötelezettségével írásos felszólítás és a kitűzött teljesítési póthatáridő ellenére késedelembe esik; Adós a Kölcsönszerződés, az Üzletszabályzat és a Kockázatvállalással kapcsolatos Lakossági ügyletekre vonatkozó Általános Szerződési Feltételek bármely rendelkezését súlyosan megsérti, stb.).
Felmondás esetén Adós köteles megtéríteni a Hitelező kárát és költségét (beleértve, de nem kizárólag jogi költségeket és kiadásokat), amelyek a Kölcsönszerződés és/vagy mellékletei elkészítésével, vagy Felmondási Esemény felmerülésével, vagy a Hitelező Kölcsönszerződésben foglalt jogainak végrehajtása, illetve érvényesítése kapcsán merülnek fel.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</si>
  <si>
    <t>A fedezetül szolgáló ingatlan értékének megállapítása előfeltétele a kölcsönkérelem elbírálásának. Az értékbecslést minden esetben a GRÁNIT Bank Zrt. által kijelölt, vele szerződéses kapcsolatban álló külső szakértő végzi. Lakóingatlanok esetén a fedezet értékelésének díja 42 000 Ft, fedezetenként. Egyéb ingatlanok esetében a Bank egyedi díjszabást alkalmaz. Az értékbecslés a teljeskörű kérelmi dokumentáció benyújtását, valamint a fedezetértékelési díj megfizetését követő 5 munkanapon belül elkészül, amennyiben a helyszíni szemlét semmilyen körülmény nem akadályozza.</t>
  </si>
  <si>
    <t>Ingatlanfelülvizsgálati díj (alkalmanként fizetendő az egyes készültségi fok teljesülésének helyszíni ellenőrzésekor): 29 400 Ft/alkalom</t>
  </si>
  <si>
    <t>A hiteltermékre vonatkozó további feltételeket a Bank Üzletszabályzata, a Kockázatvállalással kapcsolatos lakossági ügyletek ÁSZF-je és az Otthonteremtési Kamattámogatású Jelzáloghitelekre vonatkozó Hirdetmény tartalmazza, amelyek megtalálhatók a Bank honlapján (www.granitbank.hu) és az ügyfélfogadásra nyitva álló helyiségeiben (Központi Fiók: 1095 Budapest, Lechner Ödön fasor 8. Ny: H-P 8:30-16:00, WestEnd Ügyfélközpont: WestEnd City Center 1. emelet, Hild József sétány 24. Ny: H-P 10:00 - 18:00).</t>
  </si>
  <si>
    <t xml:space="preserve">A hitelező a Magyar Nemzeti Bank, http://www.mnb.hu/ felügyelet alá tartozik.
</t>
  </si>
  <si>
    <t xml:space="preserve">Az igényelt állami támogatás összege alapján kerül felszámításra. Amennyiben hitel is igénybevételre kerül, akkor nem kerül felszámításra. Amennyiben CSOK és Adó-visszatérítés egyidejűleg kerül igénylésre, akkor az igényelt magasabb támogatási összeg alapján kerül kiszámításra. Amennyiben a hitelcél megvalósítása érdekében a CSOK és/vagy Adó-visszatérítési támogatás mellett hitel is igénybevételre kerül, akkor az úgy bonyolítható le ha mind a hitelt mind a CSOK-ot és/vagy Adó-visszatérítési támogatást Bankunktól igényli meg. </t>
  </si>
  <si>
    <t>Ez a THM a hitelkamatlábra vonatkozó - jelen Tájékoztató 2. pontjában feltüntetett - feltételezésekkel került kiszámításra.</t>
  </si>
  <si>
    <t>2017.12.01 - 2017.12.31</t>
  </si>
  <si>
    <t>2018.01.01 - 2018.01.31</t>
  </si>
  <si>
    <t>2018.02.01 - 2018.02.28</t>
  </si>
  <si>
    <t>2018.03.01 - 2018.03.31</t>
  </si>
  <si>
    <t>2018.04.01 - 2018.04.30</t>
  </si>
  <si>
    <t>2018.05.01 - 2018.05.31</t>
  </si>
  <si>
    <t>2018.06.01 - 2018.06.30</t>
  </si>
  <si>
    <t>2018.07.01 - 2018.07.31</t>
  </si>
  <si>
    <t>2018.08.01 - 2018.08.31</t>
  </si>
  <si>
    <t>2018.09.01 - 2018.09.30</t>
  </si>
  <si>
    <t>2018.10.01 - 2018.10.31</t>
  </si>
  <si>
    <t>2018.11.01 - 2018.11.30</t>
  </si>
  <si>
    <t>2018.12.01 - 2018.12.31</t>
  </si>
  <si>
    <t>2019.01.01 - 2019.01.31</t>
  </si>
  <si>
    <t>Első (rész)folyósítás napja / Kamatperiódus fordulónapja</t>
  </si>
  <si>
    <t>GRÁNIT Támogatott Lakáshitel (jelenleg igényelhető)</t>
  </si>
  <si>
    <t>GRÁNIT Támogatott Lakáshitel (már nem igényelhető)</t>
  </si>
  <si>
    <t xml:space="preserve">A Többgyermekes Családok Otthonteremtési Kamattámogatott Hitele 2018.12.01-től igényelhető a 16/2016. (II.10.) Korm. rendelet alapján új lakás vásárlásra, építésre.
A kölcsön minimális összege: 1.000.000 Ft
A kölcsön maximális összege:
10.000.000 Ft  a 16/2016. (II. 10.) Kormányrendelet 9.§ b) pontja alapján 2 600 000 Ft-os  Családi Otthonteremtési Kedvezmény (CSOK) igénybevétele esetén,
15.000.000 Ft  a 16/2016. (II. 10.) Kormányrendelet 9.§ c) pontja alapján 10 000 000 Ft-os  Családi Otthonteremtési Kedvezmény (CSOK) igénybevétele esetén.
</t>
  </si>
  <si>
    <t>JTM arány (hitelkiváltásnál nem kell!)</t>
  </si>
  <si>
    <t>Effektív JTM</t>
  </si>
  <si>
    <t>2019.03.01 - 2019.03.31</t>
  </si>
  <si>
    <t>2019.05.01 - 2019.05.31</t>
  </si>
  <si>
    <t>2019.02.01 - 2019.02.28</t>
  </si>
  <si>
    <t>OTTHONTEREMTÉSI KAMATTÁMOGATÁSÚ JELZÁLOGHITEL ÚJ LAKÁS VÁSÁRLÁSRA, ÉPÍTÉSRE, HASZNÁLT LAKÁS VÁSÁRLÁSRA</t>
  </si>
  <si>
    <t xml:space="preserve"> A Többgyermekes Családok Otthonteremtési Kamattámogatott Hitele 2019.07.01-től igényelhető a 17/2016. (II.10.) Korm. rendelet alapján használt lakás vásárlásra.</t>
  </si>
  <si>
    <t xml:space="preserve">A feltüntetett összeg csupán szemléltető jellegű, a visszafizetendő összeg változhat pl. amennyiben megszűnik a kamattámogatás. </t>
  </si>
  <si>
    <t>A kölcsön célja olyan lakóingatlan megvásárlása, mely nem minősül az új lakások építéséhez, vásárlásához kapcsolódó lakáscélú kormányrendeleben meghatározott új lakásnak. (Nem felel meg a rendelet szerinti új lakás feltételeinek)</t>
  </si>
  <si>
    <t xml:space="preserve">A kölcsön minimális összege: 1.000.000 Ft.
A kölcsön maximális összege:
10.000.000 Ft  a 17/2016. (II. 10.) Kormányrendelet 11.§ b) pontja alapján 1 430 000 Ft-os  Családi Otthonteremtési Kedvezmény (CSOK) igénybevétele esetén,
15.000.000 Ft  a 17/2016. (II. 10.) Kormányrendelet 11.§ c) vagy d) pontja alapján 2 200 000 Ft vagy 2 750 000 Ft Családi Otthonteremtési Kedvezmény (CSOK) igénybevétele esetén.
</t>
  </si>
  <si>
    <t>2019.06.01 - 2019.06.30</t>
  </si>
  <si>
    <t>Fizetendő abban az esetben, ha a biztosítéki jogok bejegyzéséről a Bank gondoskodik. A Bank a szolgáltatást ezen díj felszámítása mellett kizárólag budapesti földhivatalok illetékességébe tartozó ingatlanok esetén vállalja.</t>
  </si>
  <si>
    <t>Hitelkamatként a reprezentatívnak tekinthető (Prémium2-L2) minősítéshez tartozó kamat jövedelemjóváírást feltételezve, rendszeres jövedelemként a KHS által nyilvánosságra hozott, az elöző naptári évre vonatkozó átlagos havi nettó jövedelem (6.2.1.14. statisztikai táblázat) alapján került alkalmazásra.</t>
  </si>
  <si>
    <t>2019.07.01 -2019.07.31</t>
  </si>
  <si>
    <t>Kajak Kenu</t>
  </si>
  <si>
    <t>2019.08.01 - 2019.08.31</t>
  </si>
  <si>
    <t>2019.09.01 - 2019.09.30</t>
  </si>
  <si>
    <t>2019.04.01 - 2019.04.30</t>
  </si>
  <si>
    <t>2019.10.01 - 2019.10.31</t>
  </si>
  <si>
    <r>
      <t xml:space="preserve">Ingatlant terhelő bejegyzések / </t>
    </r>
    <r>
      <rPr>
        <b/>
        <sz val="8"/>
        <color rgb="FFFF0000"/>
        <rFont val="Tahoma"/>
        <family val="2"/>
        <charset val="238"/>
      </rPr>
      <t>Igénylést megelőző 90 nappal felvett Babaváró kölcsön összegének 25%-a</t>
    </r>
  </si>
  <si>
    <t>BKV</t>
  </si>
  <si>
    <t>2019.12.01 - 2019.12.31</t>
  </si>
  <si>
    <t>2020.01.01 - 2020.01.31</t>
  </si>
  <si>
    <t>2019.11.01 - 2019.11.30</t>
  </si>
  <si>
    <t>2020.02.01 - 2020.02.29</t>
  </si>
  <si>
    <t>2020.03.01 - 2020.03.31</t>
  </si>
  <si>
    <t>2020.04.01 - 2020.04.30</t>
  </si>
  <si>
    <t>2020.05.01.- 2020.05.31</t>
  </si>
  <si>
    <t>2020.06.01. - 2020.06.30.</t>
  </si>
  <si>
    <t>2020.07.01. - 2020.07.31.</t>
  </si>
  <si>
    <t>2020.08.01. - 2020.08.31.</t>
  </si>
  <si>
    <t xml:space="preserve">Felhívjuk figyelmét, hogy az ebben a dokumentumban ismertetett hitelfeltételek (a kamatlábat is beleértve) változhatnak, amennyiben Ön nem tesz eleget e kötelezettségeknek.
Felhívjuk figyelmét, hogy ha később eláll a hitelhez kapcsolódó bármely kapcsolódó szolgáltatás igénybevételétől, az az alábbi következményekkel járhat:
A vagyonbiztosítást, a hitelfedezeti életbiztosítást illetve a GRÁNIT Banknál nyitott lakossági bankszámlát (amelyről a kölcsön törlesztése történik) a teljes futamidő alatt fent kell tartani. A szolgáltatás(ok) nem fizetése a hitelszerződés felmondásához vezethet. 
</t>
  </si>
  <si>
    <t>2020.09.01. - 2020.09.30.</t>
  </si>
  <si>
    <t>2020.10.01. - 2020.10.31.</t>
  </si>
  <si>
    <t xml:space="preserve">Halásztelek </t>
  </si>
  <si>
    <t>Ajka</t>
  </si>
  <si>
    <t>Hatvan</t>
  </si>
  <si>
    <t xml:space="preserve">Albertirsa </t>
  </si>
  <si>
    <t xml:space="preserve">Herceghalom </t>
  </si>
  <si>
    <t xml:space="preserve">Alsónémedi </t>
  </si>
  <si>
    <t xml:space="preserve">Hévíz </t>
  </si>
  <si>
    <t>Alsóörs</t>
  </si>
  <si>
    <t xml:space="preserve">Hódmezővásárhely </t>
  </si>
  <si>
    <t xml:space="preserve">Isaszeg </t>
  </si>
  <si>
    <t xml:space="preserve">Baja </t>
  </si>
  <si>
    <t>Jászberény</t>
  </si>
  <si>
    <t xml:space="preserve">Ráckeve </t>
  </si>
  <si>
    <t>Balatonalmádi</t>
  </si>
  <si>
    <t>Balatonboglár</t>
  </si>
  <si>
    <t>Kalocsa</t>
  </si>
  <si>
    <t>Balatonföldvár</t>
  </si>
  <si>
    <t>Karcag</t>
  </si>
  <si>
    <t>Kazincbarcika</t>
  </si>
  <si>
    <t>Balatonfűzfő</t>
  </si>
  <si>
    <t xml:space="preserve">Kecskemét </t>
  </si>
  <si>
    <t>Balatongyörök</t>
  </si>
  <si>
    <t>Balatonlelle</t>
  </si>
  <si>
    <t>Sukoró</t>
  </si>
  <si>
    <t>Balatonmáriafürdő</t>
  </si>
  <si>
    <t>Kiskunfélegyháza</t>
  </si>
  <si>
    <t xml:space="preserve">Balatonszabadi </t>
  </si>
  <si>
    <t>Kiskunhalas</t>
  </si>
  <si>
    <t>Szarvas</t>
  </si>
  <si>
    <t>Balmazújváros</t>
  </si>
  <si>
    <t>Szántód</t>
  </si>
  <si>
    <t>Békés</t>
  </si>
  <si>
    <t xml:space="preserve">Békéscsaba </t>
  </si>
  <si>
    <t>Kisvárda</t>
  </si>
  <si>
    <t xml:space="preserve">Biatorbágy </t>
  </si>
  <si>
    <t>Komárom</t>
  </si>
  <si>
    <t xml:space="preserve">Budajenő </t>
  </si>
  <si>
    <t>Komló</t>
  </si>
  <si>
    <t xml:space="preserve">Budakalász </t>
  </si>
  <si>
    <t xml:space="preserve">Budakeszi </t>
  </si>
  <si>
    <t>Szentes</t>
  </si>
  <si>
    <t xml:space="preserve">Budaörs </t>
  </si>
  <si>
    <t xml:space="preserve">Budapest </t>
  </si>
  <si>
    <t xml:space="preserve">Cegléd </t>
  </si>
  <si>
    <t>Makó</t>
  </si>
  <si>
    <t xml:space="preserve">Csobánka </t>
  </si>
  <si>
    <t>Mátészalka</t>
  </si>
  <si>
    <t>Mezőkövesd</t>
  </si>
  <si>
    <t>Csongrád</t>
  </si>
  <si>
    <t>Mezőtúr</t>
  </si>
  <si>
    <t>Csopak</t>
  </si>
  <si>
    <t xml:space="preserve">Csömör </t>
  </si>
  <si>
    <t xml:space="preserve">Csörög </t>
  </si>
  <si>
    <t>Mohács</t>
  </si>
  <si>
    <t xml:space="preserve">Dabas </t>
  </si>
  <si>
    <t xml:space="preserve">Debrecen </t>
  </si>
  <si>
    <t>Mosonmagyaróvár</t>
  </si>
  <si>
    <t>Tapolca</t>
  </si>
  <si>
    <t xml:space="preserve">Délegyháza </t>
  </si>
  <si>
    <t>Tata</t>
  </si>
  <si>
    <t xml:space="preserve">Dombóvár </t>
  </si>
  <si>
    <t xml:space="preserve">Dunabogdány </t>
  </si>
  <si>
    <t xml:space="preserve">Dunaharaszti </t>
  </si>
  <si>
    <t xml:space="preserve">Tinnye </t>
  </si>
  <si>
    <t xml:space="preserve">Dunakeszi </t>
  </si>
  <si>
    <t>Tiszaújváros</t>
  </si>
  <si>
    <t xml:space="preserve">Dunaújváros </t>
  </si>
  <si>
    <t xml:space="preserve">Dunavarsány </t>
  </si>
  <si>
    <t xml:space="preserve">Ecser </t>
  </si>
  <si>
    <t>Orosháza</t>
  </si>
  <si>
    <t xml:space="preserve">Eger </t>
  </si>
  <si>
    <t>Oroszlány</t>
  </si>
  <si>
    <t>Törökszentmiklós</t>
  </si>
  <si>
    <t xml:space="preserve">Érd </t>
  </si>
  <si>
    <t>Ózd</t>
  </si>
  <si>
    <t xml:space="preserve">Esztergom </t>
  </si>
  <si>
    <t xml:space="preserve">Etyek </t>
  </si>
  <si>
    <t>Paks</t>
  </si>
  <si>
    <t xml:space="preserve">Felsőpakony </t>
  </si>
  <si>
    <t xml:space="preserve">Fót </t>
  </si>
  <si>
    <t>Pápa</t>
  </si>
  <si>
    <t>Várpalota</t>
  </si>
  <si>
    <t xml:space="preserve">Göd </t>
  </si>
  <si>
    <t xml:space="preserve">Gödöllő </t>
  </si>
  <si>
    <t>Velence</t>
  </si>
  <si>
    <t xml:space="preserve">Gyál </t>
  </si>
  <si>
    <t xml:space="preserve">Gyöngyös </t>
  </si>
  <si>
    <t>Vonyarcvashegy</t>
  </si>
  <si>
    <t xml:space="preserve">Gyula </t>
  </si>
  <si>
    <t>Hajdúböszörmény</t>
  </si>
  <si>
    <t>Zalakaros</t>
  </si>
  <si>
    <t>Hajdúnánás</t>
  </si>
  <si>
    <t>Zamárdi</t>
  </si>
  <si>
    <t>Hajdúszoboszló</t>
  </si>
  <si>
    <t xml:space="preserve">Zsámbék </t>
  </si>
  <si>
    <t>2020.11.01. - 2020.11.30.</t>
  </si>
  <si>
    <t>2020.12.01. - 2020.12.31.</t>
  </si>
  <si>
    <t>Füzesgyarmat</t>
  </si>
  <si>
    <t>Mezőkovácsháza</t>
  </si>
  <si>
    <t>Szabadszállás</t>
  </si>
  <si>
    <t>Tiszalök</t>
  </si>
  <si>
    <t>Ács</t>
  </si>
  <si>
    <t>Celldömölk</t>
  </si>
  <si>
    <t>Gárdony</t>
  </si>
  <si>
    <t>Kerekegyháza</t>
  </si>
  <si>
    <t>Csákvár</t>
  </si>
  <si>
    <t>Tiszavasvári</t>
  </si>
  <si>
    <t>Mindszent</t>
  </si>
  <si>
    <t>Tolna</t>
  </si>
  <si>
    <t>Kisbér</t>
  </si>
  <si>
    <t>Tótkomlós</t>
  </si>
  <si>
    <t>Gyomaendrőd</t>
  </si>
  <si>
    <t>Kiskőrös</t>
  </si>
  <si>
    <t>Szécsény</t>
  </si>
  <si>
    <t>Alsózsolca</t>
  </si>
  <si>
    <t>Csorna</t>
  </si>
  <si>
    <t>Szeghalom</t>
  </si>
  <si>
    <t>Bácsalmás</t>
  </si>
  <si>
    <t>Kiskunmajsa</t>
  </si>
  <si>
    <t>Mór</t>
  </si>
  <si>
    <t>Mórahalom</t>
  </si>
  <si>
    <t>Balassagyarmat</t>
  </si>
  <si>
    <t>Túrkeve</t>
  </si>
  <si>
    <t>Hajdúdorog</t>
  </si>
  <si>
    <t>Kistelek</t>
  </si>
  <si>
    <t>Nádudvar</t>
  </si>
  <si>
    <t>Polgár</t>
  </si>
  <si>
    <t>Újfehértó</t>
  </si>
  <si>
    <t>Hajdúhadház</t>
  </si>
  <si>
    <t>Kisújszállás</t>
  </si>
  <si>
    <t>Nagyatád</t>
  </si>
  <si>
    <t>Polgárdi</t>
  </si>
  <si>
    <t>Szentgotthárd</t>
  </si>
  <si>
    <t>Újszász</t>
  </si>
  <si>
    <t>Derecske</t>
  </si>
  <si>
    <t>Nagyecsed</t>
  </si>
  <si>
    <t>Szentlőrinc</t>
  </si>
  <si>
    <t>Dévaványa</t>
  </si>
  <si>
    <t>Hajdúsámson</t>
  </si>
  <si>
    <t>Nagyhalász</t>
  </si>
  <si>
    <t>Pusztaszabolcs</t>
  </si>
  <si>
    <t>Szerencs</t>
  </si>
  <si>
    <t>Nagykálló</t>
  </si>
  <si>
    <t>Putnok</t>
  </si>
  <si>
    <t>Dorog</t>
  </si>
  <si>
    <t>Harkány</t>
  </si>
  <si>
    <t>Kozármisleny</t>
  </si>
  <si>
    <t>Püspökladány</t>
  </si>
  <si>
    <t>Vámospércs</t>
  </si>
  <si>
    <t>Körmend</t>
  </si>
  <si>
    <t>Rácalmás</t>
  </si>
  <si>
    <t>Szigetvár</t>
  </si>
  <si>
    <t>Dunaföldvár</t>
  </si>
  <si>
    <t>Kőszeg</t>
  </si>
  <si>
    <t>Szikszó</t>
  </si>
  <si>
    <t>Vásárosnamény</t>
  </si>
  <si>
    <t>Balkány</t>
  </si>
  <si>
    <t>Heves</t>
  </si>
  <si>
    <t>Kunhegyes</t>
  </si>
  <si>
    <t>Rákóczifalva</t>
  </si>
  <si>
    <t>Kunszentmárton</t>
  </si>
  <si>
    <t>Barcs</t>
  </si>
  <si>
    <t>Kunszentmiklós</t>
  </si>
  <si>
    <t>Nyergesújfalu</t>
  </si>
  <si>
    <t>Sajószentpéter</t>
  </si>
  <si>
    <t>Bátaszék</t>
  </si>
  <si>
    <t>Ibrány</t>
  </si>
  <si>
    <t>Lajosmizse</t>
  </si>
  <si>
    <t>Nyíradony</t>
  </si>
  <si>
    <t>Bátonyterenye</t>
  </si>
  <si>
    <t>Nyírbátor</t>
  </si>
  <si>
    <t>Sándorfalva</t>
  </si>
  <si>
    <t>Vésztő</t>
  </si>
  <si>
    <t>Battonya</t>
  </si>
  <si>
    <t>Edelény</t>
  </si>
  <si>
    <t>Izsák</t>
  </si>
  <si>
    <t>Lébény</t>
  </si>
  <si>
    <t>Sárbogárd</t>
  </si>
  <si>
    <t>Jánoshalma</t>
  </si>
  <si>
    <t>Lenti</t>
  </si>
  <si>
    <t>Nyírtelek</t>
  </si>
  <si>
    <t>Sarkad</t>
  </si>
  <si>
    <t>Encs</t>
  </si>
  <si>
    <t>Jánossomorja</t>
  </si>
  <si>
    <t>Létavértes</t>
  </si>
  <si>
    <t>Sárospatak</t>
  </si>
  <si>
    <t>Tamási</t>
  </si>
  <si>
    <t>Berettyóújfalu</t>
  </si>
  <si>
    <t>Enying</t>
  </si>
  <si>
    <t>Jászapáti</t>
  </si>
  <si>
    <t>Sárvár</t>
  </si>
  <si>
    <t>Tápiószele</t>
  </si>
  <si>
    <t>Berhida</t>
  </si>
  <si>
    <t>Ercsi</t>
  </si>
  <si>
    <t>Jászárokszállás</t>
  </si>
  <si>
    <t>Lőrinci</t>
  </si>
  <si>
    <t>Sátoraljaújhely</t>
  </si>
  <si>
    <t>Zalaszentgrót</t>
  </si>
  <si>
    <t>Siklós</t>
  </si>
  <si>
    <t>Bicske</t>
  </si>
  <si>
    <t>Jászfényszaru</t>
  </si>
  <si>
    <t>Tát</t>
  </si>
  <si>
    <t>Zirc</t>
  </si>
  <si>
    <t>Bóly</t>
  </si>
  <si>
    <t>Solt</t>
  </si>
  <si>
    <t>Bonyhád</t>
  </si>
  <si>
    <t>Kaba</t>
  </si>
  <si>
    <t>Marcali</t>
  </si>
  <si>
    <t>Soltvadkert</t>
  </si>
  <si>
    <t>Fegyvernek</t>
  </si>
  <si>
    <t>Martfű</t>
  </si>
  <si>
    <t>Téglás</t>
  </si>
  <si>
    <t>Fehérgyarmat</t>
  </si>
  <si>
    <t>Martonvásár</t>
  </si>
  <si>
    <t>Kapuvár</t>
  </si>
  <si>
    <t>Pásztó</t>
  </si>
  <si>
    <t>Felsőzsolca</t>
  </si>
  <si>
    <t>Mezőberény</t>
  </si>
  <si>
    <t>Tiszaföldvár</t>
  </si>
  <si>
    <t>Mezőcsát</t>
  </si>
  <si>
    <t>Sülysáp</t>
  </si>
  <si>
    <t>Tiszafüred</t>
  </si>
  <si>
    <t>Bük</t>
  </si>
  <si>
    <t>Füzesabony</t>
  </si>
  <si>
    <t>Kecel</t>
  </si>
  <si>
    <t>Sümeg</t>
  </si>
  <si>
    <t>Tiszakécske</t>
  </si>
  <si>
    <t>2021.01.01. - 2021.01.31.</t>
  </si>
  <si>
    <t>2021.02.01. - 2021.02.28</t>
  </si>
  <si>
    <t>2021.03.01. - 2021.03.31</t>
  </si>
  <si>
    <t>Kamatfizetés</t>
  </si>
  <si>
    <t>Tőke marad</t>
  </si>
  <si>
    <t>Törlesztőrészlet</t>
  </si>
  <si>
    <t>A hitel futamideje (hónap):</t>
  </si>
  <si>
    <t>Az 56/2014. (XII.31.) NGM rendelet 1. melléklete szerinti 1. táblázat, amely a törlesztő részletek rendszeres jövedelemhez viszonyított arányának várható változását mutatja a rendszeres jövedelem valamint a kamat változásának föggvényében. (Új lakás építési hitelnél a 24 hónap türelmi időt követően)</t>
  </si>
  <si>
    <t>2021.05.01. - 2021.05.31</t>
  </si>
  <si>
    <t xml:space="preserve">2021.04.01. - 2021.04.30 </t>
  </si>
  <si>
    <t>2021.06.01. - 2021.06.30</t>
  </si>
  <si>
    <t>2021.07.01. - 2021.07.31</t>
  </si>
  <si>
    <t>2021.08.01. - 2021.08.31</t>
  </si>
  <si>
    <t>2021.09.01. - 2021.09.30</t>
  </si>
  <si>
    <t>A GRÁNIT Bank által nyújtott Otthonteremtési Kamattámogatású hitelek esetében a 2016/1011/EU európai parlamenti és tanácsi rendelet 3. cikk (1) bekezdésének 3. pontjában meghatározottak szerint referencia mutatónak a 16/2016. (II.10.) Korm. rendeletben ill. a 17/2016. (II.10.) Korm. rendeletben meghatározott az Államadósság Kezelő Központ Zrt. (ÁKK) által havi rendszerességgel közzétett, a közzétételt megelőző három naptári hónapban tartott 5 éves névleges futamidejű államkötvény aukciókon elfogadott mennyiségekkel súlyozott számtani átlaga tekintendő. Ez alapján a hitel bruttó kamata ezen referencia mutató 130 százalékának 3 százalékponttal növelt mértékével egyenlő.
Az ügyfél által fizetendő nettó kamat, szerződésszerű teljesítés esetén 3%. a futamidő teljes ideje alatt, amely maximum 25 év lehet.
Szerződésszerű hiteltörlesztés esetén a hivatkozott referencia kamat változása nincs hatással az ügyfél által fizetendő nettó kamatra és így az ügyfél által fizetendő havi törlesztőrészletek összegére sem, de a bruttó hitelkamat 5 évente módosításra kerül ezen referencia mutató alapján.
Nem szerződésszerű hiteltörlesztés esetén az ügyfél a bruttó kamat alapján kiszámolt törlesztőrészletet köteles megfizetni.</t>
  </si>
  <si>
    <t>A hatályos törvényi rendelkezések alapján nem igényelhető adókedvezmény a kölcsön vonatkozásában. Bővebb felvilágosítást az NAV honlapján (www.nav.gov.hu) oldalon található.
16/2016. (II. 10.) Korm. rendelet alapján igénybe vehető Magyarország Kormány által nyújtott támogatás az új lakások vásárlásához és építéséhez a Többgyermekes Családok Otthonteremtési Kamat Támogatása, a Családi Otthonteremtési Kedvezménye, valamint az Adó-visszatérítési támogatás.
A 17/2016 (II.10.) Korm. rendelet alapján a használt lakás vásárláshoz és bővítéshez vehető igénybe Családi Otthonteremtési Kedvezmény, mely Magyarország Kormánya által nyújtott támogatás.
Bővebb információ a https://granitbank.hu/lakossag/hitelek/allami-tamogatasok oldalon olvasható.
2018.január 1-ét követően a 337/2017 (XI.14.) Korm. rendelet a három- vagy többgyermekes családok lakáscélú jelzáloghitel-tartozásainak csökkentéséről alapján a 3 vagy további gyermek születésére tekintettel a rendeletben meghatározott feltételekkel a központi költségvetésből vissza nem térítendő állami támogatás vehető igénybe a Magyarország területén lévő lakást, lakóházat, tanyát vagy birtokközpontot terhelő lakáscélú jelzáloghitel tartozás csökkentésére. A támogatás igénylést a járási hivataloknál lehet kezdeményezni.
Bővebb információ a http://www.kormanyhivatal.hu/hu/lakastamogatas oldalon olvasható.
44/2019. (III.12.) Korm. rendelet szerinti Babaváró támogatás. Bővebb információ a https://granitbank.hu/lakossag/hitelek/allami-tamogatasok oldalon olvasható.</t>
  </si>
  <si>
    <t>ZOP új lakás vásárlás</t>
  </si>
  <si>
    <t>ZOP új lakás építés</t>
  </si>
  <si>
    <t>Térképmásolat</t>
  </si>
  <si>
    <t>Tulajdoni lap</t>
  </si>
  <si>
    <t>Ingatlan felülvizsgálati díj</t>
  </si>
  <si>
    <t>Ingatlanfelülvizsgálati díj</t>
  </si>
  <si>
    <t>Fedezetbejegyzési ZOP</t>
  </si>
  <si>
    <t>Tulajdoni lap ZOP</t>
  </si>
  <si>
    <t>Ingatlan felülvizsgálati díj ZOP</t>
  </si>
  <si>
    <t>Közjegyzői díjszabás - OTK</t>
  </si>
  <si>
    <t>sáv</t>
  </si>
  <si>
    <t>díj</t>
  </si>
  <si>
    <t>3 000 000 - 5 000 000 - 14 000</t>
  </si>
  <si>
    <t>5 000 000 - 10 000 000 - 16 500</t>
  </si>
  <si>
    <t>0 -3 000 000 - 10 000 Ft</t>
  </si>
  <si>
    <t>10 000 000 - 15 000 000 - 19 500</t>
  </si>
  <si>
    <t>Egyszerű kalkulátor alapján</t>
  </si>
  <si>
    <t>Hitelösszeg</t>
  </si>
  <si>
    <t>Számolt díj alap</t>
  </si>
  <si>
    <t>Kalkulált díj</t>
  </si>
  <si>
    <t>5 000 000 Ft feletti, de 10 000 000 Ft-ot meg nem haladó ügyérték esetén 61 200 Ft és az 5 000 000 Ft feletti rész</t>
  </si>
  <si>
    <t>10 000 000 Ft feletti ügyérték esetén 86 200 Ft és a 10 000 000 Ft feletti rész</t>
  </si>
  <si>
    <t>0,2%-a</t>
  </si>
  <si>
    <t>200 000 000 Ft ügyérték esetén 561 200 Ft és a 200 000 000 Ft feletti rész</t>
  </si>
  <si>
    <t>500 000 000 Ft ügyérték esetén 1 161 200 Ft és a 500 000 000 Ft feletti rész</t>
  </si>
  <si>
    <t>0,1%-a</t>
  </si>
  <si>
    <t>de legfeljebb 1 000 000 000 Ft ügyérték alapján járó munkadíj számítható fel.</t>
  </si>
  <si>
    <t>Komplex alapján</t>
  </si>
  <si>
    <t>500 000 Ft feletti, de 5 000 000 Ft-ot meg nem haladó ügyérték esetén 16 200 Ft és az 500 000 Ft feletti rész</t>
  </si>
  <si>
    <t>Munkadíj fix alap</t>
  </si>
  <si>
    <t>Munkadíj változó alap</t>
  </si>
  <si>
    <t>Ügyletérték</t>
  </si>
  <si>
    <t>Sáv alsó értéke</t>
  </si>
  <si>
    <t>Munkadíj fix</t>
  </si>
  <si>
    <t>Munkadíj változó</t>
  </si>
  <si>
    <t>Munkadíj összesen</t>
  </si>
  <si>
    <t>Munkadíj 30%-a</t>
  </si>
  <si>
    <t>Költségáltalány (40%)</t>
  </si>
  <si>
    <t>Készkiadás (fix)</t>
  </si>
  <si>
    <t>Egyszerű</t>
  </si>
  <si>
    <t>Közjegyzői díj összesen</t>
  </si>
  <si>
    <t>Komplex</t>
  </si>
  <si>
    <t>Ebben a táblázatban az ügyfél által havonta fizetendő összeg látható a kamattámogatás ideje alatt. A Bank az ügyfél részére a hitel teljes futamideje alatt évente küld felülvizsgált törlesztési táblázatot. A hitelkamatláb a futamidő alatt változhat. A hitelkamatláb az első Kamatperiódus időtartama - amely a kölcsön (első rész)Folyósítás napjától a soron következő első Kamatmegállapítás napját megelőző naptári napig tartó legfeljebb öt éves időszak - alatt változatlan marad.(az NHP ZOP-on belül a hitel kamatmentes a kamattámogatás ideje alatt)</t>
  </si>
  <si>
    <t>Nettó kamat</t>
  </si>
  <si>
    <t>Kamatok:</t>
  </si>
  <si>
    <t>Az elő és végtörlesztett összeg 1 %-a, de maximum és alkalmanként és lakáshitel szerződésenként legfeljebb 30 000 Ft, ugyanakkor a lakástakarékpénztári szerződés alapján történő törlesztés díjmentes ( az elérhető megtakarítás, a kapcsolódó állami támogatás és ez az azokra jóváírt kamat erejéig)</t>
  </si>
  <si>
    <t>Rendelkezésre tartási idő (hónap)</t>
  </si>
  <si>
    <t>Ügyfél által fizetendő kamat</t>
  </si>
  <si>
    <t>2021.10.01. - 2021.10.30</t>
  </si>
  <si>
    <t xml:space="preserve">GRÁNIT Zöld Otthonteremtési kamattámogatású hitel </t>
  </si>
  <si>
    <t>Bruttó THM</t>
  </si>
  <si>
    <t>2021.11.01. - 2021.11.30</t>
  </si>
  <si>
    <t>2021.12.01. - 2021.12.31</t>
  </si>
  <si>
    <t>2022.01.01. - 2022.01.31</t>
  </si>
  <si>
    <t>2022.02.01. - 2022.02.28</t>
  </si>
  <si>
    <t>2022.03.01. - 2022.03.31</t>
  </si>
  <si>
    <t>2022.04.01. - 2022.04.30</t>
  </si>
  <si>
    <t xml:space="preserve">* Az első (rész)folyósítás előtt kell megfizetni a teljes (kölcsönszerződésben foglalt) hitelösszegre számítva. </t>
  </si>
  <si>
    <t>** A Bank visszavonásig tartó akció keretében egy fedezeti ingatlan vonatkozásában visszatéríti a kölcsön folyósításakor a Fedezetértékelési díjat.</t>
  </si>
  <si>
    <t>Mivel az Ön hitele Kamatperiódusonként rögzített, változó kamatozású hitel, a mindenkori THM eltérhet az előbbiekben meghatározott THM mértékétől, ha elveszti, megszűnik a kamattámogatás  és ezzel együtt változik az öt éves ÁKKH. Például amennyiben a</t>
  </si>
  <si>
    <t xml:space="preserve">A kamattámogatás ideje alatt Ügyfél által fizetendő kamatláb: 3%, azonban amennyiben megszűnik a kamattámogatás, az Ügyfél által fizetendő kamat változik, mert ekkor az aktuálisan érvényes teljes Ügyleti (bruttó) kamatot kell az Ügyfélnek megfizetni. Ez azt jelenti, hogy az Ön által fizetendő törlesztőrészletek összege nőhet. </t>
  </si>
  <si>
    <t xml:space="preserve">A kölcsön folyósítására a kölcsön- és jelzálog szerződés aláírását követően kerül sor, amennyiben az alább felsorolt folyósítási feltételek mindegyike teljesült:
- Megtörtént a kölcsön- és zálogszerződés egyoldalú közjegyzői okiratba (tartozáselsimerő nyiltakozatba) foglalása, melyből egy eredeti példány a Bank számára átadása került.
- A Földhivatal által érkeztetett Ingatalan-nyilvántartási kérelem egy eredeti példánya a Bank számára átadása került.
- A fedezetül felajánlott ingatlan vagyonbiztosítása megkötésre/módosításra került, melynek eredményeként a vagyonbiztosítás értéke eléri vagy meghaladja az ingatlan hitelbiztosítéki értékét és a Bank kedvezményezettként is megjelölésre került a biztosítás ajánlaton/kötvénye, melyet igazoltak a Bank felé.
-  Amennyiben az Adósok vállalják, hogy rendszeres jövedelmük a GRÁNIT Banknál vezetett bankszámlára érkezik, ennek igazolásáúl is szolgáló munkabér/nyugdíj átutalási nyilatkozat munkáltató/Nyugdíjfolyósító Intézet által érkeztetett egy eredeti példánya a Bank számára átadása került. </t>
  </si>
  <si>
    <t>Ön jogosult a hitel részleges vagy teljes előtörlesztésére. 
Feltételek: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Előtörlesztési díj (az előtörlesztett összegre vetítve):</t>
  </si>
  <si>
    <t>2022.05.01. - 2022.05.31</t>
  </si>
  <si>
    <t>2022.06.01. - 2022.06.30</t>
  </si>
  <si>
    <t>2022.07.01. - 2022.07.31</t>
  </si>
  <si>
    <t>Kéri a 24 hónapos türelmi időt</t>
  </si>
  <si>
    <t>Igényli a 24 hónapos türelmi időt?</t>
  </si>
  <si>
    <t>Türelmi idő</t>
  </si>
  <si>
    <t>Türelmi idő a tőketartozás megfizetésére</t>
  </si>
  <si>
    <t>24 hónap</t>
  </si>
  <si>
    <t>A kölcsön törlesztése havonta történik, annuitásos törlesztés alkalmazásával.  A Bank a törlesztés esedékességkor - az ügyfél kölcsönszerződésében foglalt felhatalmazása alapján - megterheli a kölcsönfelvevő GRÁNIT Banknál vezetett bankszámláját. 
Annuitásos törlesztés:  Annuitásos kölcsön esetén a hitelfelvevő minden kamatperiódusban azonos összegű törlesztő részletet fizet. Annuitásos törlesztés esetén a futamidő elején a törlesztő részlet nagyobb része kamattartalom, kisebb hányada a tőkét csökkenti. A futamidő előrehaladtával a havi azonos összegű törlesztő részletből egyre nagyobb összeg fordítódik a tőketörlesztésre és fokozatosan mérséklődik a kamattörlesztés nagysága. A  kölcsönt és annak járulékait minden naptári hónap 10. napján esedékes havi törlesztő részletekben kell megfizetni. Az első törlesztés részlet esedékessége az (első rész)folyósítást követő naptári hónap 10. napja. Amennyiben hónap 10-e nem banki munkanap, akkor az azt megelőző utolsó banki munkanapon már biztosítani kell a lakossági bankszámlán a törlesztéshez szükséges fedezetet.</t>
  </si>
  <si>
    <t>A 24 hónapos türelmi időszak alatt a kifolyósított Kölcsönre csak kamatot kell fizetnie, a Kölcsön törlesztése a 25. hónaptól kezdődik.</t>
  </si>
  <si>
    <t>2022.08.01 - 2022.08.31</t>
  </si>
  <si>
    <t>2022.09.01 - 2022.09.30</t>
  </si>
  <si>
    <r>
      <t xml:space="preserve">A kölcsön törlesztése a türelmi időt (24 hónap) követően havonta történik annuitásos törlesztés alkalmazásával.  A Bank a törlesztés esedékességkor - az ügyfél kölcsönszerződésében foglalt felhatalmazása alapján - megterheli a kölcsönfelvevő GRÁNIT Banknál vezetett bankszámláját.
Annuitásos törlesztés: Annuitásos kölcsön esetén a hitelfelvevő  (a 24 hónap türelmi időt kivéve) minden kamatperiódusban azonos összegű törlesztő részletet fizet. </t>
    </r>
    <r>
      <rPr>
        <b/>
        <sz val="11"/>
        <rFont val="Tahoma"/>
        <family val="2"/>
        <charset val="238"/>
      </rPr>
      <t>A türelmi idő alatt a hitelfelvevő csak kamatot fizet</t>
    </r>
    <r>
      <rPr>
        <sz val="11"/>
        <rFont val="Tahoma"/>
        <family val="2"/>
        <charset val="238"/>
      </rPr>
      <t>.  A türelmi idő leteltét követően kezdődik az annuitásos törlesztés, emiatt a törlesztő részlet megemelkedik. Az annuitásos törlesztésnél a futamidő elején a törlesztő részlet nagyobb része kamattartalom, kisebb hányada a tőkét csökkenti. A futamidő előrehaladtával a havi azonos összegű törlesztő részletből egyre nagyobb összeg fordítódik a tőketörlesztésre és fokozatosan mérséklődik a kamattörlesztés nagysága. A kölcsönt és annak járulékait minden naptári hónap 10. napján esedékes havi törlesztő részletekben kell megfizetni. Az első törlesztés részlet esedékessége az (első rész)folyósítást követő naptári hónap 10. napja. Amennyiben hónap 10-e nem banki munkanap, akkor az azt megelőző utolsó banki munkanapon már biztosítani kell a lakossági bankszámlán a törlesztéshez szükséges fedezetet.</t>
    </r>
  </si>
  <si>
    <t>Törlesztések díja (%)</t>
  </si>
  <si>
    <t>Az Ön által fizetendő teljes összeg az induló díjakkal együtt:</t>
  </si>
  <si>
    <t>A folyósítási jutalék elengedésével és egy fedezetre vonatkozó Fedezet értékelési díj, továbbá a Közjegyzői díj utólagos (maximum 40 000 Ft mértékű) visszatérítésével került meghatározásra! Az akció a 2016. március 29-től az akció visszavonásáig befogadott GRÁNIT Otthonteremtési Kamattámogatású Jelzáloghitelekre vonatkozik.</t>
  </si>
  <si>
    <t>2022.10.01 - 2022.10.31</t>
  </si>
  <si>
    <t>Hitel teljes díja</t>
  </si>
  <si>
    <t>Visszafizetendő teljes összeg</t>
  </si>
  <si>
    <t>Hitel teljes díja_türelmi idő</t>
  </si>
  <si>
    <t>Visszafizetendő teljes összeg_türelmi idő</t>
  </si>
  <si>
    <t>THM_türelmi idő</t>
  </si>
  <si>
    <t>2022.11.01 - 2022.11.30</t>
  </si>
  <si>
    <t>2022.12.01 - 2022.12.31</t>
  </si>
  <si>
    <t>A tulajdoni lapról elektronikus dokumentumként szolgáltatott hiteles tulajdoni lap-másolat díja</t>
  </si>
  <si>
    <t>Hitelbeszedés minimum</t>
  </si>
  <si>
    <t>Hitelbeszedés maximum</t>
  </si>
  <si>
    <t>Hős</t>
  </si>
  <si>
    <t xml:space="preserve">Family </t>
  </si>
  <si>
    <t>Digitális Plusz</t>
  </si>
  <si>
    <t>Basic</t>
  </si>
  <si>
    <t>Bankszámla díj kalkuláció</t>
  </si>
  <si>
    <t>Választott bankszámla</t>
  </si>
  <si>
    <t>Minimum törlesztési díj</t>
  </si>
  <si>
    <t>Maximum törlesztési díj</t>
  </si>
  <si>
    <t>Egyszerűsített kalkulátor</t>
  </si>
  <si>
    <t>Komplex kalkulátor</t>
  </si>
  <si>
    <t>Számított törlesztődíj (türelmi idő alatt)</t>
  </si>
  <si>
    <t>Számított törlesztődíj (t.i. után - t.i nélkül)</t>
  </si>
  <si>
    <t>Törlesztési díj (türelmi idő alatt)</t>
  </si>
  <si>
    <t>Törlesztési díj (t.i. után - t.i nélkül)</t>
  </si>
  <si>
    <t>2023.01.01 - 2023.01.31</t>
  </si>
  <si>
    <t>Tagja Ön gazdasági társaságnak vagy egyéni vállalkozó-e?</t>
  </si>
  <si>
    <t>2023.02.01 - 2023.02.28</t>
  </si>
  <si>
    <t>Kamat Plusz</t>
  </si>
  <si>
    <t>2023.03.01 - 2023.03.31</t>
  </si>
  <si>
    <t>Amennyiben a Bank a folyósítási feltételként előírt lakásbiztosítási szerződés vonatkozásában fizetendő biztosítási díjat nem ismeri, úgy a THMmax vizsgálata során az igényelt hitelösszegtől függően az alábbi, jellemzőnek tekintett lakásbiztosítási díjakkal számol:</t>
  </si>
  <si>
    <t>Jegybanki alapkamat(Jba)</t>
  </si>
  <si>
    <t>fedezeti ingatlan hitelbiztosítéki értéke</t>
  </si>
  <si>
    <t>igényelt hitelösszeg</t>
  </si>
  <si>
    <t xml:space="preserve">referenciaként figyelembe vett lakásbiztosítás havi díja
</t>
  </si>
  <si>
    <t>23 000 000 Ft</t>
  </si>
  <si>
    <t>1 000 000 Ft-22 999 999 Ft</t>
  </si>
  <si>
    <t>39 000 000 Ft</t>
  </si>
  <si>
    <t>23 000 000 Ft – 38 999 999 Ft</t>
  </si>
  <si>
    <t>1 425 Ft</t>
  </si>
  <si>
    <t>39 000 000 Ft-tól</t>
  </si>
  <si>
    <t>A Hirdetményben feltüntetett  - az igényelt hitelösszeghez tartozó jellemző lakásbiztosítási díjjal vagy, ha Bank számára már ismert a fedezeti ingatlanra megkötött lakásbiztosítás díja, akkor az ezzel számolt THM nem haladhatja meg a Hirdetményben szereplő THMmax értékét. A THMmax értéket meghaladó THM-el a GRÁNIT Bank nem nyújt hitelt. Amennyiben a hiteligénylő a Bank által számításba vett díjnál alacsonyabb díjat tartalmazó lakásbiztosítást köt, amely megfelel a THMmax-ra vonatkozó jogszabályi előírásnak, úgy lehetőség van kölcsönszerződés megkötésére. A Bank több ingatlan fedezet esetén minden fedezeti ingatlan biztosítási díját számításba veszi a THMmax vizsgálatakor.</t>
  </si>
  <si>
    <t>Jellemző biztosítási összeghez tartozó díj</t>
  </si>
  <si>
    <t>THM Max</t>
  </si>
  <si>
    <t>Elméleti THM</t>
  </si>
  <si>
    <t>THM_Elméleti</t>
  </si>
  <si>
    <t>THM vizsgálat eredménye:</t>
  </si>
  <si>
    <t>2023.04.01 - 2023.04.30</t>
  </si>
  <si>
    <t>A THM számítása során a jogszabálynak megfelelően nem kerülnek figyelembe vételre: 
- Közjegyzői díj
- Vagyonbiztosítás díja: A Bank a jogszabályban meghatározott THM maximum vizsgálata során a fedezetül szolgáló ingatlan(ok)  hitelbiztosítéki értékéhez igazodóan három jellemzőnek tekinthető értéksáv alapján meghatározott biztosítási díjakkal számol, ha a tényleges vagyonbiztosítás díja nem ismert. A jellemzőnek tekintett biztosítási díjakat a zálogjog fedezete mellett nyújtott piaci kamatozású lakossági hitelekről szóló hatályos Hirdetmény tartalmazza, mely elérhető az Bankfiókokban kifüggesztve, valamint a https://granitbank.hu/lakossagi-hirdetmenyek weboldalon.
További, a kölcsön futamideje alatt az ügyfél számára költséget jelentő banki díjak, így pl:
- késedelmes teljesítés esetén felszámításra kerülő: Késedelmi kamat, Késedelem miatti első fizetési felszólítás díja, Késedelem miatti második fizetési felszólítás díja, Késedelem miatti személyes megkeresés díja
- egyéb olyan fizetési kötelezettség, amely a szerződésben vállalt kötelezettség nem teljesítéséből származik
- Szerződésmódosítás díja
- Szerződésmódosítási díj lakáscélú jelzáloghitel előtörlesztés esetére
- Szerződésmódosítási díj lakáscélú jelzáloghitelek előtörlesztés esetére, amennyiben az előtörlesztés más pénzügyi intézmény által folyósított kölcsönből történik
- Átutalási díjak
- Eseti kimutatás díja
- Fedezettörlési díj
- Ingatlan felülvizsgálati díj Adminisztrációs díj
A költségek és díjak mértékére vonatkozóan a lakossági Jelzáloghitelekre és a lakossági Bankszámlákra és kapcsolódó szolgáltatásrokra vonatkozó aktuális Hirdetményekben talál részletes tájékoztatást.</t>
  </si>
  <si>
    <r>
      <rPr>
        <b/>
        <u/>
        <sz val="10"/>
        <color rgb="FF695FFF"/>
        <rFont val="Trebuchet MS"/>
        <family val="2"/>
        <charset val="238"/>
      </rPr>
      <t>AKTUÁLIS Akciók, kedvezmények:</t>
    </r>
    <r>
      <rPr>
        <sz val="10"/>
        <color rgb="FF695FFF"/>
        <rFont val="Trebuchet MS"/>
        <family val="2"/>
        <charset val="238"/>
      </rPr>
      <t xml:space="preserve">
2016. március 29-től az akció visszavonásáig</t>
    </r>
    <r>
      <rPr>
        <i/>
        <sz val="10"/>
        <color rgb="FF695FFF"/>
        <rFont val="Trebuchet MS"/>
        <family val="2"/>
        <charset val="238"/>
      </rPr>
      <t xml:space="preserve"> </t>
    </r>
    <r>
      <rPr>
        <sz val="10"/>
        <color rgb="FF695FFF"/>
        <rFont val="Trebuchet MS"/>
        <family val="2"/>
        <charset val="238"/>
      </rPr>
      <t>hiánytalanul befogadott GRÁNIT Otthonteremtési Kamattámogatású Jelzáloghitel esetén a Bank
Ø folyósítási jutalékot nem számít fel,
továbbá az ügyfél által harmadik fél felé megfizetett fizetendő díjakból a Bank visszatéríti az ügyfélnek a hitel folyósításakor:
Ø  egy ingatlan Fedezet értékelési díját és
Ø  a közjegyzői okiratba foglalás díját, de maximum 40.000 Ft-ot és
Ø  a folyósítást közvetlenül megelőző Ingatlan felülvizsgálati díját, azon ingatlan megvásárlása esetén, amelynek felépítését a Bank vállalati lakásépítési projekthitellel finanszíroz. 
A fenti kedvezmények valamennyi, a fenti akció időtartama alatt befogadott hiteligénylésekre vonatkoznak, amennyiben az Adósok igazolt rendszeres jövedelme a GRÁNIT Banknál vezetett bankszámlára érkezik.</t>
    </r>
    <r>
      <rPr>
        <vertAlign val="superscript"/>
        <sz val="10"/>
        <color rgb="FF695FFF"/>
        <rFont val="Trebuchet MS"/>
        <family val="2"/>
        <charset val="238"/>
      </rPr>
      <t>(13)</t>
    </r>
    <r>
      <rPr>
        <sz val="10"/>
        <color rgb="FF695FFF"/>
        <rFont val="Trebuchet MS"/>
        <family val="2"/>
        <charset val="238"/>
      </rPr>
      <t xml:space="preserve">
Az akció keretében a GRÁNIT Bank által elengedett Folyósítási jutalékot és az utólag visszatérített Fedezet értékelési díjat és a Közjegyzői díjat az ügyfél köteles megfizetni a Bank részére, amennyiben a kölcsön
- szerződéskötéstől számított 4 éven belül végtörlesztésre, illetve a folyósított kölcsönösszeg 50%-át elérő, vagy meghaladó összegben előtörlesztésre, vagy
- Bankon kívül álló okokból felmondásra kerül, vagy
- megszűnik a munkabér jóváírás a hitel futamideje alatt.                                                                                                                                                                        </t>
    </r>
    <r>
      <rPr>
        <b/>
        <sz val="10"/>
        <color rgb="FF695FFF"/>
        <rFont val="Trebuchet MS"/>
        <family val="2"/>
        <charset val="238"/>
      </rPr>
      <t>A GRÁNIT NHP Zöld Otthon Lakáshitel és az GRÁNIT Zöld Otthonteremtési kamattámogatású hitel termékek értékesítését a GRÁNIT Bank 2022. 03. 31-én felfüggesztette.</t>
    </r>
  </si>
  <si>
    <r>
      <t>Fedezet értékelési díj</t>
    </r>
    <r>
      <rPr>
        <vertAlign val="superscript"/>
        <sz val="10"/>
        <rFont val="Trebuchet MS"/>
        <family val="2"/>
        <charset val="238"/>
      </rPr>
      <t>(1)</t>
    </r>
  </si>
  <si>
    <r>
      <t>Folyósítási jutalék</t>
    </r>
    <r>
      <rPr>
        <vertAlign val="superscript"/>
        <sz val="10"/>
        <rFont val="Trebuchet MS"/>
        <family val="2"/>
        <charset val="238"/>
      </rPr>
      <t>(9)</t>
    </r>
  </si>
  <si>
    <r>
      <t>Adminisztrációs díj</t>
    </r>
    <r>
      <rPr>
        <vertAlign val="superscript"/>
        <sz val="10"/>
        <rFont val="Trebuchet MS"/>
        <family val="2"/>
        <charset val="238"/>
      </rPr>
      <t>(8)</t>
    </r>
  </si>
  <si>
    <r>
      <t>Fedezetbejegyzési díj</t>
    </r>
    <r>
      <rPr>
        <vertAlign val="superscript"/>
        <sz val="10"/>
        <rFont val="Trebuchet MS"/>
        <family val="2"/>
        <charset val="238"/>
      </rPr>
      <t>(2)</t>
    </r>
  </si>
  <si>
    <r>
      <t>Késedelem miatti személyes megkeresés díja</t>
    </r>
    <r>
      <rPr>
        <vertAlign val="superscript"/>
        <sz val="10"/>
        <rFont val="Trebuchet MS"/>
        <family val="2"/>
        <charset val="238"/>
      </rPr>
      <t>(4)</t>
    </r>
  </si>
  <si>
    <r>
      <t>Szerződésmódosítási díj</t>
    </r>
    <r>
      <rPr>
        <vertAlign val="superscript"/>
        <sz val="10"/>
        <rFont val="Trebuchet MS"/>
        <family val="2"/>
        <charset val="238"/>
      </rPr>
      <t>(5)</t>
    </r>
  </si>
  <si>
    <r>
      <t xml:space="preserve">Szerződésmódosítási díj 2019.07.01-től befogadott hitelkérelmeknél </t>
    </r>
    <r>
      <rPr>
        <vertAlign val="superscript"/>
        <sz val="10"/>
        <rFont val="Trebuchet MS"/>
        <family val="2"/>
        <charset val="238"/>
      </rPr>
      <t>(5)</t>
    </r>
  </si>
  <si>
    <r>
      <t>Szerződésmódosítási díj lakáscélú jelzáloghitel előtörlesztés esetére</t>
    </r>
    <r>
      <rPr>
        <vertAlign val="superscript"/>
        <sz val="10"/>
        <rFont val="Trebuchet MS"/>
        <family val="2"/>
        <charset val="238"/>
      </rPr>
      <t>(7)</t>
    </r>
  </si>
  <si>
    <r>
      <t>Szerződésmódosítási díj lakáscélú jelzáloghitelek előtörlesztés esetére, amennyiben az előtörlesztés más pénzügyi intézmény által folyósított kölcsönből történik</t>
    </r>
    <r>
      <rPr>
        <vertAlign val="superscript"/>
        <sz val="10"/>
        <rFont val="Trebuchet MS"/>
        <family val="2"/>
        <charset val="238"/>
      </rPr>
      <t>(7)</t>
    </r>
  </si>
  <si>
    <r>
      <t>Ingatlan felülvizsgálati díj</t>
    </r>
    <r>
      <rPr>
        <vertAlign val="superscript"/>
        <sz val="10"/>
        <rFont val="Trebuchet MS"/>
        <family val="2"/>
        <charset val="238"/>
      </rPr>
      <t>(11)</t>
    </r>
  </si>
  <si>
    <r>
      <t>Fedezettörlési díj</t>
    </r>
    <r>
      <rPr>
        <vertAlign val="superscript"/>
        <sz val="10"/>
        <rFont val="Trebuchet MS"/>
        <family val="2"/>
        <charset val="238"/>
      </rPr>
      <t>(3)</t>
    </r>
  </si>
  <si>
    <r>
      <t>Bírálati díj</t>
    </r>
    <r>
      <rPr>
        <vertAlign val="superscript"/>
        <sz val="10"/>
        <rFont val="Trebuchet MS"/>
        <family val="2"/>
        <charset val="238"/>
      </rPr>
      <t>(12)</t>
    </r>
  </si>
  <si>
    <r>
      <t>Akciós THM</t>
    </r>
    <r>
      <rPr>
        <b/>
        <u/>
        <vertAlign val="superscript"/>
        <sz val="10"/>
        <rFont val="Trebuchet MS"/>
        <family val="2"/>
        <charset val="238"/>
      </rPr>
      <t>(14)</t>
    </r>
  </si>
  <si>
    <r>
      <t>referencia kamat</t>
    </r>
    <r>
      <rPr>
        <b/>
        <vertAlign val="superscript"/>
        <sz val="9"/>
        <rFont val="Trebuchet MS"/>
        <family val="2"/>
        <charset val="238"/>
      </rPr>
      <t>(12)</t>
    </r>
  </si>
  <si>
    <r>
      <t>kamatfelár</t>
    </r>
    <r>
      <rPr>
        <b/>
        <u/>
        <vertAlign val="superscript"/>
        <sz val="9"/>
        <rFont val="Trebuchet MS"/>
        <family val="2"/>
        <charset val="238"/>
      </rPr>
      <t xml:space="preserve"> </t>
    </r>
    <r>
      <rPr>
        <b/>
        <vertAlign val="superscript"/>
        <sz val="9"/>
        <rFont val="Trebuchet MS"/>
        <family val="2"/>
        <charset val="238"/>
      </rPr>
      <t>(9), (15)</t>
    </r>
  </si>
  <si>
    <r>
      <t>Akciós THM</t>
    </r>
    <r>
      <rPr>
        <b/>
        <u/>
        <vertAlign val="superscript"/>
        <sz val="10"/>
        <rFont val="Trebuchet MS"/>
        <family val="2"/>
        <charset val="238"/>
      </rPr>
      <t>(17)</t>
    </r>
  </si>
  <si>
    <r>
      <t>Ügyleti (bruttó) kamat, amely az 5 éves ÁKKH*130%+3%.-a</t>
    </r>
    <r>
      <rPr>
        <vertAlign val="superscript"/>
        <sz val="10"/>
        <rFont val="Trebuchet MS"/>
        <family val="2"/>
        <charset val="238"/>
      </rPr>
      <t>(10)</t>
    </r>
  </si>
  <si>
    <r>
      <t xml:space="preserve">THM </t>
    </r>
    <r>
      <rPr>
        <b/>
        <u/>
        <vertAlign val="superscript"/>
        <sz val="10"/>
        <rFont val="Trebuchet MS"/>
        <family val="2"/>
        <charset val="238"/>
      </rPr>
      <t>(16)</t>
    </r>
  </si>
  <si>
    <r>
      <t>az első hitelfolyósítás időpontja és minden ezt követő hitelfolyósítás időpontja közötti időtartam években és töredékévekben kifejezve, ezért t</t>
    </r>
    <r>
      <rPr>
        <vertAlign val="subscript"/>
        <sz val="10"/>
        <rFont val="Trebuchet MS"/>
        <family val="2"/>
        <charset val="238"/>
      </rPr>
      <t>1</t>
    </r>
    <r>
      <rPr>
        <sz val="10"/>
        <rFont val="Trebuchet MS"/>
        <family val="2"/>
        <charset val="238"/>
      </rPr>
      <t xml:space="preserve"> = 0,</t>
    </r>
  </si>
  <si>
    <r>
      <t xml:space="preserve">ebből: kamatfelár </t>
    </r>
    <r>
      <rPr>
        <b/>
        <sz val="11"/>
        <rFont val="Trebuchet MS"/>
        <family val="2"/>
        <charset val="238"/>
      </rPr>
      <t>(kedvezménnyel)</t>
    </r>
  </si>
  <si>
    <r>
      <t xml:space="preserve">Egyszeri költségek összesen </t>
    </r>
    <r>
      <rPr>
        <sz val="10"/>
        <rFont val="Trebuchet MS"/>
        <family val="2"/>
        <charset val="238"/>
      </rPr>
      <t>(visszatérítéssel)</t>
    </r>
  </si>
  <si>
    <r>
      <t>GRÁNIT Bank Zrt.</t>
    </r>
    <r>
      <rPr>
        <sz val="11"/>
        <color indexed="8"/>
        <rFont val="Trebuchet MS"/>
        <family val="2"/>
        <charset val="238"/>
      </rPr>
      <t xml:space="preserve"> (Cégjegyzékszám: 01-10-041028) 1095 Budapest, Lechner Ödön fasor 8.</t>
    </r>
  </si>
  <si>
    <r>
      <rPr>
        <b/>
        <sz val="11"/>
        <rFont val="Trebuchet MS"/>
        <family val="2"/>
        <charset val="238"/>
      </rPr>
      <t>Az Otthonteremtési Kamattámogatású Jelzáloghitel a 16/2016. (II. 10.) Kormányrendelet 9.§ b) ill. c) pontjában meghatározott 2 600 000 Ft-os vagy 10.000 000 Ft-os Családi Otthonteremtési Kedvezmény (CSOK)  valamint a 17/2016. (II.10.) Kormányrendelet 11.§ b), c), ill d) pontja szerinti 1 430.000 Ft; 2 200 000 Ft ill. 2 750 000 Ft Családi Otthonteremtési Kedvezmény (CSOK) igénybevételével együtt nyújtható a Többgyermekes Családok Otthonteremtési Kamattámogatása alapján.
Új lakás vásárlására:</t>
    </r>
    <r>
      <rPr>
        <sz val="11"/>
        <rFont val="Trebuchet MS"/>
        <family val="2"/>
        <charset val="238"/>
      </rPr>
      <t xml:space="preserve">  Új lakás vásárlásnak minősül a 2008. július 1-jén, vagy azt követően kiállított a) használatbavételi engedéllyel vagy b) a használatbavétel tudomásulvételét igazoló hatósági bizonyítvánnyal vagy c) egyszerű bejelentéshez kötött épület felépítésének megtörténtéről szóló hatósági bizonyítvánnyal rendelkező lakás vagy lakóház, amelyet gazdálkodó szervezet természetes személy részére való értékesítés céljára épít vagy építtet, és amelyet első ízben természetes személy részére értékesítenek.
</t>
    </r>
    <r>
      <rPr>
        <b/>
        <sz val="11"/>
        <rFont val="Trebuchet MS"/>
        <family val="2"/>
        <charset val="238"/>
      </rPr>
      <t>Új lakás építésére:</t>
    </r>
    <r>
      <rPr>
        <sz val="11"/>
        <rFont val="Trebuchet MS"/>
        <family val="2"/>
        <charset val="238"/>
      </rPr>
      <t xml:space="preserve">  Új lakás építésének minősül 2008. július 1-jén, vagy azt követően kiállított a) építési engedély vagy b) egyszerű bejelentéshez kötött építési tevékenység bejelentésének megtörténtét az építésügyi hatság által kiállított igazoló dokumentum alapján felépített lakás vagy lakóház, amely a) használatbavételi engedéllyel vagy b) a használatbavétel tudomásulvételét igazoló hatósági bizonyítvánnyal vagy c) egyszerű bejelentéshez kötött épület felépítésének megtörténtéről szóló hatósági bizonyítvánnyal még nem rendelkezik az igényléskor.
</t>
    </r>
    <r>
      <rPr>
        <b/>
        <sz val="11"/>
        <rFont val="Trebuchet MS"/>
        <family val="2"/>
        <charset val="238"/>
      </rPr>
      <t xml:space="preserve">Használt lakás vásárlásra: </t>
    </r>
    <r>
      <rPr>
        <sz val="11"/>
        <rFont val="Trebuchet MS"/>
        <family val="2"/>
        <charset val="238"/>
      </rPr>
      <t>olyan lakóingatlan megvásárlása, mely nem minősül az új lakások építéséhez, vásárlásához kapcsolódó lakáscélú kormányrendeleben meghatározott új lakásnak. (Nem felel meg a fentebb írt meghatározásoknak)</t>
    </r>
  </si>
  <si>
    <r>
      <t xml:space="preserve">- A fedezetül felajánlott ingatlan(ok)ra a Kölcsönszerződésben szereplő hitelösszeg 130%-nak mértékéig alapított </t>
    </r>
    <r>
      <rPr>
        <b/>
        <sz val="11"/>
        <rFont val="Trebuchet MS"/>
        <family val="2"/>
        <charset val="238"/>
      </rPr>
      <t>önálló zálogjog, és azt biztosító elidegenítési és terhelési tilalom</t>
    </r>
    <r>
      <rPr>
        <sz val="11"/>
        <rFont val="Trebuchet MS"/>
        <family val="2"/>
        <charset val="238"/>
      </rPr>
      <t xml:space="preserve">.
A GRÁNIT Bank Zrt. kölcsönt csak Magyarország területén fekvő, magánszemély tulajdonában álló, önállóan forgalomképes, per-teher és igénymentes ingatlanon alapított önálló zálogjog fedezete mellett nyújt. A Bank által elfogadott fedezetek köre:
- lakóingatlanok, ideértve a társasházi, vagy sorházi öröklakást, szövetkezeti lakást, önálló lakást, vagy egyéb lakás céljára szolgáló helyiségeket; 
-  üdülő, hétvégi ház, 
- garázs, (önállóan forgalomképes),
- építési telek ingatlan
-  tároló (kiegészítő fedezetként)
Egyedi elbírálással elfogadható fedezetek köre:  gazdasági épület, iroda, üzlethelyiség, egyéb ingatlan.
</t>
    </r>
    <r>
      <rPr>
        <b/>
        <sz val="11"/>
        <rFont val="Trebuchet MS"/>
        <family val="2"/>
        <charset val="238"/>
      </rPr>
      <t>- Ingatlanfedezeti vagyonbiztosítás</t>
    </r>
    <r>
      <rPr>
        <sz val="11"/>
        <rFont val="Trebuchet MS"/>
        <family val="2"/>
        <charset val="238"/>
      </rPr>
      <t xml:space="preserve">
A  biztosítékul lekötött ingatlanokra - amennyiben a tulajdonos ilyen biztosítással még nem rendelkezik - teljes körű  vagyonbiztosítást kell kötni, és a biztosítási összeget a kölcsön és járulékai erejéig a GRÁNIT Bankra engedményezni. A hitelfelvevő/zálogkötelezett a kölcsönszerződés fennállásáig a Bank hozzájárulása nélkül a biztosítási szerződést a Bank számára hátrányosan nem módosíthatja, nem szüntetheti meg és köteles folyamatosan díjfizetéssel fedezni.
- </t>
    </r>
    <r>
      <rPr>
        <b/>
        <sz val="11"/>
        <rFont val="Trebuchet MS"/>
        <family val="2"/>
        <charset val="238"/>
      </rPr>
      <t>Hitelfedezeti életbiztosítás</t>
    </r>
    <r>
      <rPr>
        <sz val="11"/>
        <rFont val="Trebuchet MS"/>
        <family val="2"/>
        <charset val="238"/>
      </rPr>
      <t xml:space="preserve"> (egyedüli Adós esetén, amennyiben az igényelt hitel összege és a fedezül felajánlott ingatlan forgalmi értékének aránya meghaladja a 60%-ot)
Az Adós személyére vonatkozóan - amennyiben ilyen biztosítással még nem rendelkezik - legalább a kölcsön összegére, a teljes futamidőre szóló hitelfedezeti életbiztosítás megkötése, amelynek kedvezményezettje a GRÁNIT Bank.</t>
    </r>
  </si>
  <si>
    <r>
      <t xml:space="preserve">A GRÁNIT Bank által nyújtott Otthonteremtési Kamattámogatású Jelzáloghitel </t>
    </r>
    <r>
      <rPr>
        <b/>
        <sz val="11"/>
        <rFont val="Trebuchet MS"/>
        <family val="2"/>
        <charset val="238"/>
      </rPr>
      <t xml:space="preserve">kamatperiódusonként rögzített, változó kamatozású </t>
    </r>
    <r>
      <rPr>
        <sz val="11"/>
        <rFont val="Trebuchet MS"/>
        <family val="2"/>
        <charset val="238"/>
      </rPr>
      <t xml:space="preserve">kölcsön.
A Kölcsön </t>
    </r>
    <r>
      <rPr>
        <b/>
        <sz val="11"/>
        <rFont val="Trebuchet MS"/>
        <family val="2"/>
        <charset val="238"/>
      </rPr>
      <t>Ügyleti (bruttó) kamatláb</t>
    </r>
    <r>
      <rPr>
        <sz val="11"/>
        <rFont val="Trebuchet MS"/>
        <family val="2"/>
        <charset val="238"/>
      </rPr>
      <t xml:space="preserve">ának éves mértéke az ÁKKH (mint Referencia-kamat) 130%-a 3 százalékponttal (Kamatfelár) növelve.
Az Ügyleti (bruttó) kamatláb a Kamatperiódus fordulónapján (a Kamatmegállapítás napján) módosul. A Kamatmegállapítás napja az első Törlesztési Naptól (amely minden esetben a hónap 10. napja) számítva öt évente az első Törlesztési Nappal megegyező naptári nap.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öt éves időszak.
</t>
    </r>
    <r>
      <rPr>
        <b/>
        <sz val="11"/>
        <rFont val="Trebuchet MS"/>
        <family val="2"/>
        <charset val="238"/>
      </rPr>
      <t>ÁKKH:</t>
    </r>
    <r>
      <rPr>
        <sz val="11"/>
        <rFont val="Trebuchet MS"/>
        <family val="2"/>
        <charset val="238"/>
      </rPr>
      <t xml:space="preserve"> az Államadósság Kezelő Központ Zrt. által havi rendszerességgel közzétett referenciahozam, amely a közzétételt megelőző három naptári hónapban tartott 5 éves névleges futamidejű államkötvény aukcióin kialakult átlaghozamok adott aukciókon elfogadott mennyiségekkel súlyozott számtani átlaga, ennek hiányában az elsődleges forgalmazók árjegyzési kötelezettsége alapján kereskedési naponként számított és közzétett referenciahozamoknak a közzétételt megelőző három naptári hónapra vonatkozó számtani átlaga.
Az Ügyleti (bruttó) kamatláb mértéke az első Kamatperiódus időtartama alatt a(z első rész)folyósítás napját megelőző hónapban közzétett ÁKKH alapján; a további Kamatperiódusok időtartama alatt a Kamatmegállapítás napja előtti hónapban közzétett ÁKKH alapján kerül meghatározásra.
A Kamatperiódusonkénti Ügyleti (bruttó) kamatláb változás nem minősül egyoldalú módosításnak.
 </t>
    </r>
  </si>
  <si>
    <r>
      <t xml:space="preserve">A kölcsön </t>
    </r>
    <r>
      <rPr>
        <b/>
        <sz val="11"/>
        <rFont val="Trebuchet MS"/>
        <family val="2"/>
        <charset val="238"/>
      </rPr>
      <t>Ügyleti (bruttó) kamatának megfizetéséhez az állam Kamattámogatást nyújt a kölcsön futamidejének első huszonöt évében</t>
    </r>
    <r>
      <rPr>
        <sz val="11"/>
        <rFont val="Trebuchet MS"/>
        <family val="2"/>
        <charset val="238"/>
      </rPr>
      <t xml:space="preserve"> a 16/2016. (II.10.) Kormányrendelet ill. a 17/2016. (II.10.) Kormányrendelet alapján.
</t>
    </r>
    <r>
      <rPr>
        <b/>
        <sz val="11"/>
        <rFont val="Trebuchet MS"/>
        <family val="2"/>
        <charset val="238"/>
      </rPr>
      <t>Kamattámogatás mértéke</t>
    </r>
    <r>
      <rPr>
        <sz val="11"/>
        <rFont val="Trebuchet MS"/>
        <family val="2"/>
        <charset val="238"/>
      </rPr>
      <t xml:space="preserve"> az Ügyleti (bruttó) kamatláb 3 százalékponttal csökkentett mértéke. 
A Bank az igénybevett kamattámogatás éves összegét évente egyszer, az éves elszámolás keretében közli a támogatott személlyel. 
</t>
    </r>
    <r>
      <rPr>
        <b/>
        <sz val="11"/>
        <rFont val="Trebuchet MS"/>
        <family val="2"/>
        <charset val="238"/>
      </rPr>
      <t>A kamattámogatás ideje alatt az Adósok az Ügyleti (bruttó) kamat Kamattámogatással csökkentett mértékét; a kamattámogatás lejártát, megszűnését követően a teljes Ügyleti (bruttó) kamat mértékét kötelesek megfizetni</t>
    </r>
    <r>
      <rPr>
        <sz val="11"/>
        <rFont val="Trebuchet MS"/>
        <family val="2"/>
        <charset val="238"/>
      </rPr>
      <t xml:space="preserve">.
</t>
    </r>
    <r>
      <rPr>
        <b/>
        <sz val="11"/>
        <rFont val="Trebuchet MS"/>
        <family val="2"/>
        <charset val="238"/>
      </rPr>
      <t>A Kamattámogatás nyújtásának feltétele, hogy az ügyfél ne rendelkezzen lejárt tőketartozással illetve az esetlegesen vállalt gyermekek a gyermekvállalási határidő lejárta előtt megszülessenek.</t>
    </r>
    <r>
      <rPr>
        <sz val="11"/>
        <rFont val="Trebuchet MS"/>
        <family val="2"/>
        <charset val="238"/>
      </rPr>
      <t xml:space="preserve"> Lejárt tőketartozásnak minősül a kölcsönszerződés felmondása miatt esedékessé vált tőketartozás, valamint a fel nem mondott kölcsönszerződésből eredő lejárt tőketartozás, amelynek törlesztési késedelme a 30 napot meghaladja.
</t>
    </r>
    <r>
      <rPr>
        <b/>
        <strike/>
        <sz val="11"/>
        <rFont val="Tahoma"/>
        <family val="2"/>
        <charset val="238"/>
      </rPr>
      <t/>
    </r>
  </si>
  <si>
    <r>
      <t xml:space="preserve">A kölcsön futamideje: </t>
    </r>
    <r>
      <rPr>
        <b/>
        <sz val="11"/>
        <rFont val="Trebuchet MS"/>
        <family val="2"/>
        <charset val="238"/>
      </rPr>
      <t xml:space="preserve">minimum 5 év, maximum 25 év </t>
    </r>
    <r>
      <rPr>
        <sz val="11"/>
        <rFont val="Trebuchet MS"/>
        <family val="2"/>
        <charset val="238"/>
      </rPr>
      <t xml:space="preserve">(figyelembe véve azt is, hogy a hiteligénylők közül a legfiatalabb szereplő életkora a futamidő lejáratának évében nem érheti el a 75. életévet).
A kölcsön törlesztése fő szabályként türelmi idő nélkül, havonta történik, annuitásos törlesztés alkalmazásával, így a </t>
    </r>
    <r>
      <rPr>
        <b/>
        <sz val="11"/>
        <rFont val="Trebuchet MS"/>
        <family val="2"/>
        <charset val="238"/>
      </rPr>
      <t>törlesztőrészletek száma minimum 60 maximum 300 db lehet</t>
    </r>
    <r>
      <rPr>
        <sz val="11"/>
        <rFont val="Trebuchet MS"/>
        <family val="2"/>
        <charset val="238"/>
      </rPr>
      <t xml:space="preserve">. A Bank a törlesztés  esedékességkor - az ügyfél kölcsönszerződésében foglalt felhatalmazása alapján - megterheli a kölcsönfelvevő GRÁNIT Banknál vezetett bankszámláját. 
</t>
    </r>
    <r>
      <rPr>
        <b/>
        <sz val="11"/>
        <rFont val="Trebuchet MS"/>
        <family val="2"/>
        <charset val="238"/>
      </rPr>
      <t>Annuitásos törlesztés:</t>
    </r>
    <r>
      <rPr>
        <sz val="11"/>
        <rFont val="Trebuchet MS"/>
        <family val="2"/>
        <charset val="238"/>
      </rPr>
      <t xml:space="preserve">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
A  kölcsönt és annak járulékait minden naptári </t>
    </r>
    <r>
      <rPr>
        <b/>
        <sz val="11"/>
        <rFont val="Trebuchet MS"/>
        <family val="2"/>
        <charset val="238"/>
      </rPr>
      <t>hónap 10. napján</t>
    </r>
    <r>
      <rPr>
        <sz val="11"/>
        <rFont val="Trebuchet MS"/>
        <family val="2"/>
        <charset val="238"/>
      </rPr>
      <t xml:space="preserve"> esedékes, havi törlesztő részletekben kell megfizetni. Az első törlesztés részlet esedékessége az (első rész)folyósítást követő naptári hónap 10. napja. Amennyiben hónap 10-e nem banki munkanap, akkor az azt megelőző utolsó banki munkanapon már biztosítani kell a lakossági bankszámlán a törlesztéshez szükséges fedezetet. Az igénylőnek lehetősége van a hitelt </t>
    </r>
    <r>
      <rPr>
        <b/>
        <sz val="11"/>
        <rFont val="Trebuchet MS"/>
        <family val="2"/>
        <charset val="238"/>
      </rPr>
      <t>24 hónap türelmi idős változatban</t>
    </r>
    <r>
      <rPr>
        <sz val="11"/>
        <rFont val="Trebuchet MS"/>
        <family val="2"/>
        <charset val="238"/>
      </rPr>
      <t xml:space="preserve"> is kérni. Ez azt jelenti, hogy a 24 hónap türelmi idő alatt csak kamatot fizet havonta, a tőketörlesztés a 25. jónapban kezdődik. A türelmi idős változatban a hitel törlesztő részlete a türelmi idő leteltét követően a tőketörlesztés megkezdése miatt megemelkedik.</t>
    </r>
  </si>
  <si>
    <r>
      <t xml:space="preserve">- A jelzáloghitel törlesztéséhez szükséges pénzeszközök elhelyezésé céljából a GRÁNIT Banknál vezetett bankszámla szükséges. Adós az aktuálisan értékesített bármely lakossági bankszámlacsomagot választhatja, amely feltételét teljesíteni tudja. A GRÁNIT Sztár számlacsomag egy feltételhez nem kötött bankszámla, amelynél a havi számlavezetés, a forint jóváírás elszámolása, a pénztári befizetés valamint a hitel törlesztés beszedése díjmentes. Tehát amennyiben az ügyfél kizárólag a GRÁNIT Banki hitel törlesztésére használja a GRÁNIT Sztár számlacsomagot, azt díj-, költség- és egyéb fizetési kötelezettség mentesen teheti meg, de amennyiben a hitel törlesztésén kívül - az ügyfél saját döntése szerint - másra is használja a bankszámlát, ennek díjait a hatályos Lakossági Bankszámlákról és Kapcsolódó Szolgáltatásokról szóló Hirdetmény tartalmazza.
- A Bank előírja a kölcsön fedezetéül szolgáló ingatlan(ok)ra a teljeskörű, legalább az ingatlan forgalmi értékére  szóló </t>
    </r>
    <r>
      <rPr>
        <b/>
        <sz val="11"/>
        <rFont val="Trebuchet MS"/>
        <family val="2"/>
        <charset val="238"/>
      </rPr>
      <t>vagyonbiztosítás</t>
    </r>
    <r>
      <rPr>
        <sz val="11"/>
        <rFont val="Trebuchet MS"/>
        <family val="2"/>
        <charset val="238"/>
      </rPr>
      <t xml:space="preserve"> megkötésért, melyet a GRÁNIT Bankra szükséges engedményezni. Az ingatlanra megkötött vagyonbiztosítás után fizetendő biztosítási díjat a biztosítók egyedi díjszabásuk szerint határozzák meg. A biztosítást a teljes futamidő alatt fent kell tartani!
- A Bank minden olyan kölcsönügylet esetében előírja az Adós személyére és legalább a kölcsön összegére vonatkozó hitelfedezeti (kockázati)</t>
    </r>
    <r>
      <rPr>
        <b/>
        <sz val="11"/>
        <rFont val="Trebuchet MS"/>
        <family val="2"/>
        <charset val="238"/>
      </rPr>
      <t xml:space="preserve"> életbiztosítás</t>
    </r>
    <r>
      <rPr>
        <sz val="11"/>
        <rFont val="Trebuchet MS"/>
        <family val="2"/>
        <charset val="238"/>
      </rPr>
      <t xml:space="preserve"> megkötését, amelynek kedvezményezettje a GRÁNIT Bank, ahol Adóstárs bevonására nem kerül sor és az igényelt hitelösszeg és a fedezül felajánlott ingatlan forgalmi értékének aránya meghaladja a 60%-ot. Az életbiztosítás díját a teljes futamidő alatt az adósnak kell fizetnie. Az életbiztosítás után fizetendő díjat a biztosítók egyedi díjszabásuk szerint határozzák meg.
Az Adós bármely biztosítóval köthet vagyon-, illetve kockázati életbiztosítást, a fenti feltételek teljesülése mellett.</t>
    </r>
  </si>
  <si>
    <r>
      <t xml:space="preserve">A hitelügylet értékbecslésétől számított </t>
    </r>
    <r>
      <rPr>
        <b/>
        <sz val="11"/>
        <rFont val="Trebuchet MS"/>
        <family val="2"/>
        <charset val="238"/>
      </rPr>
      <t>20</t>
    </r>
    <r>
      <rPr>
        <sz val="11"/>
        <rFont val="Trebuchet MS"/>
        <family val="2"/>
        <charset val="238"/>
      </rPr>
      <t xml:space="preserve"> munkanapon belül a GRÁNIT Bank a hitelt elbírálja. A banki döntés 30 napig érvényes. Folyósítási feltételek teljesítésének határideje a szerződéskötéstől számított 45 nap. Amennyiben a folyósításra vonatkozó határidő nem teljesül, a Bank nem köteles a kezdeti díjakat visszatéríteni/elengedni.
</t>
    </r>
  </si>
  <si>
    <r>
      <t xml:space="preserve">GRÁNIT Bank Zrt. </t>
    </r>
    <r>
      <rPr>
        <sz val="11"/>
        <rFont val="Trebuchet MS"/>
        <family val="2"/>
        <charset val="238"/>
      </rPr>
      <t>(Cégjegyzékszám: 01-10-041028)
Telefon: +36 1 5100 527
Cím: 1095 Budapest, Lechner Ödön fasor 8.
Levelezési cím: 1439 Budapest, Pf. 649.
Kapcsolattartó: 
Tájékoztatjuk, hogy igénye kapcsán a Bank hiteltanácsadást nem nyújt. Egyes kérdésekre adott válaszai alapján azonban tájékoztatjuk az adott jelzáloghitel feltételeiről, hogy Ön dönthessen.</t>
    </r>
  </si>
  <si>
    <r>
      <t xml:space="preserve">A GRÁNIT Bank által nyújtott Otthonteremtési Kamattámogatású Jelzáloghitel </t>
    </r>
    <r>
      <rPr>
        <b/>
        <sz val="11"/>
        <rFont val="Trebuchet MS"/>
        <family val="2"/>
        <charset val="238"/>
      </rPr>
      <t>kamatperiódusonként rögzített, változó kamatozású</t>
    </r>
    <r>
      <rPr>
        <sz val="11"/>
        <rFont val="Trebuchet MS"/>
        <family val="2"/>
        <charset val="238"/>
      </rPr>
      <t xml:space="preserve"> kölcsön.
A </t>
    </r>
    <r>
      <rPr>
        <b/>
        <sz val="11"/>
        <rFont val="Trebuchet MS"/>
        <family val="2"/>
        <charset val="238"/>
      </rPr>
      <t>Kölcsön Ügyleti (bruttó) kamatláb</t>
    </r>
    <r>
      <rPr>
        <sz val="11"/>
        <rFont val="Trebuchet MS"/>
        <family val="2"/>
        <charset val="238"/>
      </rPr>
      <t xml:space="preserve">ának éves mértéke az ÁKKH (mint Referencia-kamat) 130 %-a 3 százalékponttal (Kamatfelár) növelve (NHP ZOP-on kívül).
Az Ügyleti (bruttó) kamatláb a Kamatperiódus fordulónapján (a Kamatmegállapítás napján) módosul. A Kamatmegállapítás napja az első Törlesztési Naptól (amely minden esetben a hónap 10. napja) számítva öt évente az első Törlesztési Nappal megegyező naptári nap.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öt éves időszak.
</t>
    </r>
    <r>
      <rPr>
        <b/>
        <sz val="11"/>
        <rFont val="Trebuchet MS"/>
        <family val="2"/>
        <charset val="238"/>
      </rPr>
      <t>ÁKKH:</t>
    </r>
    <r>
      <rPr>
        <sz val="11"/>
        <rFont val="Trebuchet MS"/>
        <family val="2"/>
        <charset val="238"/>
      </rPr>
      <t xml:space="preserve"> az Államadósság Kezelő Központ Zrt. által havi rendszerességgel közzétett referenciahozam, amely a közzétételt megelőző három naptári hónapban tartott 5 éves névleges futamidejű államkötvény aukcióin kialakult átlaghozamok adott aukciókon elfogadott mennyiségekkel súlyozott számtani átlaga, ennek hiányában az elsődleges forgalmazók árjegyzési kötelezettsége alapján kereskedési naponként számított és közzétett referenciahozamoknak a közzétételt megelőző három naptári hónapra vonatkozó számtani átlaga.
Az Ügyleti (bruttó) kamatláb mértéke az első Kamatperiódus időtartama alatt a(z első rész)folyósítás napját megelőző hónapban közzétett ÁKKH alapján; a további Kamatperiódusok időtartama alatt a Kamatmegállapítás napja előtti hónapban közzétett ÁKKH alapján kerül meghatározásra.
A Kamatperiódusonkénti Ügyleti (bruttó) kamatláb változás nem minősül egyoldalú módosításnak.</t>
    </r>
  </si>
  <si>
    <r>
      <t xml:space="preserve">A kölcsön </t>
    </r>
    <r>
      <rPr>
        <b/>
        <sz val="11"/>
        <rFont val="Trebuchet MS"/>
        <family val="2"/>
        <charset val="238"/>
      </rPr>
      <t>Ügyleti (bruttó) kamatának megfizetéséhez az állam Kamattámogatást nyújt a kölcsön futamidejének első huszonöt évében</t>
    </r>
    <r>
      <rPr>
        <sz val="11"/>
        <rFont val="Trebuchet MS"/>
        <family val="2"/>
        <charset val="238"/>
      </rPr>
      <t xml:space="preserve"> a vonatkozó Kormányrendeletek alapján. 
</t>
    </r>
    <r>
      <rPr>
        <b/>
        <sz val="11"/>
        <rFont val="Trebuchet MS"/>
        <family val="2"/>
        <charset val="238"/>
      </rPr>
      <t>Kamattámogatás mértéke</t>
    </r>
    <r>
      <rPr>
        <sz val="11"/>
        <rFont val="Trebuchet MS"/>
        <family val="2"/>
        <charset val="238"/>
      </rPr>
      <t xml:space="preserve"> az Ügyleti (bruttó) kamatláb 3 százalékponttal csökkentett mértéke. 
A Bank az igénybevett kamattámogatás éves összegét évente egyszer, az éves elszámolás keretében közli. 
</t>
    </r>
    <r>
      <rPr>
        <b/>
        <sz val="11"/>
        <rFont val="Trebuchet MS"/>
        <family val="2"/>
        <charset val="238"/>
      </rPr>
      <t xml:space="preserve">A kamattámogatás ideje alatt az Adósok az Ügyleti (bruttó) kamat Kamattámogatással csökkentett mértékét; a kamattámogatás lejártát, megszűnését követően a teljes Ügyleti (bruttó) kamat mértékét kötelesek megfizetni.
A Kamattámogatás nyújtásának feltétele, hogy ne rendelkezzen lejárt tőketartozással illetve az esetlegesen vállalt gyermekek a gyermekvállalási határidő lejárta előtt megszülessenek. </t>
    </r>
    <r>
      <rPr>
        <sz val="11"/>
        <rFont val="Trebuchet MS"/>
        <family val="2"/>
        <charset val="238"/>
      </rPr>
      <t>Lejárt tőketartozásnak minősül a kölcsönszerződés felmondása miatt esedékessé vált tőketartozás, valamint a fel nem mondott kölcsönszerződésből eredő lejárt tőketartozás, amelynek törlesztési késedelme a 30 napot meghaladja.</t>
    </r>
  </si>
  <si>
    <r>
      <t>A Kölcsön kamatainak megfizetéséhez az állam a kölcsön futamidejének első huszonöt évében nyújt otthonteremtési kamattámogatást, amely időszak alatt a kölcsön ügyleti kamata öt évente változik - az egyes Kamatmegállapítási nap (kamatperiódusok fordulónapja) előtti naptári hónapban az Államadósság Kezelő Központ által közzétett ÁKKH szerint. Az ügyleti kamat ezen változása nem minősül egyoldalú kamatmódosításnak.
Kamatperiódus:</t>
    </r>
    <r>
      <rPr>
        <sz val="11"/>
        <rFont val="Trebuchet MS"/>
        <family val="2"/>
        <charset val="238"/>
      </rPr>
      <t xml:space="preserve"> A kamatperiódus a Kölcsön Ügyleti kamatára vonatkozó azon időszak, amely alatt a megállapított Ügyleti kamat mértéke feltétlen módon állandó. Az első Kamatperiódus időtartama az első Folyósítás napjától a soron következő Kamatmegállapítás napját megelőző naptári napig tartó időszak. A továbbiakban a Kamatperiódus időtartama otthonteremtési kamattámogatás mellett nyújtott Kölcsön esetén a Kamatmegállapítás Napjától a következő Kamatmegállapítás Napját megelőző naptári napig tartó öt éves időszak. 
</t>
    </r>
    <r>
      <rPr>
        <b/>
        <sz val="11"/>
        <rFont val="Trebuchet MS"/>
        <family val="2"/>
        <charset val="238"/>
      </rPr>
      <t xml:space="preserve">
</t>
    </r>
  </si>
  <si>
    <r>
      <rPr>
        <b/>
        <sz val="11"/>
        <rFont val="Trebuchet MS"/>
        <family val="2"/>
        <charset val="238"/>
      </rPr>
      <t xml:space="preserve">A fogyasztónak a következő kötelezettségeket kell teljesítenie ahhoz, hogy az ebben a dokumentumban ismertetett feltételekkel juthasson hitelhez:
Bankszámla nyitása: </t>
    </r>
    <r>
      <rPr>
        <sz val="11"/>
        <rFont val="Trebuchet MS"/>
        <family val="2"/>
        <charset val="238"/>
      </rPr>
      <t xml:space="preserve">a kölcsön törlesztése csak lakossági GRÁNIT bankszámláról történhet, ezért bankszámla nyitása és a hitel teljes futamideje alatt történő fenntartása szükséges. Adós az aktuálisan értékesített  bankszámlacsomagok közül bármelyiket választhatja, amelyik feltételét teljesíteni tudja. A GRÁNIT Sztár számlacsomag egy feltételhez nem kötött bankszámla, amelynél a havi számlavezetés, a forint jóváírás elszámolása valamint a pénztári befizetés díjmentesek, az egyéb kondícióit pedig a Lakossági Bankszámlákról és Kapcsolódó Szolgáltatásokról szóló Hirdetmény tartalmazza.
</t>
    </r>
    <r>
      <rPr>
        <b/>
        <sz val="11"/>
        <rFont val="Trebuchet MS"/>
        <family val="2"/>
        <charset val="238"/>
      </rPr>
      <t>Vagyonbiztosítás:</t>
    </r>
    <r>
      <rPr>
        <sz val="11"/>
        <rFont val="Trebuchet MS"/>
        <family val="2"/>
        <charset val="238"/>
      </rPr>
      <t xml:space="preserve"> A Bank előírja a kölcsön fedezetéül szolgáló ingatlan(ok)ra a teljeskörű, legalább az ingatlan forgalmi értékére  szóló vagyonbiztosítást. A biztosítást a teljes futamidő alatt fent kell tartani! A vagyonbiztosítás díja biztosító társaságonként változó, egyedi díjszabás szerint. A vagyonbiztosítás díját a biztosító felé, a biztosító által meghatározott határidőre kell teljesíteni. 
</t>
    </r>
    <r>
      <rPr>
        <b/>
        <sz val="11"/>
        <rFont val="Trebuchet MS"/>
        <family val="2"/>
        <charset val="238"/>
      </rPr>
      <t xml:space="preserve">Hitelfedezeti életbiztosítás: </t>
    </r>
    <r>
      <rPr>
        <sz val="11"/>
        <rFont val="Trebuchet MS"/>
        <family val="2"/>
        <charset val="238"/>
      </rPr>
      <t xml:space="preserve">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 biztosítás díja biztosító társaságonként változó, egyedi díjszabás szerint. Az életbiztosítás díját a biztosító felé, a biztosító által meghatározott határidőre kell teljesíteni. 
</t>
    </r>
    <r>
      <rPr>
        <b/>
        <sz val="11"/>
        <color theme="1"/>
        <rFont val="Tahoma"/>
        <family val="2"/>
        <charset val="238"/>
      </rPr>
      <t/>
    </r>
  </si>
  <si>
    <r>
      <rPr>
        <b/>
        <sz val="11"/>
        <rFont val="Trebuchet MS"/>
        <family val="2"/>
        <charset val="238"/>
      </rPr>
      <t>Hiteligénylés:</t>
    </r>
    <r>
      <rPr>
        <sz val="11"/>
        <rFont val="Trebuchet MS"/>
        <family val="2"/>
        <charset val="238"/>
      </rPr>
      <t xml:space="preserve"> ahhoz hogy a Bank a folyósításkor visszatérítse egy ingatlan vonatkozásában a Fedezetértékelési díjat (42.000 Ft) és a közjegyzői okiratba foglalás díját (max. 40.000 Ft-ig), az akció időtartama alatt hiánytalanul be kell nyújtani a hiteligénylést.</t>
    </r>
  </si>
  <si>
    <r>
      <t>A Közjegyzői díj becsült díja</t>
    </r>
    <r>
      <rPr>
        <vertAlign val="superscript"/>
        <sz val="11"/>
        <rFont val="Trebuchet MS"/>
        <family val="2"/>
        <charset val="238"/>
      </rPr>
      <t>4</t>
    </r>
    <r>
      <rPr>
        <sz val="11"/>
        <rFont val="Trebuchet MS"/>
        <family val="2"/>
        <charset val="238"/>
      </rPr>
      <t xml:space="preserve">*
</t>
    </r>
  </si>
  <si>
    <r>
      <t>Vagyonbiztosítás díja a fedezeti ingatlanra</t>
    </r>
    <r>
      <rPr>
        <vertAlign val="superscript"/>
        <sz val="11"/>
        <rFont val="Trebuchet MS"/>
        <family val="2"/>
        <charset val="238"/>
      </rPr>
      <t>5</t>
    </r>
    <r>
      <rPr>
        <sz val="11"/>
        <rFont val="Trebuchet MS"/>
        <family val="2"/>
        <charset val="238"/>
      </rPr>
      <t>* (ügyfél által választott Biztosítónak fizetendő rendszeres díj)</t>
    </r>
  </si>
  <si>
    <r>
      <t xml:space="preserve">A költségek és díjak mértékére vonatkozóan az aktuális Hirdetményben talál részletes tájékoztatást.
</t>
    </r>
    <r>
      <rPr>
        <vertAlign val="superscript"/>
        <sz val="11"/>
        <rFont val="Trebuchet MS"/>
        <family val="2"/>
        <charset val="238"/>
      </rPr>
      <t>4</t>
    </r>
    <r>
      <rPr>
        <sz val="11"/>
        <rFont val="Trebuchet MS"/>
        <family val="2"/>
        <charset val="238"/>
      </rPr>
      <t xml:space="preserve">* A Bank a visszavonásig tartó akció keretében egy közjegyzői okiratbafoglalás díját visszatéríti maximim 40.000 Ft összegig a kölcsön folyósításakor. A feltüntett díj már tartalmazza a díjvisszatérítést.
</t>
    </r>
    <r>
      <rPr>
        <vertAlign val="superscript"/>
        <sz val="11"/>
        <rFont val="Trebuchet MS"/>
        <family val="2"/>
        <charset val="238"/>
      </rPr>
      <t>5</t>
    </r>
    <r>
      <rPr>
        <sz val="11"/>
        <rFont val="Trebuchet MS"/>
        <family val="2"/>
        <charset val="238"/>
      </rPr>
      <t>* A Bank előírja a kölcsön fedezetéül szolgáló ingatlan(ok)ra a teljeskörű, legalább az ingatlan forgalmi értékére  szóló vagyonbiztosítást. Az ingatlanra megkötött vagyonbiztosítás után fizetendő biztosítási díjat a biztosítók egyedi díjszabásuk szerint határozzák meg. A biztosítást a teljes futamidő alatt fent kell tartani!</t>
    </r>
  </si>
  <si>
    <r>
      <t xml:space="preserve">Ön jogosult a hitel részleges vagy teljes előtörlesztésére. 
</t>
    </r>
    <r>
      <rPr>
        <b/>
        <sz val="11"/>
        <rFont val="Trebuchet MS"/>
        <family val="2"/>
        <charset val="238"/>
      </rPr>
      <t>Feltételek:</t>
    </r>
    <r>
      <rPr>
        <sz val="11"/>
        <rFont val="Trebuchet MS"/>
        <family val="2"/>
        <charset val="238"/>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rFont val="Trebuchet MS"/>
        <family val="2"/>
        <charset val="238"/>
      </rPr>
      <t>Előtörlesztési díj</t>
    </r>
    <r>
      <rPr>
        <sz val="11"/>
        <rFont val="Trebuchet MS"/>
        <family val="2"/>
        <charset val="238"/>
      </rPr>
      <t xml:space="preserve"> (az előtörlesztett összegre vetitíve)</t>
    </r>
    <r>
      <rPr>
        <b/>
        <sz val="11"/>
        <rFont val="Trebuchet MS"/>
        <family val="2"/>
        <charset val="238"/>
      </rPr>
      <t>:</t>
    </r>
    <r>
      <rPr>
        <sz val="11"/>
        <rFont val="Trebuchet MS"/>
        <family val="2"/>
        <charset val="238"/>
      </rPr>
      <t xml:space="preserve">
</t>
    </r>
  </si>
  <si>
    <r>
      <rPr>
        <b/>
        <sz val="11"/>
        <rFont val="Trebuchet MS"/>
        <family val="2"/>
        <charset val="238"/>
      </rPr>
      <t xml:space="preserve">Tájékoztatás a fedezetcseréről/a szerződés átruházásról: </t>
    </r>
    <r>
      <rPr>
        <sz val="11"/>
        <rFont val="Trebuchet MS"/>
        <family val="2"/>
        <charset val="238"/>
      </rPr>
      <t xml:space="preserve">
</t>
    </r>
    <r>
      <rPr>
        <b/>
        <sz val="11"/>
        <rFont val="Trebuchet MS"/>
        <family val="2"/>
        <charset val="238"/>
      </rPr>
      <t>Hitel átruházása:</t>
    </r>
    <r>
      <rPr>
        <sz val="11"/>
        <rFont val="Trebuchet MS"/>
        <family val="2"/>
        <charset val="238"/>
      </rPr>
      <t xml:space="preserve"> Önnek nincs lehetősége a hitel átruházására.
</t>
    </r>
    <r>
      <rPr>
        <b/>
        <sz val="11"/>
        <rFont val="Trebuchet MS"/>
        <family val="2"/>
        <charset val="238"/>
      </rPr>
      <t>Hitelkiváltás:</t>
    </r>
    <r>
      <rPr>
        <sz val="11"/>
        <rFont val="Trebuchet MS"/>
        <family val="2"/>
        <charset val="238"/>
      </rPr>
      <t xml:space="preserve"> Önnek lehetősége van ezt a hitelt más hitelezőhöz vagy más ingatlanra átvinni. A hitel más hitelezőhöz történő átvitele esetén az előtörlesztési igényét 15 napon belül kell bejelentenie. Az előtörlesztés díjának mértékéről a vonatkozó aktuális Hirdetményben és jelen tájékoztató 9. pontjában talál részletes tájékoztatást.
</t>
    </r>
    <r>
      <rPr>
        <b/>
        <sz val="11"/>
        <rFont val="Trebuchet MS"/>
        <family val="2"/>
        <charset val="238"/>
      </rPr>
      <t xml:space="preserve">Fedezetcsere: </t>
    </r>
    <r>
      <rPr>
        <sz val="11"/>
        <rFont val="Trebuchet MS"/>
        <family val="2"/>
        <charset val="238"/>
      </rPr>
      <t>A hitel más ingatlanra történő átvitele esetén a kölcsönszerződés és a zálogszerződés módosítása szükséges. A hitel más ingatlanra történő átvitele esetén az alábbi díjakat kell megfizetnie.</t>
    </r>
  </si>
  <si>
    <r>
      <rPr>
        <b/>
        <sz val="11"/>
        <rFont val="Trebuchet MS"/>
        <family val="2"/>
        <charset val="238"/>
      </rPr>
      <t xml:space="preserve">Döntésre vonatkozó határidő: </t>
    </r>
    <r>
      <rPr>
        <sz val="11"/>
        <rFont val="Trebuchet MS"/>
        <family val="2"/>
        <charset val="238"/>
      </rPr>
      <t xml:space="preserve">Miután kézhez kapta a hitelszerződés tervezetét a hitelezőtől, 15 nap gondolkodási idő áll a rendelkezésére a hitel felvételéről szóló döntéshez, de az ajánlatot - annak átgondolást követően - csak 3 nap eltelte után fogadhatja el. A kölcsönszerződés aláírására rendelkezésre álló határidő a pozitív döntésről szóló tájékoztató kézhetvételét követő 30 nap.
</t>
    </r>
    <r>
      <rPr>
        <b/>
        <sz val="11"/>
        <rFont val="Trebuchet MS"/>
        <family val="2"/>
        <charset val="238"/>
      </rPr>
      <t xml:space="preserve">Fedezetcsere: </t>
    </r>
    <r>
      <rPr>
        <sz val="11"/>
        <rFont val="Trebuchet MS"/>
        <family val="2"/>
        <charset val="238"/>
      </rPr>
      <t xml:space="preserve">Önnek joga van a hitel fedezetéül szolgáló ingatlan cseréjére. </t>
    </r>
  </si>
  <si>
    <r>
      <rPr>
        <b/>
        <sz val="11"/>
        <rFont val="Trebuchet MS"/>
        <family val="2"/>
        <charset val="238"/>
      </rPr>
      <t xml:space="preserve">Késedelmes teljesítés esetén: </t>
    </r>
    <r>
      <rPr>
        <sz val="11"/>
        <rFont val="Trebuchet MS"/>
        <family val="2"/>
        <charset val="238"/>
      </rPr>
      <t xml:space="preserve">amennyiben a hitel törlesztése nem érkezik meg határidőben a hitel törlesztésére kijelölt bankszámlára, a Bank jogosult késedelmi kamatot, illetve a késedelmes teljesítés miatti fizetési felszólítás díját felszámítani. A kamattámogatás nyújtásának feltétele, hogy ne rendelkezzen lejárt tőketartozással. Amennyiben lejárt tőketartozással rendelkezik, a mindenkor érvényes teljes Ügyleti (bruttó) kamatlábat köteles fizetni. Lejárt tőketartozásnak minősül a kölcsönszerződés felmondása miatt esedékessé vált tőketartozás, valamint a fel nem mondott kölcsönszerződésből eredő lejárt tőketartozás, amelynek törlesztési késedelme a 30 napot meghaladja.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
Adott esetben a </t>
    </r>
    <r>
      <rPr>
        <b/>
        <sz val="11"/>
        <rFont val="Trebuchet MS"/>
        <family val="2"/>
        <charset val="238"/>
      </rPr>
      <t>vállalt gyermekek meg nem születése</t>
    </r>
    <r>
      <rPr>
        <sz val="11"/>
        <rFont val="Trebuchet MS"/>
        <family val="2"/>
        <charset val="238"/>
      </rPr>
      <t>: amennyiben az esetlegesen vállalt gyermekek a gyermekvállalási határidő lejárta előtt nem születnek meg, a határidő lejárta után a mindenkor érvényes teljes Ügyleti (bruttó) kamatlábat köteles fizetni.</t>
    </r>
  </si>
  <si>
    <r>
      <rPr>
        <b/>
        <sz val="11"/>
        <rFont val="Trebuchet MS"/>
        <family val="2"/>
        <charset val="238"/>
      </rPr>
      <t xml:space="preserve">Hitelszerződés felmondása: </t>
    </r>
    <r>
      <rPr>
        <sz val="11"/>
        <rFont val="Trebuchet MS"/>
        <family val="2"/>
        <charset val="238"/>
      </rPr>
      <t xml:space="preserve">Az alábbi esetekben a Hitelező jogosult a jelen Kölcsönszerződést egyoldalúan azonnali hatállyal felmondani:
- az Adós a Kölcsönszerződésből fakadó bármely fizetési kötelezettségével írásos felszólítás és a kitűzött teljesítési póthatáridő ellenére késedelembe esik, vagy
- a Polgári Törvénykönyvről szóló 2013. évi V. törvény (a továbbiakban: Ptk.) 6:387. §-ában meghatározott
valamennyi esetben;
- a jelen Kölcsönszerződésben, az Üzletszabályzatban és a Kockázatvállalással kapcsolatos Lakossági ügyletekre vonatkozó Általános Szerződési Feltételekben kifejezetten ily módon meghatározott esetekben;
- ha Adós a Kölcsönszerződés, az Üzletszabályzat és a Kockázatvállalással kapcsolatos Lakossági ügyletekre vonatkozó Általános Szerződési Feltételek bármely rendelkezését súlyosan megsérti;
- ha Adós vagyonára, vagy a biztosítékul lekötött zálogtárgyra bírósági, vagy más hatósági végrehajtás indul, vagy valamely zálogtárgyra más zálogjogosult a bírósági végrehajtás mellőzésével kielégítési jogát gyakorolja;
- ha az Ingatlanra vonatkozó vagyonbiztosítás bármely okból megszüntetésre kerül, illetve a biztosítási esemény bekövetkeztétől számított 60 napon belül Felek írásban nem állapodnak meg a Hitelező részére a biztosító által folyósított vagy folyósításra kerülő biztosítási összeg felhasználásáról, illetve az Adós a helyreállítási kötelezettséggel átadott biztosítási összeget e céltól eltérően használja fel;
- az Ingatlan átalakítása során az Ingatlanban jelentős (forgalmi értékének 25%-át meghaladó) értékcsökkenés áll be;
</t>
    </r>
  </si>
  <si>
    <r>
      <t xml:space="preserve">- az Adós halála, amennyiben Hitelezőnek a Kölcsönszerződés folytatásáról Adós örököseivel vagy Adóstárssal 90 napon belül nem sikerül megegyeznie;
- a Kölcsönszerződés biztosítékául kötött ingatlant terhelő jelzálogszerződés, készfizető kezesi szerződés, stb. rendelkezéseinek megszegése;
- az Adósnak a Hitelezőnél nyitott és a kölcsön törlesztésének alapjául szolgáló számlája megszüntetésre kerül;
- ha az Adós/Zálogkötelezett az Ingatlant bérbe vagy használatba adja, illetve elidegeníti bármely jogcímen, vagy ezek bármelyikét megkísérli;
- ha a Kölcsön biztosítékául szolgáló bármely ingatlanra a Hitelező előzetes írásbeli hozzájárulása nélkül olyan jogot vagy tényt jegyeznek be – vagy az ingatlan-nyilvántartásban széljeggyel igazolhatóan ilyennek bejegyzése folyamatban van -, amely a Hitelező kielégítési jogának lehetséges mértékét vagy igényérvényesítésének lehetséges időpontját a Hitelező számára kedvezőtlenül befolyásolhatja (pl. végrehajtási jog, további jelzálogjog, perfeljegyzés);
- ha az Adós/Zálogkötelezett a kölcsön fedezetével, biztosítékával vagy céljának megvalósulásával kapcsolatos vizsgálatot – figyelmeztetés ellenére – akadályozza, ideértve azt az esetet is, ha a Kockázatvállalással kapcsolatos Lakossági ügyletekre vonatkozó Általános Szerződési Feltételek vagy a jelen Kölcsönszerződés, valamint a jogszabályban előírt adatszolgáltatási, együttműködési kötelezettségét megszegi.
- adott esetben az életbiztosítás díj nemfizetés miatt felmondásra kerül, illetve a biztosítási szerződést úgy módosítják, hogy Hitelező kedvezményezettsége megszűnik.
Felmondási Esemény bekövetkezése esetén a Hitelező jogosult a jelen Kölcsönszerződést egyoldalúan azonnali hatállyal felmondani. 
</t>
    </r>
    <r>
      <rPr>
        <b/>
        <sz val="11"/>
        <rFont val="Trebuchet MS"/>
        <family val="2"/>
        <charset val="238"/>
      </rPr>
      <t>Amennyiben nehézségei támadnak a havi törlesztőrészletek fizetésével kapcsolatban, kérjük, mielőbb keressen meg minket, hogy megfelelő megoldást találjunk a problémára.
A részletfizetések elmaradása esetén otthona végső esetben végrehajtás alá kerülhet.</t>
    </r>
  </si>
  <si>
    <r>
      <t>Késedelmi kamat mértéke: ügyleti kamat*1,5+3%., de legfeljebb a termék THM</t>
    </r>
    <r>
      <rPr>
        <vertAlign val="subscript"/>
        <sz val="11"/>
        <color theme="1"/>
        <rFont val="Trebuchet MS"/>
        <family val="2"/>
        <charset val="238"/>
      </rPr>
      <t>max</t>
    </r>
    <r>
      <rPr>
        <sz val="11"/>
        <color theme="1"/>
        <rFont val="Trebuchet MS"/>
        <family val="2"/>
        <charset val="238"/>
      </rPr>
      <t xml:space="preserve">-a, amely az esedékessé vált, de meg nem fizetett tőke, kamat és díjtartozások után kerül felszámításra azzal, lakáscélú kölcsönzerződés esetében a szerződés felmondását követő kilencvenedik nap eltelte után a Bank az ügyfél nem teljesítése miatt a felmondás napját megelőző napon érvényes ügyleti kamatot, költséget és díjat meg nem haladó mértékű késedelmi kamatot, költséget és díjat számít fel. </t>
    </r>
  </si>
  <si>
    <t>A kölcsön biztosítéka minden esetben magánszemély Zálogkötezetett tulajdonában álló, Magyarország területén fekvő, önálló forgalomképes ingatlanon alapított önálló zálogjog.</t>
  </si>
  <si>
    <t>A törlesztés módja:   A Bank a törlesztés  esedékességkor - az ügyfél kölcsönszerződésében foglalt felhatalmazása alapján - megterheli a kölcsönfelvevő GRÁNIT Banknál vezetett bankszámláját. 
Annuitásos törlesztés: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 Az adós a kölcsönt kérheti 24 hónap türelmi idős változatban, mely azt jelenti, hogy 24 hónapon át csak kamatot fizet, a tőketörlesztés a 25. hónaptól kezdődik. Emiatt a törlesztő részlet a 25. hónapban megemelkedik.
A  kölcsönt és annak járulékait minden naptári hónap 10. napján esedékes havi törlesztő részletekben kell megfizetni. Ha az esedékesség napja munkaszüneti- vagy bankszünnap, akkor az azt megelőző utolsó banki munkanapon már biztosítani kell a lakossági bankszámlán a törlesztéshez szükséges fedezetet.</t>
  </si>
  <si>
    <t>GRÁNIT Bank Zrt.   (Cégjegyzékszám: 01-10-041028)
(1095 Budapest, Lechner Ödön fasor 8. )</t>
  </si>
  <si>
    <r>
      <t>Rezidens:</t>
    </r>
    <r>
      <rPr>
        <vertAlign val="superscript"/>
        <sz val="10"/>
        <rFont val="Trebuchet MS"/>
        <family val="2"/>
        <charset val="238"/>
      </rPr>
      <t>1</t>
    </r>
  </si>
  <si>
    <r>
      <t>Állandó lakcím:</t>
    </r>
    <r>
      <rPr>
        <vertAlign val="superscript"/>
        <sz val="10"/>
        <rFont val="Trebuchet MS"/>
        <family val="2"/>
        <charset val="238"/>
      </rPr>
      <t>2</t>
    </r>
  </si>
  <si>
    <r>
      <t>Nyelvvizsgák száma:</t>
    </r>
    <r>
      <rPr>
        <vertAlign val="superscript"/>
        <sz val="10"/>
        <rFont val="Trebuchet MS"/>
        <family val="2"/>
        <charset val="238"/>
      </rPr>
      <t>3</t>
    </r>
  </si>
  <si>
    <t>Havi nettó jövedelme:</t>
  </si>
  <si>
    <r>
      <t>Önnel együtt, egy háztartásban élő személyek száma:</t>
    </r>
    <r>
      <rPr>
        <vertAlign val="superscript"/>
        <sz val="10"/>
        <rFont val="Trebuchet MS"/>
        <family val="2"/>
        <charset val="238"/>
      </rPr>
      <t>4</t>
    </r>
  </si>
  <si>
    <t>(saját magát is beleszámolva)</t>
  </si>
  <si>
    <r>
      <t>Rendszeres megtakarítás (megtakarítási elemet is tartalmazó életbiztosítás, önkéntes nyugdíjpénztár, lakás-takarékpénztár) havi összege:</t>
    </r>
    <r>
      <rPr>
        <vertAlign val="superscript"/>
        <sz val="10"/>
        <rFont val="Trebuchet MS"/>
        <family val="2"/>
        <charset val="238"/>
      </rPr>
      <t>5</t>
    </r>
  </si>
  <si>
    <r>
      <t>Típusa:</t>
    </r>
    <r>
      <rPr>
        <vertAlign val="superscript"/>
        <sz val="10"/>
        <rFont val="Trebuchet MS"/>
        <family val="2"/>
        <charset val="238"/>
      </rPr>
      <t>6</t>
    </r>
  </si>
  <si>
    <r>
      <t>HUF/CHF/EUR/JPY</t>
    </r>
    <r>
      <rPr>
        <vertAlign val="superscript"/>
        <sz val="10"/>
        <rFont val="Trebuchet MS"/>
        <family val="2"/>
        <charset val="238"/>
      </rPr>
      <t>7</t>
    </r>
  </si>
  <si>
    <r>
      <t>Visszatérítendő hazai vagy uniós költségvetési forrású támogatás?</t>
    </r>
    <r>
      <rPr>
        <vertAlign val="superscript"/>
        <sz val="10"/>
        <rFont val="Trebuchet MS"/>
        <family val="2"/>
        <charset val="238"/>
      </rPr>
      <t>8</t>
    </r>
  </si>
  <si>
    <r>
      <t>1</t>
    </r>
    <r>
      <rPr>
        <sz val="8"/>
        <rFont val="Trebuchet MS"/>
        <family val="2"/>
        <charset val="238"/>
      </rPr>
      <t xml:space="preserve"> Rezidens: Azok a természetes személyek, akik egy évnél hosszabb ideig Magyarországon tartózkodnak, kivéve a Magyarországon működő külföldi diplomáciai testületek külföldi tagjait és családtagjaikat, de ideértve a külföldön működő magyar diplomáciai testületek magyar alkalmazottait és családtagjaikat.  A jogi személyiséggel bíró, illetve azzal nem rendelkező Magyarországon bejegyzett társas és egyéni vállalkozások, társadalmi testületek, non profit intézmények és kormányzati szervek. Magyar rezidensnek minősülnek a Magyarországon bejegyzett vámszabadterületi és a bármilyen devizakülföldi jogosítvánnyal rendelkező vállalkozások is.</t>
    </r>
  </si>
  <si>
    <r>
      <t>2</t>
    </r>
    <r>
      <rPr>
        <sz val="8"/>
        <rFont val="Trebuchet MS"/>
        <family val="2"/>
        <charset val="238"/>
      </rPr>
      <t xml:space="preserve"> Külföldi cím esetén kérjük az országot is megadni.</t>
    </r>
  </si>
  <si>
    <r>
      <t xml:space="preserve">3 </t>
    </r>
    <r>
      <rPr>
        <sz val="8"/>
        <rFont val="Trebuchet MS"/>
        <family val="2"/>
        <charset val="238"/>
      </rPr>
      <t>Egy nyelvből csak egy vizsga, a legmagasabb fokozatú írható be.</t>
    </r>
  </si>
  <si>
    <r>
      <t xml:space="preserve">4  </t>
    </r>
    <r>
      <rPr>
        <sz val="8"/>
        <rFont val="Trebuchet MS"/>
        <family val="2"/>
        <charset val="238"/>
      </rPr>
      <t>Vásárlási hitelkérelem esetén a hitelcél megvalósulását követő együttköltözők létszámát szükséges megadni.</t>
    </r>
  </si>
  <si>
    <r>
      <t>5</t>
    </r>
    <r>
      <rPr>
        <sz val="8"/>
        <rFont val="Trebuchet MS"/>
        <family val="2"/>
        <charset val="238"/>
      </rPr>
      <t xml:space="preserve"> Az a befizetés vehető figyelembe, amelyet a kérelem benyújtását legalább hat hónappal megelőzően kötött szerződés alapján fizet a kölcsönigénylő.</t>
    </r>
  </si>
  <si>
    <r>
      <t>6</t>
    </r>
    <r>
      <rPr>
        <sz val="8"/>
        <rFont val="Trebuchet MS"/>
        <family val="2"/>
        <charset val="238"/>
      </rPr>
      <t xml:space="preserve"> Pl. személyi hitel, lakáshitel, jelzálogkölcsön, folyószámlahitel, hitelkártya, egyéb</t>
    </r>
  </si>
  <si>
    <r>
      <t>7</t>
    </r>
    <r>
      <rPr>
        <sz val="8"/>
        <rFont val="Trebuchet MS"/>
        <family val="2"/>
        <charset val="238"/>
      </rPr>
      <t xml:space="preserve"> A megfelelőt húzza alá.</t>
    </r>
  </si>
  <si>
    <r>
      <t xml:space="preserve">8 </t>
    </r>
    <r>
      <rPr>
        <sz val="8"/>
        <rFont val="Trebuchet MS"/>
        <family val="2"/>
        <charset val="238"/>
      </rPr>
      <t>Pl. MFB energiahatékonysági hitel</t>
    </r>
  </si>
  <si>
    <t>granit123</t>
  </si>
  <si>
    <t>4.1.  Havi Bruttó jövedelmek (utolsó hat havi átlag)</t>
  </si>
  <si>
    <t xml:space="preserve">Bruttó alapfizetés:                         </t>
  </si>
  <si>
    <r>
      <t>Havi bruttó jövedelmek összesen</t>
    </r>
    <r>
      <rPr>
        <sz val="10"/>
        <rFont val="Trebuchet MS"/>
        <family val="2"/>
        <charset val="238"/>
      </rPr>
      <t xml:space="preserve">:                                   </t>
    </r>
  </si>
  <si>
    <t>4.2 Havi levonások (utolsó hat havi átlag)</t>
  </si>
  <si>
    <t>Egyéb levonások:</t>
  </si>
  <si>
    <t>Levonás oka (pl. gyermektartási díj, végrehajtás stb.)</t>
  </si>
  <si>
    <t>4.3. Havi nettó jövedelmek (utolsó hat havi átlag)</t>
  </si>
  <si>
    <r>
      <t xml:space="preserve">Nettó jövedelem: 
</t>
    </r>
    <r>
      <rPr>
        <i/>
        <sz val="10"/>
        <rFont val="Trebuchet MS"/>
        <family val="2"/>
        <charset val="238"/>
      </rPr>
      <t>(Bruttó jövedelmek összesen - Levonások összesen)</t>
    </r>
  </si>
  <si>
    <t>Havi nettó jövedelmek összesen (utolsó hat havi átlaga):</t>
  </si>
  <si>
    <r>
      <t xml:space="preserve">Amennyiben a jövedelem nem lakossági folyószámlára érkezik, akkor a munkáltatói jövedelemigazoláson felül NAV által a hiteligénylő magánszemélyre vonatkozóan kiállított eredeti jövedelemigazolás a megelőző lezárt adóévről.
Amennyiben a kölcsönigénylő jövedelme nem lakossági folyószámlára érkezik </t>
    </r>
    <r>
      <rPr>
        <b/>
        <u/>
        <sz val="11"/>
        <color theme="1"/>
        <rFont val="Trebuchet MS"/>
        <family val="2"/>
        <charset val="238"/>
      </rPr>
      <t>és</t>
    </r>
    <r>
      <rPr>
        <sz val="11"/>
        <color theme="1"/>
        <rFont val="Trebuchet MS"/>
        <family val="2"/>
        <charset val="238"/>
      </rPr>
      <t xml:space="preserve"> az előző lezárt adóévben más cég alkalmazottja (is) volt, akkor a jelenlegi munkáltató által a NAV (régebben: APEH) részére benyújtott utolsó 6 havi E-bevallása is benyújtandó a hiteligénylő magánszemélyre vonatkozóan.</t>
    </r>
  </si>
  <si>
    <r>
      <t>Átvételi elismervény</t>
    </r>
    <r>
      <rPr>
        <sz val="9"/>
        <rFont val="Trebuchet MS"/>
        <family val="2"/>
        <charset val="238"/>
      </rPr>
      <t xml:space="preserve"> ügyfél által aláírva</t>
    </r>
  </si>
  <si>
    <r>
      <t xml:space="preserve">Személyi igazolvány </t>
    </r>
    <r>
      <rPr>
        <sz val="13"/>
        <rFont val="Trebuchet MS"/>
        <family val="2"/>
        <charset val="238"/>
      </rPr>
      <t xml:space="preserve">vagy </t>
    </r>
    <r>
      <rPr>
        <b/>
        <sz val="13"/>
        <rFont val="Trebuchet MS"/>
        <family val="2"/>
        <charset val="238"/>
      </rPr>
      <t xml:space="preserve">Vezetői engedély </t>
    </r>
    <r>
      <rPr>
        <sz val="13"/>
        <rFont val="Trebuchet MS"/>
        <family val="2"/>
        <charset val="238"/>
      </rPr>
      <t>vagy</t>
    </r>
    <r>
      <rPr>
        <b/>
        <sz val="13"/>
        <rFont val="Trebuchet MS"/>
        <family val="2"/>
        <charset val="238"/>
      </rPr>
      <t xml:space="preserve"> Útlevél </t>
    </r>
    <r>
      <rPr>
        <sz val="13"/>
        <rFont val="Trebuchet MS"/>
        <family val="2"/>
        <charset val="238"/>
      </rPr>
      <t>másolata</t>
    </r>
  </si>
  <si>
    <r>
      <t xml:space="preserve">Lakcímet igazoló hatósági igazolvány </t>
    </r>
    <r>
      <rPr>
        <sz val="13"/>
        <rFont val="Trebuchet MS"/>
        <family val="2"/>
        <charset val="238"/>
      </rPr>
      <t>másolata</t>
    </r>
  </si>
  <si>
    <r>
      <t xml:space="preserve">Adóigazolvány </t>
    </r>
    <r>
      <rPr>
        <sz val="13"/>
        <rFont val="Trebuchet MS"/>
        <family val="2"/>
        <charset val="238"/>
      </rPr>
      <t>másolata</t>
    </r>
  </si>
  <si>
    <r>
      <rPr>
        <b/>
        <sz val="13"/>
        <rFont val="Trebuchet MS"/>
        <family val="2"/>
        <charset val="238"/>
      </rPr>
      <t xml:space="preserve">Vagyonjogi megállapodás </t>
    </r>
    <r>
      <rPr>
        <sz val="13"/>
        <rFont val="Trebuchet MS"/>
        <family val="2"/>
        <charset val="238"/>
      </rPr>
      <t>közös tulajdon megszüntetése esetén</t>
    </r>
  </si>
  <si>
    <r>
      <t xml:space="preserve">Földhivatal által érkeztetett eredeti </t>
    </r>
    <r>
      <rPr>
        <b/>
        <sz val="13"/>
        <rFont val="Trebuchet MS"/>
        <family val="2"/>
        <charset val="238"/>
      </rPr>
      <t>adásvételi szerződés</t>
    </r>
  </si>
  <si>
    <r>
      <rPr>
        <b/>
        <sz val="13"/>
        <rFont val="Trebuchet MS"/>
        <family val="2"/>
        <charset val="238"/>
      </rPr>
      <t>Lakásbiztosítási kötvény</t>
    </r>
    <r>
      <rPr>
        <sz val="13"/>
        <rFont val="Trebuchet MS"/>
        <family val="2"/>
        <charset val="238"/>
      </rPr>
      <t xml:space="preserve"> és utolsó</t>
    </r>
    <r>
      <rPr>
        <b/>
        <sz val="13"/>
        <rFont val="Trebuchet MS"/>
        <family val="2"/>
        <charset val="238"/>
      </rPr>
      <t xml:space="preserve"> díjfizetését igazoló bizonylat</t>
    </r>
  </si>
  <si>
    <r>
      <t>Utolsó 6 havi bankszámla kivonat</t>
    </r>
    <r>
      <rPr>
        <sz val="13"/>
        <rFont val="Trebuchet MS"/>
        <family val="2"/>
        <charset val="238"/>
      </rPr>
      <t xml:space="preserve"> az ellátás összegéről</t>
    </r>
  </si>
  <si>
    <r>
      <t>Nyugdíjfolyósító Igazgatóság Igazolása</t>
    </r>
    <r>
      <rPr>
        <sz val="13"/>
        <rFont val="Trebuchet MS"/>
        <family val="2"/>
        <charset val="238"/>
      </rPr>
      <t xml:space="preserve"> az ellátás összegéről</t>
    </r>
  </si>
  <si>
    <r>
      <t>NAV</t>
    </r>
    <r>
      <rPr>
        <sz val="13"/>
        <rFont val="Trebuchet MS"/>
        <family val="2"/>
        <charset val="238"/>
      </rPr>
      <t xml:space="preserve"> </t>
    </r>
    <r>
      <rPr>
        <b/>
        <sz val="13"/>
        <rFont val="Trebuchet MS"/>
        <family val="2"/>
        <charset val="238"/>
      </rPr>
      <t>jövedelemigazolás</t>
    </r>
  </si>
  <si>
    <r>
      <t>Egyéb vállalkozás esetén</t>
    </r>
    <r>
      <rPr>
        <sz val="14"/>
        <rFont val="Trebuchet MS"/>
        <family val="2"/>
        <charset val="238"/>
      </rPr>
      <t xml:space="preserve"> (Bt., Kft., Kkt, egyszemélyes Zrt., saját cégből szerzett jövedelem esetén)</t>
    </r>
  </si>
  <si>
    <r>
      <t xml:space="preserve">Járadék esetén </t>
    </r>
    <r>
      <rPr>
        <sz val="14"/>
        <rFont val="Trebuchet MS"/>
        <family val="2"/>
        <charset val="238"/>
      </rPr>
      <t xml:space="preserve">(pl. életjáradék, sportolói járadék, állami kitüntetéshez kapcsolódó járadék, stb.) </t>
    </r>
  </si>
  <si>
    <r>
      <t>Útlevél</t>
    </r>
    <r>
      <rPr>
        <sz val="13"/>
        <rFont val="Trebuchet MS"/>
        <family val="2"/>
        <charset val="238"/>
      </rPr>
      <t xml:space="preserve"> másolata</t>
    </r>
  </si>
  <si>
    <t>2023.05.01 - 2023.05.31</t>
  </si>
  <si>
    <t>2023.06.01 - 2023.06.30</t>
  </si>
  <si>
    <t>Tulajdoni lap és Térképmásolat</t>
  </si>
  <si>
    <t>Földhivatal online felületén vagy személyesen lekért hiteles tulajdoni lap és családi házak esetén térképmásolat. (Évente 2 alkalommal ingyenesen lekérhető az Ügyfélkapun keresztül.) Amennyiben nem kerül csatolásra, a bank kéri le és a hirdetmény szerinti díjat számítja fel. (Digitális Ügyfélfiókba az egyéb dokumentumok közé tudja feltölteni.)</t>
  </si>
  <si>
    <t>Energetikusi nyilatkozat</t>
  </si>
  <si>
    <t>Új ingatlan vásárlása, valamint építés esetén szükséges a GRÁNIT Bank formanyomtatványán; amennyiben még nem rendelkezik hatósági energetikai tanúsítvánnyal.</t>
  </si>
  <si>
    <t>Hatósági energetikai tanúsítvány</t>
  </si>
  <si>
    <t>Vásárlás esetén benyújtása valamennyi ingatlanfedezet esetén szükséges.</t>
  </si>
  <si>
    <r>
      <t xml:space="preserve">Földhivatal által érkeztetett eredeti </t>
    </r>
    <r>
      <rPr>
        <b/>
        <sz val="13"/>
        <rFont val="Trebuchet MS"/>
        <family val="2"/>
        <charset val="238"/>
      </rPr>
      <t>ingatlan nyilvántartási  kérelem</t>
    </r>
  </si>
  <si>
    <t>A tulajdonjog lemondó nyilatkozat letétbe helyezéséről. Ügyvéd által ellenjegyzett, legkésőbb folyósításig benyújtandó. Amennyiben az adásvételi szerződés tartalmazza a letétkezelést, nem szükséges</t>
  </si>
  <si>
    <t>Főbb munkamenetenkénti költségkimutatás a bővítési/felújítási munkákról - Gránit Bank formanyomtatványán (excel).</t>
  </si>
  <si>
    <r>
      <t xml:space="preserve">155/2016. (VI.13.) Korm.rend. 1. melléklet </t>
    </r>
    <r>
      <rPr>
        <sz val="13"/>
        <rFont val="Trebuchet MS"/>
        <family val="2"/>
        <charset val="238"/>
      </rPr>
      <t xml:space="preserve">másolata és az annak mellékletét képező </t>
    </r>
    <r>
      <rPr>
        <b/>
        <sz val="13"/>
        <rFont val="Trebuchet MS"/>
        <family val="2"/>
        <charset val="238"/>
      </rPr>
      <t>egyszerű bejelentési dokumentáció</t>
    </r>
  </si>
  <si>
    <t>Megynyitott E-Napló</t>
  </si>
  <si>
    <t xml:space="preserve">építés, bővítés esetén kötelező, az igénylők nevére szóló </t>
  </si>
  <si>
    <r>
      <t xml:space="preserve">Földhivatal által érkeztetett eredeti </t>
    </r>
    <r>
      <rPr>
        <b/>
        <sz val="13"/>
        <rFont val="Trebuchet MS"/>
        <family val="2"/>
        <charset val="238"/>
      </rPr>
      <t>ingatlannyilvántartási kérelem</t>
    </r>
  </si>
  <si>
    <t>Egyszerű bejelentéshez kötött építési tevékenység bejelentésének megtörténtének hatósági visszaigazolása</t>
  </si>
  <si>
    <r>
      <t>Munkáltatói jövedelemigazolás</t>
    </r>
    <r>
      <rPr>
        <sz val="13"/>
        <rFont val="Trebuchet MS"/>
        <family val="2"/>
        <charset val="238"/>
      </rPr>
      <t xml:space="preserve"> </t>
    </r>
  </si>
  <si>
    <t>30 napnál nem régebbi, GRÁNIT Bank Zrt. formanyomtatványon igazolva, cégszerűen aláírva.</t>
  </si>
  <si>
    <t>Jövedelemnyilatkozat</t>
  </si>
  <si>
    <t>Legalább 6 hónapja azonos munkáltatótól, a Gránit Banknál vezetett lakossági folyószámlára érkező bér esetén a munkáltatói jövedelemigazolás kiváltható munkavállalói jövedelemnyilatkozattal is. (Gránit Bank Zrt. formanyomtatványán)</t>
  </si>
  <si>
    <t>Utolsó évi határozat a nyugdíj összegéről</t>
  </si>
  <si>
    <t>Adóbevallás</t>
  </si>
  <si>
    <t>A megelőző, lezárt adóévre vonatkozó adóbevallás(ok). A Digitális Ügyfélfiókban az egyéb dokumentumok közé tudja feltölteni</t>
  </si>
  <si>
    <t>KATA-s adózást választó – 2022-ben egész évben így adózó – egyéni vállalkozásból származó jövedelem esetén</t>
  </si>
  <si>
    <t>NAV jövedelem igazolás és aláírt adóbevallás</t>
  </si>
  <si>
    <t>Az utolsó két évről. (30 napnál nem régebbi NAV jövedelem igazolás.)</t>
  </si>
  <si>
    <t>SZJA bevallás</t>
  </si>
  <si>
    <t>2023.07.01 - 2023.07.31</t>
  </si>
  <si>
    <t>Fedezet értékelési díj** (fedezetenként fizetendő a hitelkérelem benyújtásakor a Banknak) - nem tartalmazza a tulajdoni lap és térképmásolat díját.</t>
  </si>
  <si>
    <t>Tulajdoni lap Takarnetről történő lekérdezésének díja (Földhivatalnak fizetendő)</t>
  </si>
  <si>
    <t>2023.08.01 - 2023.08.31</t>
  </si>
  <si>
    <t>Lakóingatlanok esetén, fedezetenként fizetendő díj. A díj  a 2023. 07. 31-ig benyújtott kérelmeknél tartalmazza a kérelem benyújtásakor szükséges 1 db e-hiteles tulajdoni lap és 1 db térképmásolat díját. A 2023.08.01-től benyújtott kérelmeknél nem tartalmazza a kérelem benyújtásához szükséges tulajdoni lap és térképmásolat díját. Az igénylőnek a Takarnet rendszerből lehetősége van –akár díjmentesen is- az e-hiteles teljes tulajdoni lap és családi ház jellegű ingatlanoknál a térképmásolat lekérésére és benyújtására. Ennek elmaradása esetén a bank a Hirdetmény szerinti díjakat számítja fel a teljes tulajdoni lapért és térképmásolatért. Egyéb ingatlantípusok esetében a Bank egyedi díjszabást alkalmaz.</t>
  </si>
  <si>
    <t>Hatályos: 2023.09.01-től</t>
  </si>
  <si>
    <t>Közzététel: 2023.08.31.</t>
  </si>
  <si>
    <r>
      <t>Az Államadósság Kezelő Központ Zrt. által havi rendszerességgel közzétett referenciahozam, amely a közzétételt megelőző három naptári hónapban tartott 5 éves névleges futamidejű államkötvény aukcióin kialakult átlaghozamok adott aukciókon elfogadott mennyiségekkel súlyozott számtani átlaga, amelyet a közzétételt követő naptári hónapban alkalmazandó.</t>
    </r>
    <r>
      <rPr>
        <b/>
        <sz val="10"/>
        <rFont val="Trebuchet MS"/>
        <family val="2"/>
        <charset val="238"/>
      </rPr>
      <t xml:space="preserve"> </t>
    </r>
    <r>
      <rPr>
        <b/>
        <i/>
        <sz val="10"/>
        <rFont val="Trebuchet MS"/>
        <family val="2"/>
        <charset val="238"/>
      </rPr>
      <t>2023. szeptember</t>
    </r>
    <r>
      <rPr>
        <b/>
        <sz val="10"/>
        <rFont val="Trebuchet MS"/>
        <family val="2"/>
        <charset val="238"/>
      </rPr>
      <t xml:space="preserve"> </t>
    </r>
    <r>
      <rPr>
        <sz val="10"/>
        <rFont val="Trebuchet MS"/>
        <family val="2"/>
        <charset val="238"/>
      </rPr>
      <t>hónapra alkalmazandó mértéke:</t>
    </r>
    <r>
      <rPr>
        <b/>
        <i/>
        <sz val="10"/>
        <rFont val="Trebuchet MS"/>
        <family val="2"/>
        <charset val="238"/>
      </rPr>
      <t xml:space="preserve"> 8,00%</t>
    </r>
  </si>
  <si>
    <r>
      <t>A hirdetményben történt változások</t>
    </r>
    <r>
      <rPr>
        <i/>
        <sz val="10"/>
        <rFont val="Trebuchet MS"/>
        <family val="2"/>
        <charset val="238"/>
      </rPr>
      <t xml:space="preserve"> dőlt</t>
    </r>
    <r>
      <rPr>
        <sz val="10"/>
        <rFont val="Trebuchet MS"/>
        <family val="2"/>
        <charset val="238"/>
      </rPr>
      <t xml:space="preserve"> betűvel kerülnek feltüntetésre. A változás oka:  </t>
    </r>
    <r>
      <rPr>
        <i/>
        <sz val="10"/>
        <rFont val="Trebuchet MS"/>
        <family val="2"/>
        <charset val="238"/>
      </rPr>
      <t xml:space="preserve">az 5 éves ÁKKH értékének változása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</si>
</sst>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6" formatCode="#,##0\ &quot;Ft&quot;;[Red]\-#,##0\ &quot;Ft&quot;"/>
    <numFmt numFmtId="8" formatCode="#,##0.00\ &quot;Ft&quot;;[Red]\-#,##0.00\ &quot;Ft&quot;"/>
    <numFmt numFmtId="42" formatCode="_-* #,##0\ &quot;Ft&quot;_-;\-* #,##0\ &quot;Ft&quot;_-;_-* &quot;-&quot;\ &quot;Ft&quot;_-;_-@_-"/>
    <numFmt numFmtId="44" formatCode="_-* #,##0.00\ &quot;Ft&quot;_-;\-* #,##0.00\ &quot;Ft&quot;_-;_-* &quot;-&quot;??\ &quot;Ft&quot;_-;_-@_-"/>
    <numFmt numFmtId="164" formatCode="_-* #,##0.00\ _F_t_-;\-* #,##0.00\ _F_t_-;_-* &quot;-&quot;??\ _F_t_-;_-@_-"/>
    <numFmt numFmtId="165" formatCode="#,##0\ &quot;Ft&quot;"/>
    <numFmt numFmtId="166" formatCode="_-* #,##0\ [$Ft-40E]_-;\-* #,##0\ [$Ft-40E]_-;_-* &quot;-&quot;??\ [$Ft-40E]_-;_-@_-"/>
    <numFmt numFmtId="167" formatCode="_-* #,##0\ _F_t_-;\-* #,##0\ _F_t_-;_-* &quot;-&quot;??\ _F_t_-;_-@_-"/>
    <numFmt numFmtId="168" formatCode="#,##0\ [$Ft-40E];[Red]\-#,##0\ [$Ft-40E]"/>
    <numFmt numFmtId="169" formatCode="0.0%"/>
    <numFmt numFmtId="170" formatCode="0.0000000%"/>
    <numFmt numFmtId="171" formatCode="0&quot; hónap&quot;"/>
    <numFmt numFmtId="172" formatCode="0&quot; db&quot;"/>
    <numFmt numFmtId="173" formatCode="#,##0\ [$Ft-40E];\-#,##0\ [$Ft-40E]"/>
    <numFmt numFmtId="174" formatCode="_-* #,##0\ &quot;Ft&quot;_-;\-* #,##0\ &quot;Ft&quot;_-;_-* &quot;-&quot;??\ &quot;Ft&quot;_-;_-@_-"/>
    <numFmt numFmtId="175" formatCode="#,##0.00\ &quot;Ft&quot;"/>
    <numFmt numFmtId="176" formatCode="_-* #,##0.00\ [$Ft-40E]_-;\-* #,##0.00\ [$Ft-40E]_-;_-* &quot;-&quot;??\ [$Ft-40E]_-;_-@_-"/>
    <numFmt numFmtId="177" formatCode="#,##0.0\ &quot;Ft&quot;"/>
    <numFmt numFmtId="178" formatCode="0.0"/>
    <numFmt numFmtId="179" formatCode="0.0000%"/>
  </numFmts>
  <fonts count="153" x14ac:knownFonts="1">
    <font>
      <sz val="11"/>
      <color theme="1"/>
      <name val="Calibri"/>
      <family val="2"/>
      <charset val="238"/>
      <scheme val="minor"/>
    </font>
    <font>
      <sz val="10"/>
      <name val="Arial"/>
      <family val="2"/>
      <charset val="238"/>
    </font>
    <font>
      <b/>
      <sz val="12"/>
      <name val="Tahoma"/>
      <family val="2"/>
      <charset val="238"/>
    </font>
    <font>
      <sz val="10"/>
      <name val="Tahoma"/>
      <family val="2"/>
      <charset val="238"/>
    </font>
    <font>
      <u/>
      <sz val="10"/>
      <name val="Tahoma"/>
      <family val="2"/>
      <charset val="238"/>
    </font>
    <font>
      <b/>
      <u/>
      <sz val="10"/>
      <name val="Tahoma"/>
      <family val="2"/>
      <charset val="238"/>
    </font>
    <font>
      <sz val="11"/>
      <name val="Tahoma"/>
      <family val="2"/>
      <charset val="238"/>
    </font>
    <font>
      <b/>
      <sz val="11"/>
      <name val="Tahoma"/>
      <family val="2"/>
      <charset val="238"/>
    </font>
    <font>
      <b/>
      <sz val="10"/>
      <name val="Tahoma"/>
      <family val="2"/>
      <charset val="238"/>
    </font>
    <font>
      <sz val="8"/>
      <name val="Tahoma"/>
      <family val="2"/>
      <charset val="238"/>
    </font>
    <font>
      <sz val="11"/>
      <color indexed="8"/>
      <name val="Calibri"/>
      <family val="2"/>
      <charset val="238"/>
    </font>
    <font>
      <b/>
      <sz val="12"/>
      <color indexed="9"/>
      <name val="Calibri"/>
      <family val="2"/>
      <charset val="238"/>
    </font>
    <font>
      <sz val="12"/>
      <color indexed="8"/>
      <name val="Calibri"/>
      <family val="2"/>
      <charset val="238"/>
    </font>
    <font>
      <b/>
      <sz val="10"/>
      <color indexed="8"/>
      <name val="Arial"/>
      <family val="2"/>
      <charset val="238"/>
    </font>
    <font>
      <sz val="11"/>
      <color indexed="8"/>
      <name val="Tahoma"/>
      <family val="2"/>
      <charset val="238"/>
    </font>
    <font>
      <b/>
      <sz val="11"/>
      <color indexed="8"/>
      <name val="Tahoma"/>
      <family val="2"/>
      <charset val="238"/>
    </font>
    <font>
      <sz val="11"/>
      <color theme="1"/>
      <name val="Calibri"/>
      <family val="2"/>
      <charset val="238"/>
      <scheme val="minor"/>
    </font>
    <font>
      <b/>
      <sz val="11"/>
      <color theme="1"/>
      <name val="Calibri"/>
      <family val="2"/>
      <charset val="238"/>
      <scheme val="minor"/>
    </font>
    <font>
      <sz val="11"/>
      <color theme="0"/>
      <name val="Tahoma"/>
      <family val="2"/>
      <charset val="238"/>
    </font>
    <font>
      <sz val="11"/>
      <color theme="1"/>
      <name val="Tahoma"/>
      <family val="2"/>
      <charset val="238"/>
    </font>
    <font>
      <b/>
      <sz val="11"/>
      <color theme="6" tint="-0.499984740745262"/>
      <name val="Tahoma"/>
      <family val="2"/>
      <charset val="238"/>
    </font>
    <font>
      <sz val="11"/>
      <color theme="6" tint="-0.499984740745262"/>
      <name val="Tahoma"/>
      <family val="2"/>
      <charset val="238"/>
    </font>
    <font>
      <sz val="11"/>
      <color rgb="FFC00000"/>
      <name val="Tahoma"/>
      <family val="2"/>
      <charset val="238"/>
    </font>
    <font>
      <sz val="11"/>
      <color rgb="FFFF0000"/>
      <name val="Tahoma"/>
      <family val="2"/>
      <charset val="238"/>
    </font>
    <font>
      <b/>
      <sz val="11"/>
      <color rgb="FFFF0000"/>
      <name val="Tahoma"/>
      <family val="2"/>
      <charset val="238"/>
    </font>
    <font>
      <sz val="8"/>
      <color theme="1"/>
      <name val="Tahoma"/>
      <family val="2"/>
      <charset val="238"/>
    </font>
    <font>
      <sz val="8"/>
      <color theme="6" tint="-0.499984740745262"/>
      <name val="Tahoma"/>
      <family val="2"/>
      <charset val="238"/>
    </font>
    <font>
      <sz val="8"/>
      <color rgb="FFC00000"/>
      <name val="Tahoma"/>
      <family val="2"/>
      <charset val="238"/>
    </font>
    <font>
      <sz val="8"/>
      <color theme="0"/>
      <name val="Tahoma"/>
      <family val="2"/>
      <charset val="238"/>
    </font>
    <font>
      <sz val="8"/>
      <color rgb="FFFF0000"/>
      <name val="Tahoma"/>
      <family val="2"/>
      <charset val="238"/>
    </font>
    <font>
      <b/>
      <sz val="8"/>
      <color theme="6" tint="-0.499984740745262"/>
      <name val="Tahoma"/>
      <family val="2"/>
      <charset val="238"/>
    </font>
    <font>
      <b/>
      <sz val="8"/>
      <color theme="0"/>
      <name val="Tahoma"/>
      <family val="2"/>
      <charset val="238"/>
    </font>
    <font>
      <b/>
      <sz val="10"/>
      <color theme="1"/>
      <name val="Tahoma"/>
      <family val="2"/>
      <charset val="238"/>
    </font>
    <font>
      <b/>
      <sz val="9"/>
      <color theme="1"/>
      <name val="Tahoma"/>
      <family val="2"/>
      <charset val="238"/>
    </font>
    <font>
      <sz val="10"/>
      <color theme="1"/>
      <name val="Tahoma"/>
      <family val="2"/>
      <charset val="238"/>
    </font>
    <font>
      <b/>
      <sz val="9"/>
      <color rgb="FFFF0000"/>
      <name val="Tahoma"/>
      <family val="2"/>
      <charset val="238"/>
    </font>
    <font>
      <b/>
      <sz val="8"/>
      <color theme="1"/>
      <name val="Tahoma"/>
      <family val="2"/>
      <charset val="238"/>
    </font>
    <font>
      <b/>
      <i/>
      <sz val="10"/>
      <color theme="0"/>
      <name val="Tahoma"/>
      <family val="2"/>
      <charset val="238"/>
    </font>
    <font>
      <sz val="10"/>
      <color theme="6" tint="-0.499984740745262"/>
      <name val="Tahoma"/>
      <family val="2"/>
      <charset val="238"/>
    </font>
    <font>
      <b/>
      <sz val="10"/>
      <color theme="6" tint="-0.499984740745262"/>
      <name val="Tahoma"/>
      <family val="2"/>
      <charset val="238"/>
    </font>
    <font>
      <b/>
      <sz val="10"/>
      <color rgb="FFFF0000"/>
      <name val="Tahoma"/>
      <family val="2"/>
      <charset val="238"/>
    </font>
    <font>
      <b/>
      <sz val="11"/>
      <color theme="1"/>
      <name val="Tahoma"/>
      <family val="2"/>
      <charset val="238"/>
    </font>
    <font>
      <sz val="13"/>
      <color theme="1"/>
      <name val="Tahoma"/>
      <family val="2"/>
      <charset val="238"/>
    </font>
    <font>
      <b/>
      <sz val="13"/>
      <color theme="1"/>
      <name val="Tahoma"/>
      <family val="2"/>
      <charset val="238"/>
    </font>
    <font>
      <sz val="12"/>
      <color theme="1"/>
      <name val="Tahoma"/>
      <family val="2"/>
      <charset val="238"/>
    </font>
    <font>
      <sz val="8"/>
      <color rgb="FF000000"/>
      <name val="Tahoma"/>
      <family val="2"/>
      <charset val="238"/>
    </font>
    <font>
      <i/>
      <sz val="11"/>
      <color theme="1"/>
      <name val="Arial"/>
      <family val="2"/>
      <charset val="238"/>
    </font>
    <font>
      <b/>
      <sz val="11"/>
      <color rgb="FFFF0000"/>
      <name val="Calibri"/>
      <family val="2"/>
      <charset val="238"/>
      <scheme val="minor"/>
    </font>
    <font>
      <sz val="11"/>
      <color theme="1"/>
      <name val="Arial"/>
      <family val="2"/>
      <charset val="238"/>
    </font>
    <font>
      <sz val="10"/>
      <color rgb="FF000000"/>
      <name val="Arial"/>
      <family val="2"/>
      <charset val="238"/>
    </font>
    <font>
      <b/>
      <sz val="11"/>
      <color theme="1"/>
      <name val="Arial"/>
      <family val="2"/>
      <charset val="238"/>
    </font>
    <font>
      <sz val="8"/>
      <color theme="1"/>
      <name val="Arial"/>
      <family val="2"/>
      <charset val="238"/>
    </font>
    <font>
      <sz val="11"/>
      <color rgb="FF000000"/>
      <name val="Times"/>
      <family val="1"/>
    </font>
    <font>
      <b/>
      <sz val="14"/>
      <color theme="6" tint="-0.499984740745262"/>
      <name val="Tahoma"/>
      <family val="2"/>
      <charset val="238"/>
    </font>
    <font>
      <sz val="11"/>
      <color theme="6" tint="-0.499984740745262"/>
      <name val="Calibri"/>
      <family val="2"/>
      <charset val="238"/>
      <scheme val="minor"/>
    </font>
    <font>
      <b/>
      <sz val="11"/>
      <color theme="6" tint="-0.499984740745262"/>
      <name val="Calibri"/>
      <family val="2"/>
      <charset val="238"/>
      <scheme val="minor"/>
    </font>
    <font>
      <sz val="14"/>
      <color theme="6" tint="-0.499984740745262"/>
      <name val="Tahoma"/>
      <family val="2"/>
      <charset val="238"/>
    </font>
    <font>
      <sz val="9"/>
      <color theme="6" tint="-0.499984740745262"/>
      <name val="Tahoma"/>
      <family val="2"/>
      <charset val="238"/>
    </font>
    <font>
      <vertAlign val="superscript"/>
      <sz val="8"/>
      <color theme="6" tint="-0.499984740745262"/>
      <name val="Tahoma"/>
      <family val="2"/>
      <charset val="238"/>
    </font>
    <font>
      <sz val="10"/>
      <color rgb="FFFF0000"/>
      <name val="Tahoma"/>
      <family val="2"/>
      <charset val="238"/>
    </font>
    <font>
      <sz val="10"/>
      <color theme="6" tint="0.59999389629810485"/>
      <name val="Tahoma"/>
      <family val="2"/>
      <charset val="238"/>
    </font>
    <font>
      <b/>
      <sz val="10"/>
      <color theme="0"/>
      <name val="Tahoma"/>
      <family val="2"/>
      <charset val="238"/>
    </font>
    <font>
      <sz val="10"/>
      <color theme="6" tint="0.79998168889431442"/>
      <name val="Tahoma"/>
      <family val="2"/>
      <charset val="238"/>
    </font>
    <font>
      <b/>
      <sz val="10"/>
      <color rgb="FFC00000"/>
      <name val="Tahoma"/>
      <family val="2"/>
      <charset val="238"/>
    </font>
    <font>
      <b/>
      <i/>
      <sz val="10"/>
      <color theme="1"/>
      <name val="Tahoma"/>
      <family val="2"/>
      <charset val="238"/>
    </font>
    <font>
      <sz val="8"/>
      <color theme="1"/>
      <name val="Calibri"/>
      <family val="2"/>
      <charset val="238"/>
      <scheme val="minor"/>
    </font>
    <font>
      <sz val="14"/>
      <color theme="6" tint="-0.499984740745262"/>
      <name val="Calibri"/>
      <family val="2"/>
      <charset val="238"/>
      <scheme val="minor"/>
    </font>
    <font>
      <sz val="14"/>
      <color theme="1"/>
      <name val="Calibri"/>
      <family val="2"/>
      <charset val="238"/>
      <scheme val="minor"/>
    </font>
    <font>
      <sz val="11"/>
      <color rgb="FFFF0000"/>
      <name val="Calibri"/>
      <family val="2"/>
      <charset val="238"/>
      <scheme val="minor"/>
    </font>
    <font>
      <sz val="7"/>
      <color theme="6" tint="-0.499984740745262"/>
      <name val="Tahoma"/>
      <family val="2"/>
      <charset val="238"/>
    </font>
    <font>
      <b/>
      <sz val="15"/>
      <color rgb="FFFF0000"/>
      <name val="Tahoma"/>
      <family val="2"/>
      <charset val="238"/>
    </font>
    <font>
      <i/>
      <sz val="10"/>
      <color rgb="FFFF0000"/>
      <name val="Tahoma"/>
      <family val="2"/>
      <charset val="238"/>
    </font>
    <font>
      <sz val="26"/>
      <color theme="0"/>
      <name val="Tahoma"/>
      <family val="2"/>
      <charset val="238"/>
    </font>
    <font>
      <sz val="9"/>
      <color theme="6" tint="-0.499984740745262"/>
      <name val="Calibri"/>
      <family val="2"/>
      <charset val="238"/>
      <scheme val="minor"/>
    </font>
    <font>
      <sz val="9"/>
      <color theme="1"/>
      <name val="Calibri"/>
      <family val="2"/>
      <charset val="238"/>
      <scheme val="minor"/>
    </font>
    <font>
      <sz val="18"/>
      <color rgb="FFFF0000"/>
      <name val="Tahoma"/>
      <family val="2"/>
      <charset val="238"/>
    </font>
    <font>
      <sz val="26"/>
      <color rgb="FFFF0000"/>
      <name val="Tahoma"/>
      <family val="2"/>
      <charset val="238"/>
    </font>
    <font>
      <b/>
      <sz val="10"/>
      <color theme="6" tint="0.79998168889431442"/>
      <name val="Tahoma"/>
      <family val="2"/>
      <charset val="238"/>
    </font>
    <font>
      <b/>
      <sz val="11"/>
      <color rgb="FFC00000"/>
      <name val="Tahoma"/>
      <family val="2"/>
      <charset val="238"/>
    </font>
    <font>
      <b/>
      <i/>
      <sz val="10"/>
      <color rgb="FFFF0000"/>
      <name val="Tahoma"/>
      <family val="2"/>
      <charset val="238"/>
    </font>
    <font>
      <sz val="28"/>
      <color rgb="FFFF0000"/>
      <name val="Calibri"/>
      <family val="2"/>
      <charset val="238"/>
      <scheme val="minor"/>
    </font>
    <font>
      <sz val="10"/>
      <color theme="1"/>
      <name val="Arial"/>
      <family val="2"/>
      <charset val="238"/>
    </font>
    <font>
      <u/>
      <sz val="11"/>
      <color theme="10"/>
      <name val="Calibri"/>
      <family val="2"/>
      <charset val="238"/>
      <scheme val="minor"/>
    </font>
    <font>
      <sz val="11"/>
      <color theme="0"/>
      <name val="Calibri"/>
      <family val="2"/>
      <charset val="238"/>
      <scheme val="minor"/>
    </font>
    <font>
      <sz val="11"/>
      <name val="Calibri"/>
      <family val="2"/>
      <charset val="238"/>
      <scheme val="minor"/>
    </font>
    <font>
      <sz val="16"/>
      <color theme="1"/>
      <name val="Tahoma"/>
      <family val="2"/>
      <charset val="238"/>
    </font>
    <font>
      <sz val="14"/>
      <color theme="1"/>
      <name val="Tahoma"/>
      <family val="2"/>
      <charset val="238"/>
    </font>
    <font>
      <b/>
      <sz val="12"/>
      <color rgb="FFFF0000"/>
      <name val="Calibri"/>
      <family val="2"/>
      <charset val="238"/>
    </font>
    <font>
      <b/>
      <strike/>
      <sz val="11"/>
      <name val="Tahoma"/>
      <family val="2"/>
      <charset val="238"/>
    </font>
    <font>
      <b/>
      <sz val="8"/>
      <color rgb="FFFF0000"/>
      <name val="Tahoma"/>
      <family val="2"/>
      <charset val="238"/>
    </font>
    <font>
      <sz val="10"/>
      <color theme="1"/>
      <name val="Calibri"/>
      <family val="2"/>
      <charset val="238"/>
      <scheme val="minor"/>
    </font>
    <font>
      <b/>
      <i/>
      <sz val="11"/>
      <name val="Tahoma"/>
      <family val="2"/>
      <charset val="238"/>
    </font>
    <font>
      <i/>
      <vertAlign val="superscript"/>
      <sz val="10"/>
      <name val="Tahoma"/>
      <family val="2"/>
      <charset val="238"/>
    </font>
    <font>
      <b/>
      <sz val="9"/>
      <color indexed="81"/>
      <name val="Tahoma"/>
      <family val="2"/>
      <charset val="238"/>
    </font>
    <font>
      <sz val="9"/>
      <color indexed="81"/>
      <name val="Tahoma"/>
      <family val="2"/>
      <charset val="238"/>
    </font>
    <font>
      <sz val="10"/>
      <color rgb="FF695FFF"/>
      <name val="Tahoma"/>
      <family val="2"/>
      <charset val="238"/>
    </font>
    <font>
      <b/>
      <sz val="10"/>
      <color theme="6" tint="-0.249977111117893"/>
      <name val="Tahoma"/>
      <family val="2"/>
      <charset val="238"/>
    </font>
    <font>
      <sz val="10"/>
      <color rgb="FF695FFF"/>
      <name val="Trebuchet MS"/>
      <family val="2"/>
      <charset val="238"/>
    </font>
    <font>
      <b/>
      <u/>
      <sz val="10"/>
      <color rgb="FF695FFF"/>
      <name val="Trebuchet MS"/>
      <family val="2"/>
      <charset val="238"/>
    </font>
    <font>
      <i/>
      <sz val="10"/>
      <color rgb="FF695FFF"/>
      <name val="Trebuchet MS"/>
      <family val="2"/>
      <charset val="238"/>
    </font>
    <font>
      <vertAlign val="superscript"/>
      <sz val="10"/>
      <color rgb="FF695FFF"/>
      <name val="Trebuchet MS"/>
      <family val="2"/>
      <charset val="238"/>
    </font>
    <font>
      <b/>
      <sz val="10"/>
      <color rgb="FF695FFF"/>
      <name val="Trebuchet MS"/>
      <family val="2"/>
      <charset val="238"/>
    </font>
    <font>
      <sz val="10"/>
      <name val="Trebuchet MS"/>
      <family val="2"/>
      <charset val="238"/>
    </font>
    <font>
      <vertAlign val="superscript"/>
      <sz val="10"/>
      <name val="Trebuchet MS"/>
      <family val="2"/>
      <charset val="238"/>
    </font>
    <font>
      <i/>
      <sz val="10"/>
      <name val="Trebuchet MS"/>
      <family val="2"/>
      <charset val="238"/>
    </font>
    <font>
      <b/>
      <sz val="10"/>
      <name val="Trebuchet MS"/>
      <family val="2"/>
      <charset val="238"/>
    </font>
    <font>
      <b/>
      <i/>
      <sz val="10"/>
      <name val="Trebuchet MS"/>
      <family val="2"/>
      <charset val="238"/>
    </font>
    <font>
      <i/>
      <sz val="10"/>
      <color rgb="FFFF0000"/>
      <name val="Trebuchet MS"/>
      <family val="2"/>
      <charset val="238"/>
    </font>
    <font>
      <b/>
      <u/>
      <sz val="10"/>
      <name val="Trebuchet MS"/>
      <family val="2"/>
      <charset val="238"/>
    </font>
    <font>
      <b/>
      <u/>
      <vertAlign val="superscript"/>
      <sz val="10"/>
      <name val="Trebuchet MS"/>
      <family val="2"/>
      <charset val="238"/>
    </font>
    <font>
      <b/>
      <u/>
      <sz val="9"/>
      <name val="Trebuchet MS"/>
      <family val="2"/>
      <charset val="238"/>
    </font>
    <font>
      <b/>
      <vertAlign val="superscript"/>
      <sz val="9"/>
      <name val="Trebuchet MS"/>
      <family val="2"/>
      <charset val="238"/>
    </font>
    <font>
      <b/>
      <u/>
      <vertAlign val="superscript"/>
      <sz val="9"/>
      <name val="Trebuchet MS"/>
      <family val="2"/>
      <charset val="238"/>
    </font>
    <font>
      <sz val="11"/>
      <name val="Trebuchet MS"/>
      <family val="2"/>
      <charset val="238"/>
    </font>
    <font>
      <sz val="9"/>
      <name val="Trebuchet MS"/>
      <family val="2"/>
      <charset val="238"/>
    </font>
    <font>
      <u/>
      <sz val="11"/>
      <name val="Trebuchet MS"/>
      <family val="2"/>
      <charset val="238"/>
    </font>
    <font>
      <sz val="6"/>
      <name val="Trebuchet MS"/>
      <family val="2"/>
      <charset val="238"/>
    </font>
    <font>
      <vertAlign val="subscript"/>
      <sz val="10"/>
      <name val="Trebuchet MS"/>
      <family val="2"/>
      <charset val="238"/>
    </font>
    <font>
      <i/>
      <sz val="11"/>
      <name val="Trebuchet MS"/>
      <family val="2"/>
      <charset val="238"/>
    </font>
    <font>
      <sz val="11"/>
      <color theme="1"/>
      <name val="Trebuchet MS"/>
      <family val="2"/>
      <charset val="238"/>
    </font>
    <font>
      <b/>
      <sz val="11"/>
      <name val="Trebuchet MS"/>
      <family val="2"/>
      <charset val="238"/>
    </font>
    <font>
      <b/>
      <sz val="12"/>
      <name val="Trebuchet MS"/>
      <family val="2"/>
      <charset val="238"/>
    </font>
    <font>
      <b/>
      <sz val="14"/>
      <name val="Trebuchet MS"/>
      <family val="2"/>
      <charset val="238"/>
    </font>
    <font>
      <sz val="11"/>
      <color theme="0"/>
      <name val="Trebuchet MS"/>
      <family val="2"/>
      <charset val="238"/>
    </font>
    <font>
      <b/>
      <sz val="15"/>
      <name val="Trebuchet MS"/>
      <family val="2"/>
      <charset val="238"/>
    </font>
    <font>
      <sz val="15"/>
      <name val="Trebuchet MS"/>
      <family val="2"/>
      <charset val="238"/>
    </font>
    <font>
      <sz val="7"/>
      <name val="Trebuchet MS"/>
      <family val="2"/>
      <charset val="238"/>
    </font>
    <font>
      <b/>
      <sz val="11"/>
      <color theme="0"/>
      <name val="Trebuchet MS"/>
      <family val="2"/>
      <charset val="238"/>
    </font>
    <font>
      <b/>
      <sz val="11"/>
      <color theme="1"/>
      <name val="Trebuchet MS"/>
      <family val="2"/>
      <charset val="238"/>
    </font>
    <font>
      <sz val="11"/>
      <color indexed="8"/>
      <name val="Trebuchet MS"/>
      <family val="2"/>
      <charset val="238"/>
    </font>
    <font>
      <sz val="11"/>
      <color rgb="FFFF0000"/>
      <name val="Trebuchet MS"/>
      <family val="2"/>
      <charset val="238"/>
    </font>
    <font>
      <sz val="12"/>
      <name val="Trebuchet MS"/>
      <family val="2"/>
      <charset val="238"/>
    </font>
    <font>
      <sz val="10"/>
      <color theme="1"/>
      <name val="Trebuchet MS"/>
      <family val="2"/>
      <charset val="238"/>
    </font>
    <font>
      <b/>
      <u/>
      <sz val="11"/>
      <name val="Trebuchet MS"/>
      <family val="2"/>
      <charset val="238"/>
    </font>
    <font>
      <vertAlign val="superscript"/>
      <sz val="11"/>
      <name val="Trebuchet MS"/>
      <family val="2"/>
      <charset val="238"/>
    </font>
    <font>
      <sz val="8"/>
      <name val="Trebuchet MS"/>
      <family val="2"/>
      <charset val="238"/>
    </font>
    <font>
      <vertAlign val="subscript"/>
      <sz val="11"/>
      <color theme="1"/>
      <name val="Trebuchet MS"/>
      <family val="2"/>
      <charset val="238"/>
    </font>
    <font>
      <b/>
      <sz val="13"/>
      <color theme="1"/>
      <name val="Trebuchet MS"/>
      <family val="2"/>
      <charset val="238"/>
    </font>
    <font>
      <sz val="11"/>
      <color rgb="FFC00000"/>
      <name val="Trebuchet MS"/>
      <family val="2"/>
      <charset val="238"/>
    </font>
    <font>
      <b/>
      <sz val="10"/>
      <color theme="1"/>
      <name val="Trebuchet MS"/>
      <family val="2"/>
      <charset val="238"/>
    </font>
    <font>
      <sz val="10"/>
      <color theme="0"/>
      <name val="Trebuchet MS"/>
      <family val="2"/>
      <charset val="238"/>
    </font>
    <font>
      <sz val="14"/>
      <color theme="0"/>
      <name val="Trebuchet MS"/>
      <family val="2"/>
      <charset val="238"/>
    </font>
    <font>
      <sz val="14"/>
      <name val="Trebuchet MS"/>
      <family val="2"/>
      <charset val="238"/>
    </font>
    <font>
      <vertAlign val="superscript"/>
      <sz val="8"/>
      <name val="Trebuchet MS"/>
      <family val="2"/>
      <charset val="238"/>
    </font>
    <font>
      <b/>
      <u/>
      <sz val="11"/>
      <color theme="1"/>
      <name val="Trebuchet MS"/>
      <family val="2"/>
      <charset val="238"/>
    </font>
    <font>
      <sz val="10"/>
      <color rgb="FF000000"/>
      <name val="Trebuchet MS"/>
      <family val="2"/>
      <charset val="238"/>
    </font>
    <font>
      <b/>
      <sz val="20"/>
      <name val="Trebuchet MS"/>
      <family val="2"/>
      <charset val="238"/>
    </font>
    <font>
      <sz val="16"/>
      <color theme="1"/>
      <name val="Trebuchet MS"/>
      <family val="2"/>
      <charset val="238"/>
    </font>
    <font>
      <b/>
      <sz val="13"/>
      <name val="Trebuchet MS"/>
      <family val="2"/>
      <charset val="238"/>
    </font>
    <font>
      <b/>
      <sz val="9"/>
      <name val="Trebuchet MS"/>
      <family val="2"/>
      <charset val="238"/>
    </font>
    <font>
      <sz val="13"/>
      <name val="Trebuchet MS"/>
      <family val="2"/>
      <charset val="238"/>
    </font>
    <font>
      <sz val="14"/>
      <color theme="1"/>
      <name val="Trebuchet MS"/>
      <family val="2"/>
      <charset val="238"/>
    </font>
    <font>
      <b/>
      <sz val="16"/>
      <name val="Trebuchet MS"/>
      <family val="2"/>
      <charset val="238"/>
    </font>
  </fonts>
  <fills count="2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6" tint="0.39994506668294322"/>
        <bgColor indexed="64"/>
      </patternFill>
    </fill>
    <fill>
      <patternFill patternType="solid">
        <fgColor theme="2"/>
        <bgColor indexed="64"/>
      </patternFill>
    </fill>
    <fill>
      <patternFill patternType="solid">
        <fgColor theme="4" tint="0.59999389629810485"/>
        <bgColor indexed="64"/>
      </patternFill>
    </fill>
    <fill>
      <patternFill patternType="solid">
        <fgColor theme="5"/>
        <bgColor indexed="64"/>
      </patternFill>
    </fill>
    <fill>
      <patternFill patternType="solid">
        <fgColor theme="0" tint="-0.14999847407452621"/>
        <bgColor indexed="64"/>
      </patternFill>
    </fill>
    <fill>
      <patternFill patternType="solid">
        <fgColor rgb="FFFF0000"/>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theme="6" tint="-0.2499465926084170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rgb="FFD9D9D9"/>
        <bgColor indexed="64"/>
      </patternFill>
    </fill>
    <fill>
      <patternFill patternType="solid">
        <fgColor rgb="FF695FFF"/>
        <bgColor indexed="64"/>
      </patternFill>
    </fill>
  </fills>
  <borders count="25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9"/>
      </left>
      <right style="medium">
        <color indexed="9"/>
      </right>
      <top style="medium">
        <color indexed="9"/>
      </top>
      <bottom style="thick">
        <color indexed="9"/>
      </bottom>
      <diagonal/>
    </border>
    <border>
      <left style="medium">
        <color indexed="9"/>
      </left>
      <right style="medium">
        <color indexed="9"/>
      </right>
      <top/>
      <bottom/>
      <diagonal/>
    </border>
    <border>
      <left style="medium">
        <color indexed="9"/>
      </left>
      <right style="medium">
        <color indexed="9"/>
      </right>
      <top style="thick">
        <color indexed="9"/>
      </top>
      <bottom style="medium">
        <color indexed="9"/>
      </bottom>
      <diagonal/>
    </border>
    <border>
      <left style="medium">
        <color indexed="9"/>
      </left>
      <right style="medium">
        <color indexed="9"/>
      </right>
      <top style="medium">
        <color indexed="9"/>
      </top>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theme="6" tint="-0.499984740745262"/>
      </left>
      <right/>
      <top style="medium">
        <color theme="6" tint="-0.499984740745262"/>
      </top>
      <bottom/>
      <diagonal/>
    </border>
    <border>
      <left/>
      <right/>
      <top style="medium">
        <color theme="6" tint="-0.499984740745262"/>
      </top>
      <bottom/>
      <diagonal/>
    </border>
    <border>
      <left/>
      <right style="medium">
        <color theme="6" tint="-0.499984740745262"/>
      </right>
      <top style="medium">
        <color theme="6" tint="-0.499984740745262"/>
      </top>
      <bottom/>
      <diagonal/>
    </border>
    <border>
      <left style="medium">
        <color theme="6" tint="-0.499984740745262"/>
      </left>
      <right/>
      <top/>
      <bottom/>
      <diagonal/>
    </border>
    <border>
      <left/>
      <right style="medium">
        <color theme="6" tint="-0.499984740745262"/>
      </right>
      <top/>
      <bottom/>
      <diagonal/>
    </border>
    <border>
      <left style="medium">
        <color theme="6" tint="-0.499984740745262"/>
      </left>
      <right/>
      <top/>
      <bottom style="medium">
        <color theme="6" tint="-0.499984740745262"/>
      </bottom>
      <diagonal/>
    </border>
    <border>
      <left/>
      <right style="medium">
        <color theme="6" tint="-0.499984740745262"/>
      </right>
      <top/>
      <bottom style="medium">
        <color theme="6" tint="-0.499984740745262"/>
      </bottom>
      <diagonal/>
    </border>
    <border>
      <left style="medium">
        <color theme="6" tint="-0.499984740745262"/>
      </left>
      <right/>
      <top style="mediumDashed">
        <color theme="6" tint="-0.499984740745262"/>
      </top>
      <bottom/>
      <diagonal/>
    </border>
    <border>
      <left/>
      <right/>
      <top style="mediumDashed">
        <color theme="6" tint="-0.499984740745262"/>
      </top>
      <bottom/>
      <diagonal/>
    </border>
    <border>
      <left/>
      <right style="medium">
        <color theme="6" tint="-0.499984740745262"/>
      </right>
      <top style="mediumDashed">
        <color theme="6" tint="-0.499984740745262"/>
      </top>
      <bottom/>
      <diagonal/>
    </border>
    <border>
      <left/>
      <right/>
      <top/>
      <bottom style="medium">
        <color theme="6"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diagonal/>
    </border>
    <border>
      <left style="thin">
        <color rgb="FFC00000"/>
      </left>
      <right/>
      <top/>
      <bottom/>
      <diagonal/>
    </border>
    <border>
      <left style="medium">
        <color rgb="FFC00000"/>
      </left>
      <right style="medium">
        <color rgb="FFC00000"/>
      </right>
      <top style="medium">
        <color rgb="FFC00000"/>
      </top>
      <bottom/>
      <diagonal/>
    </border>
    <border>
      <left style="medium">
        <color rgb="FFC00000"/>
      </left>
      <right style="medium">
        <color rgb="FFC00000"/>
      </right>
      <top style="thin">
        <color rgb="FFC00000"/>
      </top>
      <bottom style="thin">
        <color rgb="FFC00000"/>
      </bottom>
      <diagonal/>
    </border>
    <border>
      <left style="medium">
        <color rgb="FFC00000"/>
      </left>
      <right style="medium">
        <color rgb="FFC00000"/>
      </right>
      <top/>
      <bottom/>
      <diagonal/>
    </border>
    <border>
      <left style="medium">
        <color rgb="FFC00000"/>
      </left>
      <right style="medium">
        <color rgb="FFC00000"/>
      </right>
      <top style="thin">
        <color rgb="FFC00000"/>
      </top>
      <bottom/>
      <diagonal/>
    </border>
    <border>
      <left style="medium">
        <color rgb="FFC00000"/>
      </left>
      <right style="medium">
        <color rgb="FFC00000"/>
      </right>
      <top/>
      <bottom style="medium">
        <color rgb="FFC00000"/>
      </bottom>
      <diagonal/>
    </border>
    <border>
      <left/>
      <right/>
      <top style="thin">
        <color rgb="FFC00000"/>
      </top>
      <bottom style="thin">
        <color rgb="FFC00000"/>
      </bottom>
      <diagonal/>
    </border>
    <border>
      <left style="medium">
        <color rgb="FF000000"/>
      </left>
      <right style="medium">
        <color rgb="FF000000"/>
      </right>
      <top style="medium">
        <color rgb="FF000000"/>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right style="thin">
        <color theme="6" tint="-0.499984740745262"/>
      </right>
      <top/>
      <bottom/>
      <diagonal/>
    </border>
    <border>
      <left style="thin">
        <color theme="6" tint="-0.499984740745262"/>
      </left>
      <right style="medium">
        <color theme="6" tint="-0.499984740745262"/>
      </right>
      <top/>
      <bottom/>
      <diagonal/>
    </border>
    <border>
      <left style="thin">
        <color theme="6" tint="-0.499984740745262"/>
      </left>
      <right/>
      <top style="thin">
        <color theme="6" tint="-0.499984740745262"/>
      </top>
      <bottom/>
      <diagonal/>
    </border>
    <border>
      <left/>
      <right/>
      <top style="thin">
        <color theme="6" tint="-0.499984740745262"/>
      </top>
      <bottom/>
      <diagonal/>
    </border>
    <border>
      <left/>
      <right style="thin">
        <color theme="6" tint="-0.499984740745262"/>
      </right>
      <top style="thin">
        <color theme="6" tint="-0.499984740745262"/>
      </top>
      <bottom/>
      <diagonal/>
    </border>
    <border>
      <left style="thin">
        <color theme="6" tint="-0.499984740745262"/>
      </left>
      <right/>
      <top/>
      <bottom/>
      <diagonal/>
    </border>
    <border>
      <left style="thin">
        <color theme="6" tint="-0.499984740745262"/>
      </left>
      <right/>
      <top/>
      <bottom style="thin">
        <color theme="6" tint="-0.499984740745262"/>
      </bottom>
      <diagonal/>
    </border>
    <border>
      <left/>
      <right/>
      <top/>
      <bottom style="thin">
        <color theme="6" tint="-0.499984740745262"/>
      </bottom>
      <diagonal/>
    </border>
    <border>
      <left/>
      <right style="thin">
        <color theme="6" tint="-0.499984740745262"/>
      </right>
      <top/>
      <bottom style="thin">
        <color theme="6" tint="-0.499984740745262"/>
      </bottom>
      <diagonal/>
    </border>
    <border>
      <left/>
      <right/>
      <top style="thin">
        <color theme="6" tint="-0.499984740745262"/>
      </top>
      <bottom style="thin">
        <color theme="6" tint="-0.499984740745262"/>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medium">
        <color theme="6" tint="-0.499984740745262"/>
      </right>
      <top style="medium">
        <color theme="6" tint="-0.499984740745262"/>
      </top>
      <bottom style="thin">
        <color theme="6" tint="-0.499984740745262"/>
      </bottom>
      <diagonal/>
    </border>
    <border>
      <left/>
      <right style="thin">
        <color theme="6" tint="-0.499984740745262"/>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right style="thin">
        <color theme="6" tint="-0.499984740745262"/>
      </right>
      <top style="medium">
        <color theme="6" tint="-0.499984740745262"/>
      </top>
      <bottom style="thin">
        <color theme="6" tint="-0.499984740745262"/>
      </bottom>
      <diagonal/>
    </border>
    <border>
      <left style="thin">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thin">
        <color theme="6" tint="-0.499984740745262"/>
      </right>
      <top style="thin">
        <color theme="0"/>
      </top>
      <bottom style="thin">
        <color theme="6" tint="-0.499984740745262"/>
      </bottom>
      <diagonal/>
    </border>
    <border>
      <left style="medium">
        <color theme="6" tint="-0.499984740745262"/>
      </left>
      <right style="thin">
        <color theme="6" tint="-0.499984740745262"/>
      </right>
      <top style="thin">
        <color theme="6" tint="-0.499984740745262"/>
      </top>
      <bottom/>
      <diagonal/>
    </border>
    <border>
      <left style="medium">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medium">
        <color theme="6" tint="-0.499984740745262"/>
      </right>
      <top style="thin">
        <color theme="6" tint="-0.499984740745262"/>
      </top>
      <bottom style="thin">
        <color theme="6" tint="-0.499984740745262"/>
      </bottom>
      <diagonal/>
    </border>
    <border>
      <left style="medium">
        <color theme="6" tint="-0.499984740745262"/>
      </left>
      <right/>
      <top style="thin">
        <color theme="6" tint="-0.499984740745262"/>
      </top>
      <bottom/>
      <diagonal/>
    </border>
    <border>
      <left style="thin">
        <color theme="6" tint="-0.499984740745262"/>
      </left>
      <right/>
      <top style="thin">
        <color theme="6" tint="-0.499984740745262"/>
      </top>
      <bottom style="thin">
        <color theme="6" tint="-0.499984740745262"/>
      </bottom>
      <diagonal/>
    </border>
    <border>
      <left style="thin">
        <color theme="6" tint="-0.499984740745262"/>
      </left>
      <right style="medium">
        <color theme="6" tint="-0.499984740745262"/>
      </right>
      <top style="thin">
        <color theme="0"/>
      </top>
      <bottom style="thin">
        <color theme="0"/>
      </bottom>
      <diagonal/>
    </border>
    <border>
      <left style="thin">
        <color rgb="FFC00000"/>
      </left>
      <right/>
      <top style="thin">
        <color rgb="FFC00000"/>
      </top>
      <bottom style="thin">
        <color rgb="FFC00000"/>
      </bottom>
      <diagonal/>
    </border>
    <border>
      <left style="thin">
        <color theme="6" tint="-0.499984740745262"/>
      </left>
      <right/>
      <top style="medium">
        <color theme="6" tint="-0.499984740745262"/>
      </top>
      <bottom style="thin">
        <color theme="6" tint="-0.499984740745262"/>
      </bottom>
      <diagonal/>
    </border>
    <border>
      <left/>
      <right/>
      <top style="medium">
        <color theme="6" tint="-0.499984740745262"/>
      </top>
      <bottom style="thin">
        <color theme="6" tint="-0.499984740745262"/>
      </bottom>
      <diagonal/>
    </border>
    <border>
      <left/>
      <right style="medium">
        <color theme="6" tint="-0.499984740745262"/>
      </right>
      <top style="medium">
        <color theme="6" tint="-0.499984740745262"/>
      </top>
      <bottom style="thin">
        <color theme="6" tint="-0.499984740745262"/>
      </bottom>
      <diagonal/>
    </border>
    <border>
      <left style="thin">
        <color rgb="FFC00000"/>
      </left>
      <right style="thin">
        <color rgb="FFC00000"/>
      </right>
      <top style="thin">
        <color rgb="FFC00000"/>
      </top>
      <bottom/>
      <diagonal/>
    </border>
    <border>
      <left/>
      <right style="thin">
        <color theme="6" tint="-0.499984740745262"/>
      </right>
      <top style="thin">
        <color theme="6" tint="-0.499984740745262"/>
      </top>
      <bottom style="thin">
        <color theme="6" tint="-0.499984740745262"/>
      </bottom>
      <diagonal/>
    </border>
    <border>
      <left/>
      <right style="medium">
        <color theme="6" tint="-0.499984740745262"/>
      </right>
      <top style="thin">
        <color theme="6" tint="-0.499984740745262"/>
      </top>
      <bottom style="thin">
        <color theme="6" tint="-0.499984740745262"/>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theme="6" tint="-0.499984740745262"/>
      </left>
      <right style="thin">
        <color theme="6" tint="-0.499984740745262"/>
      </right>
      <top style="thin">
        <color theme="6" tint="-0.499984740745262"/>
      </top>
      <bottom style="thin">
        <color theme="0"/>
      </bottom>
      <diagonal/>
    </border>
    <border>
      <left style="thin">
        <color theme="6" tint="-0.499984740745262"/>
      </left>
      <right style="thin">
        <color theme="6" tint="-0.499984740745262"/>
      </right>
      <top style="thin">
        <color theme="0"/>
      </top>
      <bottom style="thin">
        <color theme="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rgb="FFC00000"/>
      </right>
      <top style="thin">
        <color rgb="FFC00000"/>
      </top>
      <bottom style="thin">
        <color rgb="FFC00000"/>
      </bottom>
      <diagonal/>
    </border>
    <border>
      <left style="medium">
        <color rgb="FFC00000"/>
      </left>
      <right style="medium">
        <color rgb="FFC00000"/>
      </right>
      <top style="medium">
        <color rgb="FFC00000"/>
      </top>
      <bottom style="thin">
        <color rgb="FFC00000"/>
      </bottom>
      <diagonal/>
    </border>
    <border>
      <left style="medium">
        <color rgb="FFC00000"/>
      </left>
      <right style="medium">
        <color rgb="FFC00000"/>
      </right>
      <top style="thin">
        <color rgb="FFC00000"/>
      </top>
      <bottom style="medium">
        <color rgb="FFC00000"/>
      </bottom>
      <diagonal/>
    </border>
    <border>
      <left style="medium">
        <color rgb="FFC00000"/>
      </left>
      <right/>
      <top style="thin">
        <color rgb="FFC00000"/>
      </top>
      <bottom style="thin">
        <color rgb="FFC00000"/>
      </bottom>
      <diagonal/>
    </border>
    <border>
      <left/>
      <right/>
      <top/>
      <bottom style="thin">
        <color rgb="FFC00000"/>
      </bottom>
      <diagonal/>
    </border>
    <border>
      <left/>
      <right style="thin">
        <color theme="0"/>
      </right>
      <top style="thin">
        <color theme="0"/>
      </top>
      <bottom style="thin">
        <color theme="0"/>
      </bottom>
      <diagonal/>
    </border>
    <border>
      <left/>
      <right style="medium">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top/>
      <bottom style="dotted">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rgb="FF000000"/>
      </left>
      <right style="medium">
        <color rgb="FF000000"/>
      </right>
      <top style="medium">
        <color auto="1"/>
      </top>
      <bottom style="medium">
        <color rgb="FF000000"/>
      </bottom>
      <diagonal/>
    </border>
    <border>
      <left style="medium">
        <color rgb="FF000000"/>
      </left>
      <right/>
      <top style="medium">
        <color auto="1"/>
      </top>
      <bottom style="medium">
        <color rgb="FF000000"/>
      </bottom>
      <diagonal/>
    </border>
    <border>
      <left/>
      <right/>
      <top style="medium">
        <color auto="1"/>
      </top>
      <bottom style="medium">
        <color rgb="FF000000"/>
      </bottom>
      <diagonal/>
    </border>
    <border>
      <left/>
      <right style="medium">
        <color rgb="FF000000"/>
      </right>
      <top style="medium">
        <color auto="1"/>
      </top>
      <bottom style="medium">
        <color rgb="FF000000"/>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thin">
        <color rgb="FFC00000"/>
      </left>
      <right/>
      <top style="medium">
        <color rgb="FF000000"/>
      </top>
      <bottom style="thin">
        <color rgb="FFC00000"/>
      </bottom>
      <diagonal/>
    </border>
    <border>
      <left/>
      <right/>
      <top style="medium">
        <color rgb="FF000000"/>
      </top>
      <bottom style="thin">
        <color rgb="FFC00000"/>
      </bottom>
      <diagonal/>
    </border>
    <border>
      <left/>
      <right style="thin">
        <color rgb="FFC00000"/>
      </right>
      <top style="medium">
        <color rgb="FF0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style="thin">
        <color rgb="FFC00000"/>
      </top>
      <bottom/>
      <diagonal/>
    </border>
    <border>
      <left style="medium">
        <color rgb="FF000000"/>
      </left>
      <right/>
      <top style="thin">
        <color rgb="FFC00000"/>
      </top>
      <bottom style="thin">
        <color rgb="FFC00000"/>
      </bottom>
      <diagonal/>
    </border>
    <border>
      <left/>
      <right style="medium">
        <color rgb="FF000000"/>
      </right>
      <top style="thin">
        <color rgb="FFC00000"/>
      </top>
      <bottom style="thin">
        <color rgb="FFC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auto="1"/>
      </left>
      <right style="medium">
        <color indexed="64"/>
      </right>
      <top style="medium">
        <color rgb="FF000000"/>
      </top>
      <bottom/>
      <diagonal/>
    </border>
    <border>
      <left style="thin">
        <color rgb="FFC00000"/>
      </left>
      <right style="thin">
        <color rgb="FFC00000"/>
      </right>
      <top/>
      <bottom style="thin">
        <color rgb="FFC00000"/>
      </bottom>
      <diagonal/>
    </border>
    <border>
      <left style="medium">
        <color rgb="FF000000"/>
      </left>
      <right/>
      <top style="thin">
        <color indexed="64"/>
      </top>
      <bottom style="thin">
        <color rgb="FF000000"/>
      </bottom>
      <diagonal/>
    </border>
    <border>
      <left/>
      <right/>
      <top style="thin">
        <color indexed="64"/>
      </top>
      <bottom style="thin">
        <color rgb="FF000000"/>
      </bottom>
      <diagonal/>
    </border>
    <border>
      <left/>
      <right style="medium">
        <color rgb="FF000000"/>
      </right>
      <top style="thin">
        <color indexed="64"/>
      </top>
      <bottom style="thin">
        <color rgb="FF000000"/>
      </bottom>
      <diagonal/>
    </border>
    <border>
      <left style="thin">
        <color rgb="FFC00000"/>
      </left>
      <right/>
      <top/>
      <bottom style="thin">
        <color rgb="FFC00000"/>
      </bottom>
      <diagonal/>
    </border>
    <border>
      <left/>
      <right style="thin">
        <color rgb="FFC00000"/>
      </right>
      <top/>
      <bottom style="thin">
        <color rgb="FFC00000"/>
      </bottom>
      <diagonal/>
    </border>
    <border>
      <left style="medium">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thin">
        <color theme="6" tint="-0.499984740745262"/>
      </right>
      <top style="thin">
        <color theme="0"/>
      </top>
      <bottom style="medium">
        <color theme="6" tint="-0.499984740745262"/>
      </bottom>
      <diagonal/>
    </border>
    <border>
      <left style="medium">
        <color theme="6" tint="-0.499984740745262"/>
      </left>
      <right/>
      <top style="medium">
        <color theme="6" tint="-0.499984740745262"/>
      </top>
      <bottom style="thin">
        <color theme="6" tint="-0.499984740745262"/>
      </bottom>
      <diagonal/>
    </border>
    <border>
      <left style="thin">
        <color theme="6" tint="-0.499984740745262"/>
      </left>
      <right style="medium">
        <color theme="6" tint="-0.499984740745262"/>
      </right>
      <top/>
      <bottom style="thin">
        <color theme="0"/>
      </bottom>
      <diagonal/>
    </border>
    <border>
      <left style="thin">
        <color theme="6" tint="-0.499984740745262"/>
      </left>
      <right style="thin">
        <color theme="6" tint="-0.499984740745262"/>
      </right>
      <top/>
      <bottom style="thin">
        <color theme="0"/>
      </bottom>
      <diagonal/>
    </border>
    <border>
      <left style="thin">
        <color indexed="64"/>
      </left>
      <right/>
      <top style="thin">
        <color theme="6" tint="-0.499984740745262"/>
      </top>
      <bottom style="thin">
        <color theme="6" tint="-0.499984740745262"/>
      </bottom>
      <diagonal/>
    </border>
    <border>
      <left/>
      <right style="thin">
        <color theme="0"/>
      </right>
      <top/>
      <bottom/>
      <diagonal/>
    </border>
    <border>
      <left/>
      <right/>
      <top style="thin">
        <color theme="6" tint="-0.499984740745262"/>
      </top>
      <bottom style="thin">
        <color indexed="64"/>
      </bottom>
      <diagonal/>
    </border>
    <border>
      <left style="thin">
        <color indexed="64"/>
      </left>
      <right/>
      <top style="thin">
        <color theme="6" tint="-0.499984740745262"/>
      </top>
      <bottom style="thin">
        <color indexed="64"/>
      </bottom>
      <diagonal/>
    </border>
    <border>
      <left/>
      <right style="medium">
        <color theme="6" tint="-0.499984740745262"/>
      </right>
      <top style="thin">
        <color theme="0"/>
      </top>
      <bottom style="thin">
        <color indexed="64"/>
      </bottom>
      <diagonal/>
    </border>
    <border>
      <left style="thin">
        <color indexed="64"/>
      </left>
      <right/>
      <top/>
      <bottom style="medium">
        <color indexed="64"/>
      </bottom>
      <diagonal/>
    </border>
    <border>
      <left style="thin">
        <color rgb="FF695FFF"/>
      </left>
      <right style="thin">
        <color rgb="FF695FFF"/>
      </right>
      <top style="thin">
        <color rgb="FF695FFF"/>
      </top>
      <bottom style="thin">
        <color rgb="FF695FFF"/>
      </bottom>
      <diagonal/>
    </border>
    <border>
      <left style="thin">
        <color rgb="FF695FFF"/>
      </left>
      <right/>
      <top style="thin">
        <color rgb="FF695FFF"/>
      </top>
      <bottom style="thin">
        <color rgb="FF695FFF"/>
      </bottom>
      <diagonal/>
    </border>
    <border>
      <left/>
      <right style="thin">
        <color rgb="FF695FFF"/>
      </right>
      <top style="thin">
        <color rgb="FF695FFF"/>
      </top>
      <bottom style="thin">
        <color rgb="FF695FFF"/>
      </bottom>
      <diagonal/>
    </border>
    <border>
      <left style="medium">
        <color rgb="FF695FFF"/>
      </left>
      <right/>
      <top style="medium">
        <color rgb="FF695FFF"/>
      </top>
      <bottom/>
      <diagonal/>
    </border>
    <border>
      <left/>
      <right/>
      <top style="medium">
        <color rgb="FF695FFF"/>
      </top>
      <bottom/>
      <diagonal/>
    </border>
    <border>
      <left/>
      <right style="medium">
        <color rgb="FF695FFF"/>
      </right>
      <top style="medium">
        <color rgb="FF695FFF"/>
      </top>
      <bottom/>
      <diagonal/>
    </border>
    <border>
      <left style="medium">
        <color rgb="FF695FFF"/>
      </left>
      <right/>
      <top/>
      <bottom/>
      <diagonal/>
    </border>
    <border>
      <left/>
      <right style="medium">
        <color rgb="FF695FFF"/>
      </right>
      <top/>
      <bottom/>
      <diagonal/>
    </border>
    <border>
      <left/>
      <right style="medium">
        <color rgb="FF695FFF"/>
      </right>
      <top style="thin">
        <color rgb="FFC00000"/>
      </top>
      <bottom style="thin">
        <color rgb="FFC00000"/>
      </bottom>
      <diagonal/>
    </border>
    <border>
      <left/>
      <right style="medium">
        <color rgb="FF695FFF"/>
      </right>
      <top style="thin">
        <color rgb="FF695FFF"/>
      </top>
      <bottom style="thin">
        <color rgb="FF695FFF"/>
      </bottom>
      <diagonal/>
    </border>
    <border>
      <left style="medium">
        <color rgb="FF695FFF"/>
      </left>
      <right/>
      <top/>
      <bottom style="medium">
        <color rgb="FF695FFF"/>
      </bottom>
      <diagonal/>
    </border>
    <border>
      <left/>
      <right/>
      <top/>
      <bottom style="medium">
        <color rgb="FF695FFF"/>
      </bottom>
      <diagonal/>
    </border>
    <border>
      <left/>
      <right style="medium">
        <color rgb="FF695FFF"/>
      </right>
      <top/>
      <bottom style="medium">
        <color rgb="FF695FFF"/>
      </bottom>
      <diagonal/>
    </border>
    <border>
      <left/>
      <right style="medium">
        <color rgb="FF695FFF"/>
      </right>
      <top style="medium">
        <color theme="6" tint="-0.499984740745262"/>
      </top>
      <bottom/>
      <diagonal/>
    </border>
    <border>
      <left style="medium">
        <color rgb="FF695FFF"/>
      </left>
      <right/>
      <top style="medium">
        <color rgb="FF695FFF"/>
      </top>
      <bottom style="medium">
        <color rgb="FF695FFF"/>
      </bottom>
      <diagonal/>
    </border>
    <border>
      <left/>
      <right style="medium">
        <color rgb="FF695FFF"/>
      </right>
      <top style="medium">
        <color rgb="FF695FFF"/>
      </top>
      <bottom style="medium">
        <color rgb="FF695FFF"/>
      </bottom>
      <diagonal/>
    </border>
    <border>
      <left style="medium">
        <color rgb="FF695FFF"/>
      </left>
      <right style="thin">
        <color rgb="FF695FFF"/>
      </right>
      <top style="medium">
        <color rgb="FF695FFF"/>
      </top>
      <bottom style="medium">
        <color rgb="FF695FFF"/>
      </bottom>
      <diagonal/>
    </border>
    <border>
      <left style="thin">
        <color rgb="FF695FFF"/>
      </left>
      <right style="medium">
        <color rgb="FF695FFF"/>
      </right>
      <top style="medium">
        <color rgb="FF695FFF"/>
      </top>
      <bottom style="medium">
        <color rgb="FF695FFF"/>
      </bottom>
      <diagonal/>
    </border>
    <border>
      <left/>
      <right/>
      <top style="thin">
        <color rgb="FF695FFF"/>
      </top>
      <bottom style="thin">
        <color rgb="FF695FFF"/>
      </bottom>
      <diagonal/>
    </border>
    <border>
      <left style="thin">
        <color rgb="FF695FFF"/>
      </left>
      <right/>
      <top/>
      <bottom style="thin">
        <color rgb="FF695FFF"/>
      </bottom>
      <diagonal/>
    </border>
    <border>
      <left/>
      <right/>
      <top/>
      <bottom style="thin">
        <color rgb="FF695FFF"/>
      </bottom>
      <diagonal/>
    </border>
    <border>
      <left/>
      <right style="thin">
        <color rgb="FF695FFF"/>
      </right>
      <top/>
      <bottom style="thin">
        <color rgb="FF695FFF"/>
      </bottom>
      <diagonal/>
    </border>
    <border>
      <left style="medium">
        <color rgb="FF695FFF"/>
      </left>
      <right/>
      <top style="thin">
        <color rgb="FF695FFF"/>
      </top>
      <bottom style="thin">
        <color rgb="FF695FFF"/>
      </bottom>
      <diagonal/>
    </border>
    <border>
      <left style="thin">
        <color rgb="FF695FFF"/>
      </left>
      <right style="medium">
        <color rgb="FF695FFF"/>
      </right>
      <top style="thin">
        <color rgb="FF695FFF"/>
      </top>
      <bottom style="thin">
        <color rgb="FF695FFF"/>
      </bottom>
      <diagonal/>
    </border>
    <border>
      <left style="medium">
        <color rgb="FF695FFF"/>
      </left>
      <right/>
      <top/>
      <bottom style="thin">
        <color rgb="FF695FFF"/>
      </bottom>
      <diagonal/>
    </border>
    <border>
      <left/>
      <right style="medium">
        <color rgb="FF695FFF"/>
      </right>
      <top/>
      <bottom style="thin">
        <color rgb="FF695FFF"/>
      </bottom>
      <diagonal/>
    </border>
    <border>
      <left style="medium">
        <color rgb="FF695FFF"/>
      </left>
      <right/>
      <top/>
      <bottom style="thin">
        <color theme="6" tint="-0.499984740745262"/>
      </bottom>
      <diagonal/>
    </border>
    <border>
      <left/>
      <right style="medium">
        <color rgb="FF695FFF"/>
      </right>
      <top/>
      <bottom style="thin">
        <color theme="6" tint="-0.499984740745262"/>
      </bottom>
      <diagonal/>
    </border>
    <border>
      <left style="medium">
        <color rgb="FF695FFF"/>
      </left>
      <right/>
      <top style="thin">
        <color theme="6" tint="-0.499984740745262"/>
      </top>
      <bottom/>
      <diagonal/>
    </border>
    <border>
      <left/>
      <right style="medium">
        <color rgb="FF695FFF"/>
      </right>
      <top style="thin">
        <color theme="6" tint="-0.499984740745262"/>
      </top>
      <bottom/>
      <diagonal/>
    </border>
    <border>
      <left/>
      <right/>
      <top style="medium">
        <color rgb="FF695FFF"/>
      </top>
      <bottom style="medium">
        <color rgb="FF695FFF"/>
      </bottom>
      <diagonal/>
    </border>
    <border>
      <left style="thin">
        <color rgb="FF695FFF"/>
      </left>
      <right/>
      <top style="medium">
        <color rgb="FF695FFF"/>
      </top>
      <bottom style="thin">
        <color rgb="FF695FFF"/>
      </bottom>
      <diagonal/>
    </border>
    <border>
      <left/>
      <right style="medium">
        <color rgb="FF695FFF"/>
      </right>
      <top style="medium">
        <color rgb="FF695FFF"/>
      </top>
      <bottom style="thin">
        <color rgb="FF695FFF"/>
      </bottom>
      <diagonal/>
    </border>
    <border>
      <left style="thin">
        <color rgb="FF695FFF"/>
      </left>
      <right/>
      <top/>
      <bottom/>
      <diagonal/>
    </border>
    <border>
      <left/>
      <right style="thin">
        <color rgb="FF695FFF"/>
      </right>
      <top/>
      <bottom/>
      <diagonal/>
    </border>
    <border>
      <left style="medium">
        <color rgb="FF695FFF"/>
      </left>
      <right style="thin">
        <color theme="6" tint="-0.499984740745262"/>
      </right>
      <top/>
      <bottom/>
      <diagonal/>
    </border>
    <border>
      <left style="medium">
        <color rgb="FF695FFF"/>
      </left>
      <right/>
      <top style="mediumDashed">
        <color rgb="FF695FFF"/>
      </top>
      <bottom/>
      <diagonal/>
    </border>
    <border>
      <left/>
      <right/>
      <top style="mediumDashed">
        <color rgb="FF695FFF"/>
      </top>
      <bottom/>
      <diagonal/>
    </border>
    <border>
      <left style="mediumDashed">
        <color rgb="FF695FFF"/>
      </left>
      <right/>
      <top style="mediumDashed">
        <color rgb="FF695FFF"/>
      </top>
      <bottom/>
      <diagonal/>
    </border>
    <border>
      <left/>
      <right style="mediumDashed">
        <color rgb="FF695FFF"/>
      </right>
      <top style="mediumDashed">
        <color rgb="FF695FFF"/>
      </top>
      <bottom/>
      <diagonal/>
    </border>
    <border>
      <left/>
      <right style="medium">
        <color rgb="FF695FFF"/>
      </right>
      <top style="mediumDashed">
        <color rgb="FF695FFF"/>
      </top>
      <bottom/>
      <diagonal/>
    </border>
    <border>
      <left style="mediumDashed">
        <color rgb="FF695FFF"/>
      </left>
      <right/>
      <top/>
      <bottom/>
      <diagonal/>
    </border>
    <border>
      <left/>
      <right style="mediumDashed">
        <color rgb="FF695FFF"/>
      </right>
      <top/>
      <bottom/>
      <diagonal/>
    </border>
    <border>
      <left style="mediumDashed">
        <color rgb="FF695FFF"/>
      </left>
      <right/>
      <top style="thin">
        <color rgb="FF695FFF"/>
      </top>
      <bottom style="thin">
        <color rgb="FF695FFF"/>
      </bottom>
      <diagonal/>
    </border>
    <border>
      <left style="mediumDashed">
        <color rgb="FF695FFF"/>
      </left>
      <right style="thin">
        <color rgb="FF695FFF"/>
      </right>
      <top/>
      <bottom/>
      <diagonal/>
    </border>
    <border>
      <left style="mediumDashed">
        <color rgb="FF695FFF"/>
      </left>
      <right/>
      <top/>
      <bottom style="medium">
        <color rgb="FF695FFF"/>
      </bottom>
      <diagonal/>
    </border>
    <border>
      <left/>
      <right style="mediumDashed">
        <color rgb="FF695FFF"/>
      </right>
      <top/>
      <bottom style="medium">
        <color rgb="FF695FFF"/>
      </bottom>
      <diagonal/>
    </border>
    <border>
      <left style="thin">
        <color rgb="FF695FFF"/>
      </left>
      <right/>
      <top style="thin">
        <color rgb="FF695FFF"/>
      </top>
      <bottom/>
      <diagonal/>
    </border>
    <border>
      <left/>
      <right/>
      <top style="thin">
        <color rgb="FF695FFF"/>
      </top>
      <bottom/>
      <diagonal/>
    </border>
    <border>
      <left/>
      <right style="thin">
        <color rgb="FF695FFF"/>
      </right>
      <top style="thin">
        <color rgb="FF695FFF"/>
      </top>
      <bottom/>
      <diagonal/>
    </border>
  </borders>
  <cellStyleXfs count="17">
    <xf numFmtId="0" fontId="0" fillId="0" borderId="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6" fillId="0" borderId="0"/>
    <xf numFmtId="0" fontId="10" fillId="0" borderId="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2" fillId="0" borderId="0" applyNumberFormat="0" applyFill="0" applyBorder="0" applyAlignment="0" applyProtection="0"/>
    <xf numFmtId="44" fontId="16" fillId="0" borderId="0" applyFont="0" applyFill="0" applyBorder="0" applyAlignment="0" applyProtection="0"/>
  </cellStyleXfs>
  <cellXfs count="2048">
    <xf numFmtId="0" fontId="0" fillId="0" borderId="0" xfId="0"/>
    <xf numFmtId="0" fontId="3" fillId="5" borderId="0" xfId="6" applyFont="1" applyFill="1" applyProtection="1">
      <protection hidden="1"/>
    </xf>
    <xf numFmtId="0" fontId="4" fillId="5" borderId="0" xfId="6" applyFont="1" applyFill="1" applyProtection="1">
      <protection hidden="1"/>
    </xf>
    <xf numFmtId="10" fontId="3" fillId="5" borderId="0" xfId="6" applyNumberFormat="1" applyFont="1" applyFill="1" applyProtection="1">
      <protection hidden="1"/>
    </xf>
    <xf numFmtId="0" fontId="18" fillId="5" borderId="0" xfId="0" applyFont="1" applyFill="1" applyProtection="1">
      <protection hidden="1"/>
    </xf>
    <xf numFmtId="0" fontId="3" fillId="5" borderId="0" xfId="5" applyFont="1" applyFill="1" applyProtection="1">
      <protection hidden="1"/>
    </xf>
    <xf numFmtId="0" fontId="6" fillId="5" borderId="0" xfId="0" applyFont="1" applyFill="1"/>
    <xf numFmtId="0" fontId="19" fillId="5" borderId="0" xfId="0" applyFont="1" applyFill="1" applyProtection="1">
      <protection hidden="1"/>
    </xf>
    <xf numFmtId="0" fontId="20" fillId="5" borderId="0" xfId="0" applyFont="1" applyFill="1" applyProtection="1">
      <protection hidden="1"/>
    </xf>
    <xf numFmtId="0" fontId="21" fillId="5" borderId="0" xfId="0" applyFont="1" applyFill="1" applyProtection="1">
      <protection hidden="1"/>
    </xf>
    <xf numFmtId="166" fontId="23" fillId="5" borderId="0" xfId="0" applyNumberFormat="1" applyFont="1" applyFill="1" applyProtection="1">
      <protection hidden="1"/>
    </xf>
    <xf numFmtId="0" fontId="23" fillId="5" borderId="0" xfId="0" applyFont="1" applyFill="1" applyProtection="1">
      <protection hidden="1"/>
    </xf>
    <xf numFmtId="10" fontId="23" fillId="5" borderId="0" xfId="11" applyNumberFormat="1" applyFont="1" applyFill="1" applyProtection="1">
      <protection hidden="1"/>
    </xf>
    <xf numFmtId="0" fontId="19" fillId="0" borderId="0" xfId="0" applyFont="1" applyProtection="1">
      <protection hidden="1"/>
    </xf>
    <xf numFmtId="0" fontId="6" fillId="5" borderId="0" xfId="0" applyFont="1" applyFill="1" applyProtection="1">
      <protection hidden="1"/>
    </xf>
    <xf numFmtId="0" fontId="25" fillId="0" borderId="0" xfId="0" applyFont="1" applyProtection="1">
      <protection hidden="1"/>
    </xf>
    <xf numFmtId="0" fontId="21" fillId="7" borderId="0" xfId="0" applyFont="1" applyFill="1" applyProtection="1">
      <protection hidden="1"/>
    </xf>
    <xf numFmtId="0" fontId="25" fillId="7" borderId="0" xfId="0" applyFont="1" applyFill="1" applyProtection="1">
      <protection hidden="1"/>
    </xf>
    <xf numFmtId="0" fontId="25" fillId="0" borderId="0" xfId="0" applyFont="1" applyAlignment="1" applyProtection="1">
      <alignment vertical="center"/>
      <protection hidden="1"/>
    </xf>
    <xf numFmtId="0" fontId="26" fillId="0" borderId="0" xfId="0" applyFont="1" applyProtection="1">
      <protection hidden="1"/>
    </xf>
    <xf numFmtId="0" fontId="28" fillId="0" borderId="0" xfId="0" applyFont="1" applyProtection="1">
      <protection hidden="1"/>
    </xf>
    <xf numFmtId="0" fontId="29" fillId="0" borderId="0" xfId="0" applyFont="1" applyProtection="1">
      <protection hidden="1"/>
    </xf>
    <xf numFmtId="0" fontId="28" fillId="7" borderId="0" xfId="0" applyFont="1" applyFill="1" applyProtection="1">
      <protection hidden="1"/>
    </xf>
    <xf numFmtId="9" fontId="28" fillId="0" borderId="0" xfId="0" applyNumberFormat="1" applyFont="1" applyProtection="1">
      <protection hidden="1"/>
    </xf>
    <xf numFmtId="166" fontId="28" fillId="0" borderId="0" xfId="0" applyNumberFormat="1" applyFont="1" applyProtection="1">
      <protection hidden="1"/>
    </xf>
    <xf numFmtId="166" fontId="26" fillId="5" borderId="0" xfId="0" applyNumberFormat="1" applyFont="1" applyFill="1" applyProtection="1">
      <protection hidden="1"/>
    </xf>
    <xf numFmtId="0" fontId="26" fillId="0" borderId="0" xfId="0" applyFont="1" applyAlignment="1" applyProtection="1">
      <alignment horizontal="center"/>
      <protection hidden="1"/>
    </xf>
    <xf numFmtId="0" fontId="26" fillId="7" borderId="0" xfId="0" applyFont="1" applyFill="1" applyProtection="1">
      <protection hidden="1"/>
    </xf>
    <xf numFmtId="166" fontId="26" fillId="0" borderId="0" xfId="0" applyNumberFormat="1" applyFont="1" applyProtection="1">
      <protection hidden="1"/>
    </xf>
    <xf numFmtId="0" fontId="26" fillId="0" borderId="50" xfId="0" applyFont="1" applyBorder="1" applyAlignment="1" applyProtection="1">
      <alignment wrapText="1"/>
      <protection hidden="1"/>
    </xf>
    <xf numFmtId="0" fontId="19" fillId="0" borderId="50" xfId="0" applyFont="1" applyBorder="1" applyProtection="1">
      <protection hidden="1"/>
    </xf>
    <xf numFmtId="166" fontId="30" fillId="5" borderId="0" xfId="0" applyNumberFormat="1" applyFont="1" applyFill="1" applyProtection="1">
      <protection hidden="1"/>
    </xf>
    <xf numFmtId="0" fontId="31" fillId="5" borderId="0" xfId="0" applyFont="1" applyFill="1" applyAlignment="1" applyProtection="1">
      <alignment horizontal="center" vertical="center" textRotation="90"/>
      <protection hidden="1"/>
    </xf>
    <xf numFmtId="0" fontId="27" fillId="0" borderId="0" xfId="0" applyFont="1" applyProtection="1">
      <protection hidden="1"/>
    </xf>
    <xf numFmtId="0" fontId="32" fillId="0" borderId="0" xfId="0" applyFont="1" applyAlignment="1" applyProtection="1">
      <alignment vertical="center" textRotation="90"/>
      <protection hidden="1"/>
    </xf>
    <xf numFmtId="0" fontId="33" fillId="9" borderId="0" xfId="0" applyFont="1" applyFill="1" applyAlignment="1" applyProtection="1">
      <alignment horizontal="left"/>
      <protection hidden="1"/>
    </xf>
    <xf numFmtId="0" fontId="30" fillId="0" borderId="51" xfId="0" applyFont="1" applyBorder="1" applyAlignment="1" applyProtection="1">
      <alignment horizontal="center" vertical="center"/>
      <protection hidden="1"/>
    </xf>
    <xf numFmtId="14" fontId="26" fillId="0" borderId="0" xfId="0" applyNumberFormat="1" applyFont="1" applyProtection="1">
      <protection hidden="1"/>
    </xf>
    <xf numFmtId="167" fontId="25" fillId="0" borderId="0" xfId="1" applyNumberFormat="1" applyFont="1" applyAlignment="1" applyProtection="1">
      <alignment horizontal="center" vertical="center"/>
      <protection hidden="1"/>
    </xf>
    <xf numFmtId="0" fontId="27" fillId="5" borderId="53" xfId="0" applyFont="1" applyFill="1" applyBorder="1" applyAlignment="1" applyProtection="1">
      <alignment horizontal="center" vertical="center"/>
      <protection hidden="1"/>
    </xf>
    <xf numFmtId="0" fontId="26" fillId="5" borderId="0" xfId="0" applyFont="1" applyFill="1" applyProtection="1">
      <protection hidden="1"/>
    </xf>
    <xf numFmtId="0" fontId="3" fillId="10" borderId="0" xfId="0" applyFont="1" applyFill="1" applyProtection="1">
      <protection hidden="1"/>
    </xf>
    <xf numFmtId="0" fontId="8" fillId="10" borderId="53" xfId="0" applyFont="1" applyFill="1" applyBorder="1" applyAlignment="1" applyProtection="1">
      <alignment horizontal="center" vertical="center"/>
      <protection hidden="1"/>
    </xf>
    <xf numFmtId="0" fontId="34" fillId="10" borderId="0" xfId="0" applyFont="1" applyFill="1" applyProtection="1">
      <protection hidden="1"/>
    </xf>
    <xf numFmtId="0" fontId="35" fillId="0" borderId="53" xfId="0" applyFont="1" applyBorder="1" applyAlignment="1" applyProtection="1">
      <alignment horizontal="center" vertical="center"/>
      <protection hidden="1"/>
    </xf>
    <xf numFmtId="0" fontId="25" fillId="0" borderId="53" xfId="0" applyFont="1" applyBorder="1" applyAlignment="1" applyProtection="1">
      <alignment vertical="center"/>
      <protection hidden="1"/>
    </xf>
    <xf numFmtId="0" fontId="27" fillId="8" borderId="52" xfId="0" applyFont="1" applyFill="1" applyBorder="1" applyAlignment="1" applyProtection="1">
      <alignment horizontal="center" vertical="center"/>
      <protection hidden="1"/>
    </xf>
    <xf numFmtId="14" fontId="27" fillId="8" borderId="52" xfId="0" applyNumberFormat="1" applyFont="1" applyFill="1" applyBorder="1" applyAlignment="1" applyProtection="1">
      <alignment horizontal="center" vertical="center"/>
      <protection hidden="1"/>
    </xf>
    <xf numFmtId="42" fontId="27" fillId="8" borderId="52" xfId="0" applyNumberFormat="1" applyFont="1" applyFill="1" applyBorder="1" applyAlignment="1" applyProtection="1">
      <alignment horizontal="right" vertical="center"/>
      <protection hidden="1"/>
    </xf>
    <xf numFmtId="42" fontId="25" fillId="7" borderId="0" xfId="0" applyNumberFormat="1" applyFont="1" applyFill="1" applyProtection="1">
      <protection hidden="1"/>
    </xf>
    <xf numFmtId="42" fontId="25" fillId="0" borderId="0" xfId="0" applyNumberFormat="1" applyFont="1" applyProtection="1">
      <protection hidden="1"/>
    </xf>
    <xf numFmtId="0" fontId="25" fillId="0" borderId="53" xfId="0" applyFont="1" applyBorder="1" applyAlignment="1" applyProtection="1">
      <alignment horizontal="center" vertical="center"/>
      <protection hidden="1"/>
    </xf>
    <xf numFmtId="0" fontId="19" fillId="0" borderId="53" xfId="0" applyFont="1" applyBorder="1" applyAlignment="1" applyProtection="1">
      <alignment horizontal="center" vertical="center"/>
      <protection hidden="1"/>
    </xf>
    <xf numFmtId="0" fontId="25" fillId="11" borderId="0" xfId="0" applyFont="1" applyFill="1" applyProtection="1">
      <protection hidden="1"/>
    </xf>
    <xf numFmtId="0" fontId="19" fillId="7" borderId="0" xfId="0" applyFont="1" applyFill="1" applyProtection="1">
      <protection hidden="1"/>
    </xf>
    <xf numFmtId="0" fontId="25" fillId="0" borderId="54" xfId="0" applyFont="1" applyBorder="1" applyAlignment="1" applyProtection="1">
      <alignment horizontal="center" vertical="center"/>
      <protection hidden="1"/>
    </xf>
    <xf numFmtId="166" fontId="25" fillId="0" borderId="53" xfId="0" applyNumberFormat="1" applyFont="1" applyBorder="1" applyAlignment="1" applyProtection="1">
      <alignment horizontal="center" vertical="center"/>
      <protection hidden="1"/>
    </xf>
    <xf numFmtId="0" fontId="33" fillId="0" borderId="0" xfId="0" applyFont="1" applyAlignment="1" applyProtection="1">
      <alignment horizontal="center" vertical="center" textRotation="90"/>
      <protection hidden="1"/>
    </xf>
    <xf numFmtId="166" fontId="32" fillId="10" borderId="53" xfId="1" applyNumberFormat="1" applyFont="1" applyFill="1" applyBorder="1" applyProtection="1">
      <protection hidden="1"/>
    </xf>
    <xf numFmtId="166" fontId="32" fillId="10" borderId="55" xfId="1" applyNumberFormat="1" applyFont="1" applyFill="1" applyBorder="1" applyProtection="1">
      <protection hidden="1"/>
    </xf>
    <xf numFmtId="0" fontId="25" fillId="0" borderId="0" xfId="0" applyFont="1" applyAlignment="1" applyProtection="1">
      <alignment horizontal="center" vertical="center"/>
      <protection hidden="1"/>
    </xf>
    <xf numFmtId="0" fontId="25" fillId="7" borderId="0" xfId="0" applyFont="1" applyFill="1" applyAlignment="1" applyProtection="1">
      <alignment vertical="center"/>
      <protection hidden="1"/>
    </xf>
    <xf numFmtId="166" fontId="32" fillId="10" borderId="0" xfId="1" applyNumberFormat="1" applyFont="1" applyFill="1" applyProtection="1">
      <protection hidden="1"/>
    </xf>
    <xf numFmtId="166" fontId="34" fillId="10" borderId="0" xfId="0" applyNumberFormat="1" applyFont="1" applyFill="1" applyProtection="1">
      <protection hidden="1"/>
    </xf>
    <xf numFmtId="168" fontId="32" fillId="10" borderId="0" xfId="1" applyNumberFormat="1" applyFont="1" applyFill="1" applyProtection="1">
      <protection hidden="1"/>
    </xf>
    <xf numFmtId="0" fontId="25" fillId="0" borderId="0" xfId="0" applyFont="1" applyAlignment="1" applyProtection="1">
      <alignment horizontal="center"/>
      <protection hidden="1"/>
    </xf>
    <xf numFmtId="0" fontId="25" fillId="12" borderId="0" xfId="0" applyFont="1" applyFill="1" applyProtection="1">
      <protection hidden="1"/>
    </xf>
    <xf numFmtId="166" fontId="25" fillId="0" borderId="0" xfId="0" applyNumberFormat="1" applyFont="1" applyAlignment="1" applyProtection="1">
      <alignment horizontal="center" vertical="center"/>
      <protection hidden="1"/>
    </xf>
    <xf numFmtId="0" fontId="30" fillId="0" borderId="0" xfId="0" applyFont="1" applyAlignment="1" applyProtection="1">
      <alignment horizontal="center"/>
      <protection hidden="1"/>
    </xf>
    <xf numFmtId="0" fontId="26" fillId="7" borderId="0" xfId="0" applyFont="1" applyFill="1" applyAlignment="1" applyProtection="1">
      <alignment horizontal="center"/>
      <protection hidden="1"/>
    </xf>
    <xf numFmtId="0" fontId="26" fillId="0" borderId="0" xfId="0" applyFont="1" applyAlignment="1" applyProtection="1">
      <alignment horizontal="left" wrapText="1"/>
      <protection hidden="1"/>
    </xf>
    <xf numFmtId="0" fontId="30" fillId="0" borderId="0" xfId="0" applyFont="1" applyProtection="1">
      <protection hidden="1"/>
    </xf>
    <xf numFmtId="0" fontId="26" fillId="0" borderId="0" xfId="0" applyFont="1" applyAlignment="1" applyProtection="1">
      <alignment horizontal="right"/>
      <protection hidden="1"/>
    </xf>
    <xf numFmtId="0" fontId="25" fillId="5" borderId="0" xfId="0" applyFont="1" applyFill="1" applyProtection="1">
      <protection hidden="1"/>
    </xf>
    <xf numFmtId="0" fontId="26" fillId="5" borderId="0" xfId="0" applyFont="1" applyFill="1" applyAlignment="1" applyProtection="1">
      <alignment horizontal="right"/>
      <protection hidden="1"/>
    </xf>
    <xf numFmtId="0" fontId="3" fillId="10" borderId="0" xfId="0" applyFont="1" applyFill="1" applyAlignment="1" applyProtection="1">
      <alignment horizontal="right"/>
      <protection hidden="1"/>
    </xf>
    <xf numFmtId="166" fontId="3" fillId="10" borderId="0" xfId="0" applyNumberFormat="1" applyFont="1" applyFill="1" applyAlignment="1" applyProtection="1">
      <alignment vertical="center"/>
      <protection hidden="1"/>
    </xf>
    <xf numFmtId="0" fontId="37" fillId="5" borderId="0" xfId="0" applyFont="1" applyFill="1" applyAlignment="1" applyProtection="1">
      <alignment horizontal="center"/>
      <protection hidden="1"/>
    </xf>
    <xf numFmtId="0" fontId="25" fillId="0" borderId="0" xfId="0" applyFont="1" applyAlignment="1" applyProtection="1">
      <alignment wrapText="1"/>
      <protection hidden="1"/>
    </xf>
    <xf numFmtId="0" fontId="39" fillId="5" borderId="0" xfId="0" applyFont="1" applyFill="1" applyAlignment="1" applyProtection="1">
      <alignment vertical="center"/>
      <protection hidden="1"/>
    </xf>
    <xf numFmtId="0" fontId="39" fillId="5" borderId="0" xfId="0" applyFont="1" applyFill="1" applyAlignment="1" applyProtection="1">
      <alignment horizontal="center"/>
      <protection hidden="1"/>
    </xf>
    <xf numFmtId="0" fontId="34" fillId="5" borderId="0" xfId="0" applyFont="1" applyFill="1" applyProtection="1">
      <protection hidden="1"/>
    </xf>
    <xf numFmtId="0" fontId="40" fillId="5" borderId="0" xfId="0" applyFont="1" applyFill="1" applyProtection="1">
      <protection hidden="1"/>
    </xf>
    <xf numFmtId="0" fontId="32" fillId="5" borderId="0" xfId="0" applyFont="1" applyFill="1" applyAlignment="1" applyProtection="1">
      <alignment horizontal="center" vertical="center" textRotation="90"/>
      <protection hidden="1"/>
    </xf>
    <xf numFmtId="0" fontId="38" fillId="5" borderId="0" xfId="0" applyFont="1" applyFill="1" applyAlignment="1" applyProtection="1">
      <alignment horizontal="right"/>
      <protection hidden="1"/>
    </xf>
    <xf numFmtId="10" fontId="20" fillId="0" borderId="0" xfId="11" applyNumberFormat="1" applyFont="1" applyBorder="1" applyAlignment="1" applyProtection="1">
      <alignment vertical="center"/>
      <protection hidden="1"/>
    </xf>
    <xf numFmtId="0" fontId="19" fillId="5" borderId="0" xfId="0" applyFont="1" applyFill="1"/>
    <xf numFmtId="0" fontId="41" fillId="5" borderId="0" xfId="0" applyFont="1" applyFill="1" applyAlignment="1">
      <alignment horizontal="center"/>
    </xf>
    <xf numFmtId="0" fontId="41" fillId="5" borderId="7" xfId="0" applyFont="1" applyFill="1" applyBorder="1" applyAlignment="1">
      <alignment horizontal="left"/>
    </xf>
    <xf numFmtId="0" fontId="41" fillId="5" borderId="8" xfId="0" applyFont="1" applyFill="1" applyBorder="1" applyAlignment="1">
      <alignment horizontal="center"/>
    </xf>
    <xf numFmtId="0" fontId="41" fillId="5" borderId="9" xfId="0" applyFont="1" applyFill="1" applyBorder="1" applyAlignment="1">
      <alignment horizontal="left"/>
    </xf>
    <xf numFmtId="0" fontId="41" fillId="5" borderId="10" xfId="0" applyFont="1" applyFill="1" applyBorder="1" applyAlignment="1">
      <alignment horizontal="center"/>
    </xf>
    <xf numFmtId="0" fontId="19" fillId="5" borderId="13" xfId="0" applyFont="1" applyFill="1" applyBorder="1"/>
    <xf numFmtId="0" fontId="41" fillId="5" borderId="14" xfId="0" applyFont="1" applyFill="1" applyBorder="1" applyAlignment="1">
      <alignment horizontal="center"/>
    </xf>
    <xf numFmtId="0" fontId="19" fillId="5" borderId="15" xfId="0" applyFont="1" applyFill="1" applyBorder="1"/>
    <xf numFmtId="0" fontId="19" fillId="5" borderId="17" xfId="0" applyFont="1" applyFill="1" applyBorder="1"/>
    <xf numFmtId="0" fontId="19" fillId="5" borderId="19" xfId="0" applyFont="1" applyFill="1" applyBorder="1"/>
    <xf numFmtId="42" fontId="18" fillId="5" borderId="0" xfId="0" applyNumberFormat="1" applyFont="1" applyFill="1"/>
    <xf numFmtId="0" fontId="41" fillId="5" borderId="7" xfId="0" applyFont="1" applyFill="1" applyBorder="1"/>
    <xf numFmtId="0" fontId="19" fillId="5" borderId="11" xfId="0" applyFont="1" applyFill="1" applyBorder="1"/>
    <xf numFmtId="0" fontId="19" fillId="5" borderId="20" xfId="0" applyFont="1" applyFill="1" applyBorder="1"/>
    <xf numFmtId="0" fontId="32" fillId="5" borderId="7" xfId="0" applyFont="1" applyFill="1" applyBorder="1" applyAlignment="1">
      <alignment horizontal="right"/>
    </xf>
    <xf numFmtId="0" fontId="42" fillId="5" borderId="13" xfId="0" applyFont="1" applyFill="1" applyBorder="1"/>
    <xf numFmtId="0" fontId="42" fillId="5" borderId="15" xfId="0" applyFont="1" applyFill="1" applyBorder="1"/>
    <xf numFmtId="0" fontId="42" fillId="5" borderId="17" xfId="0" applyFont="1" applyFill="1" applyBorder="1"/>
    <xf numFmtId="0" fontId="42" fillId="5" borderId="9" xfId="0" applyFont="1" applyFill="1" applyBorder="1"/>
    <xf numFmtId="0" fontId="44" fillId="5" borderId="13" xfId="0" applyFont="1" applyFill="1" applyBorder="1"/>
    <xf numFmtId="0" fontId="44" fillId="5" borderId="17" xfId="0" applyFont="1" applyFill="1" applyBorder="1"/>
    <xf numFmtId="0" fontId="45" fillId="5" borderId="0" xfId="0" applyFont="1" applyFill="1" applyAlignment="1">
      <alignment horizontal="justify" wrapText="1"/>
    </xf>
    <xf numFmtId="0" fontId="41" fillId="5" borderId="0" xfId="0" applyFont="1" applyFill="1" applyAlignment="1">
      <alignment wrapText="1"/>
    </xf>
    <xf numFmtId="0" fontId="6" fillId="5" borderId="0" xfId="0" applyFont="1" applyFill="1" applyAlignment="1">
      <alignment wrapText="1"/>
    </xf>
    <xf numFmtId="0" fontId="6" fillId="5" borderId="0" xfId="0" applyFont="1" applyFill="1" applyAlignment="1">
      <alignment horizontal="left"/>
    </xf>
    <xf numFmtId="0" fontId="7" fillId="5" borderId="0" xfId="0" applyFont="1" applyFill="1"/>
    <xf numFmtId="10" fontId="0" fillId="0" borderId="0" xfId="0" applyNumberFormat="1"/>
    <xf numFmtId="10" fontId="16" fillId="0" borderId="0" xfId="11" applyNumberFormat="1" applyFont="1"/>
    <xf numFmtId="167" fontId="16" fillId="0" borderId="0" xfId="1" applyNumberFormat="1" applyFont="1"/>
    <xf numFmtId="169" fontId="16" fillId="0" borderId="0" xfId="11" applyNumberFormat="1" applyFont="1"/>
    <xf numFmtId="9" fontId="0" fillId="13" borderId="0" xfId="0" applyNumberFormat="1" applyFill="1"/>
    <xf numFmtId="170" fontId="16" fillId="0" borderId="0" xfId="11" applyNumberFormat="1" applyFont="1"/>
    <xf numFmtId="0" fontId="0" fillId="13" borderId="0" xfId="0" applyFill="1"/>
    <xf numFmtId="0" fontId="11" fillId="4" borderId="22" xfId="10" applyFont="1" applyFill="1" applyBorder="1" applyAlignment="1">
      <alignment vertical="top" wrapText="1"/>
    </xf>
    <xf numFmtId="0" fontId="11" fillId="4" borderId="22" xfId="10" applyFont="1" applyFill="1" applyBorder="1" applyAlignment="1">
      <alignment horizontal="center" vertical="top" wrapText="1"/>
    </xf>
    <xf numFmtId="37" fontId="0" fillId="0" borderId="0" xfId="0" applyNumberFormat="1" applyAlignment="1">
      <alignment horizontal="right"/>
    </xf>
    <xf numFmtId="0" fontId="11" fillId="4" borderId="23" xfId="10" applyFont="1" applyFill="1" applyBorder="1" applyAlignment="1">
      <alignment vertical="top" wrapText="1"/>
    </xf>
    <xf numFmtId="0" fontId="11" fillId="4" borderId="23" xfId="10" applyFont="1" applyFill="1" applyBorder="1" applyAlignment="1">
      <alignment horizontal="center" vertical="top" wrapText="1"/>
    </xf>
    <xf numFmtId="9" fontId="0" fillId="0" borderId="0" xfId="0" applyNumberFormat="1"/>
    <xf numFmtId="0" fontId="12" fillId="14" borderId="24" xfId="10" applyFont="1" applyFill="1" applyBorder="1" applyAlignment="1">
      <alignment vertical="top" wrapText="1"/>
    </xf>
    <xf numFmtId="10" fontId="12" fillId="14" borderId="24" xfId="10" applyNumberFormat="1" applyFont="1" applyFill="1" applyBorder="1" applyAlignment="1">
      <alignment horizontal="center" vertical="top" wrapText="1"/>
    </xf>
    <xf numFmtId="10" fontId="12" fillId="3" borderId="24" xfId="10" applyNumberFormat="1" applyFont="1" applyFill="1" applyBorder="1" applyAlignment="1">
      <alignment vertical="top" wrapText="1"/>
    </xf>
    <xf numFmtId="167" fontId="12" fillId="14" borderId="24" xfId="1" applyNumberFormat="1" applyFont="1" applyFill="1" applyBorder="1" applyAlignment="1">
      <alignment horizontal="center" vertical="top" wrapText="1"/>
    </xf>
    <xf numFmtId="169" fontId="12" fillId="14" borderId="24" xfId="11" applyNumberFormat="1" applyFont="1" applyFill="1" applyBorder="1" applyAlignment="1">
      <alignment horizontal="center" vertical="top" wrapText="1"/>
    </xf>
    <xf numFmtId="0" fontId="12" fillId="14" borderId="25" xfId="10" applyFont="1" applyFill="1" applyBorder="1" applyAlignment="1">
      <alignment vertical="top" wrapText="1"/>
    </xf>
    <xf numFmtId="0" fontId="12" fillId="2" borderId="26" xfId="10" applyFont="1" applyFill="1" applyBorder="1" applyAlignment="1">
      <alignment vertical="top" wrapText="1"/>
    </xf>
    <xf numFmtId="10" fontId="12" fillId="2" borderId="26" xfId="10" applyNumberFormat="1" applyFont="1" applyFill="1" applyBorder="1" applyAlignment="1">
      <alignment horizontal="center" vertical="top" wrapText="1"/>
    </xf>
    <xf numFmtId="169" fontId="12" fillId="2" borderId="26" xfId="11" applyNumberFormat="1" applyFont="1" applyFill="1" applyBorder="1" applyAlignment="1">
      <alignment horizontal="center" vertical="top" wrapText="1"/>
    </xf>
    <xf numFmtId="0" fontId="12" fillId="14" borderId="26" xfId="10" applyFont="1" applyFill="1" applyBorder="1" applyAlignment="1">
      <alignment vertical="top" wrapText="1"/>
    </xf>
    <xf numFmtId="10" fontId="12" fillId="14" borderId="26" xfId="10" applyNumberFormat="1" applyFont="1" applyFill="1" applyBorder="1" applyAlignment="1">
      <alignment horizontal="center" vertical="top" wrapText="1"/>
    </xf>
    <xf numFmtId="169" fontId="12" fillId="14" borderId="26" xfId="11" applyNumberFormat="1" applyFont="1" applyFill="1" applyBorder="1" applyAlignment="1">
      <alignment horizontal="center" vertical="top" wrapText="1"/>
    </xf>
    <xf numFmtId="3" fontId="0" fillId="0" borderId="0" xfId="0" applyNumberFormat="1"/>
    <xf numFmtId="10" fontId="12" fillId="14" borderId="23" xfId="10" applyNumberFormat="1" applyFont="1" applyFill="1" applyBorder="1" applyAlignment="1">
      <alignment horizontal="center" vertical="top" wrapText="1"/>
    </xf>
    <xf numFmtId="10" fontId="12" fillId="3" borderId="23" xfId="10" applyNumberFormat="1" applyFont="1" applyFill="1" applyBorder="1" applyAlignment="1">
      <alignment vertical="top" wrapText="1"/>
    </xf>
    <xf numFmtId="10" fontId="12" fillId="14" borderId="25" xfId="10" applyNumberFormat="1" applyFont="1" applyFill="1" applyBorder="1" applyAlignment="1">
      <alignment horizontal="center" vertical="top" wrapText="1"/>
    </xf>
    <xf numFmtId="167" fontId="12" fillId="14" borderId="23" xfId="1" applyNumberFormat="1" applyFont="1" applyFill="1" applyBorder="1" applyAlignment="1">
      <alignment horizontal="center" vertical="top" wrapText="1"/>
    </xf>
    <xf numFmtId="0" fontId="12" fillId="14" borderId="0" xfId="10" applyFont="1" applyFill="1" applyAlignment="1">
      <alignment vertical="top" wrapText="1"/>
    </xf>
    <xf numFmtId="167" fontId="12" fillId="14" borderId="25" xfId="1" applyNumberFormat="1" applyFont="1" applyFill="1" applyBorder="1" applyAlignment="1">
      <alignment horizontal="center" vertical="top" wrapText="1"/>
    </xf>
    <xf numFmtId="167" fontId="12" fillId="13" borderId="25" xfId="1" applyNumberFormat="1" applyFont="1" applyFill="1" applyBorder="1" applyAlignment="1">
      <alignment horizontal="center" vertical="top" wrapText="1"/>
    </xf>
    <xf numFmtId="169" fontId="12" fillId="3" borderId="24" xfId="11" applyNumberFormat="1" applyFont="1" applyFill="1" applyBorder="1" applyAlignment="1">
      <alignment vertical="top" wrapText="1"/>
    </xf>
    <xf numFmtId="0" fontId="0" fillId="7" borderId="0" xfId="0" applyFill="1"/>
    <xf numFmtId="0" fontId="0" fillId="15" borderId="0" xfId="0" applyFill="1"/>
    <xf numFmtId="10" fontId="0" fillId="15" borderId="0" xfId="0" applyNumberFormat="1" applyFill="1"/>
    <xf numFmtId="0" fontId="11" fillId="4" borderId="0" xfId="10" applyFont="1" applyFill="1" applyAlignment="1">
      <alignment vertical="top" wrapText="1"/>
    </xf>
    <xf numFmtId="10" fontId="12" fillId="2" borderId="26" xfId="10" applyNumberFormat="1" applyFont="1" applyFill="1" applyBorder="1" applyAlignment="1">
      <alignment vertical="top" wrapText="1"/>
    </xf>
    <xf numFmtId="0" fontId="46" fillId="7" borderId="27" xfId="0" applyFont="1" applyFill="1" applyBorder="1" applyAlignment="1">
      <alignment horizontal="justify"/>
    </xf>
    <xf numFmtId="0" fontId="46" fillId="12" borderId="28" xfId="0" applyFont="1" applyFill="1" applyBorder="1" applyAlignment="1">
      <alignment horizontal="center"/>
    </xf>
    <xf numFmtId="0" fontId="46" fillId="12" borderId="29" xfId="0" applyFont="1" applyFill="1" applyBorder="1" applyAlignment="1">
      <alignment horizontal="center"/>
    </xf>
    <xf numFmtId="0" fontId="46" fillId="0" borderId="0" xfId="0" applyFont="1" applyAlignment="1">
      <alignment horizontal="left"/>
    </xf>
    <xf numFmtId="0" fontId="47" fillId="0" borderId="0" xfId="0" applyFont="1"/>
    <xf numFmtId="0" fontId="17" fillId="0" borderId="0" xfId="0" applyFont="1"/>
    <xf numFmtId="0" fontId="48" fillId="7" borderId="0" xfId="0" applyFont="1" applyFill="1" applyAlignment="1">
      <alignment horizontal="justify"/>
    </xf>
    <xf numFmtId="164" fontId="48" fillId="12" borderId="30" xfId="1" applyFont="1" applyFill="1" applyBorder="1" applyAlignment="1">
      <alignment horizontal="center"/>
    </xf>
    <xf numFmtId="0" fontId="48" fillId="12" borderId="12" xfId="0" applyFont="1" applyFill="1" applyBorder="1" applyAlignment="1">
      <alignment horizontal="center"/>
    </xf>
    <xf numFmtId="0" fontId="49" fillId="0" borderId="0" xfId="0" applyFont="1" applyAlignment="1">
      <alignment horizontal="left" wrapText="1"/>
    </xf>
    <xf numFmtId="0" fontId="49" fillId="0" borderId="0" xfId="0" applyFont="1" applyAlignment="1">
      <alignment horizontal="left"/>
    </xf>
    <xf numFmtId="0" fontId="50" fillId="0" borderId="27" xfId="0" applyFont="1" applyBorder="1" applyAlignment="1">
      <alignment horizontal="left"/>
    </xf>
    <xf numFmtId="0" fontId="48" fillId="0" borderId="27" xfId="0" applyFont="1" applyBorder="1" applyAlignment="1">
      <alignment horizontal="left"/>
    </xf>
    <xf numFmtId="0" fontId="48" fillId="0" borderId="0" xfId="0" applyFont="1" applyAlignment="1">
      <alignment horizontal="justify"/>
    </xf>
    <xf numFmtId="0" fontId="48" fillId="0" borderId="0" xfId="0" applyFont="1" applyAlignment="1">
      <alignment horizontal="right"/>
    </xf>
    <xf numFmtId="0" fontId="50" fillId="0" borderId="27" xfId="0" applyFont="1" applyBorder="1" applyAlignment="1">
      <alignment horizontal="justify"/>
    </xf>
    <xf numFmtId="0" fontId="50" fillId="0" borderId="27" xfId="0" applyFont="1" applyBorder="1"/>
    <xf numFmtId="0" fontId="50" fillId="0" borderId="0" xfId="0" applyFont="1"/>
    <xf numFmtId="0" fontId="48" fillId="0" borderId="31" xfId="0" applyFont="1" applyBorder="1"/>
    <xf numFmtId="0" fontId="48" fillId="0" borderId="0" xfId="0" applyFont="1"/>
    <xf numFmtId="0" fontId="48" fillId="0" borderId="0" xfId="0" applyFont="1" applyAlignment="1">
      <alignment vertical="top"/>
    </xf>
    <xf numFmtId="0" fontId="48" fillId="0" borderId="0" xfId="0" applyFont="1" applyAlignment="1">
      <alignment wrapText="1"/>
    </xf>
    <xf numFmtId="0" fontId="48" fillId="0" borderId="0" xfId="0" applyFont="1" applyAlignment="1">
      <alignment horizontal="justify" wrapText="1"/>
    </xf>
    <xf numFmtId="0" fontId="50" fillId="0" borderId="0" xfId="0" applyFont="1" applyAlignment="1">
      <alignment horizontal="left"/>
    </xf>
    <xf numFmtId="0" fontId="0" fillId="0" borderId="27" xfId="0" applyBorder="1"/>
    <xf numFmtId="0" fontId="48" fillId="0" borderId="27" xfId="0" applyFont="1" applyBorder="1"/>
    <xf numFmtId="0" fontId="1" fillId="2" borderId="0" xfId="0" applyFont="1" applyFill="1"/>
    <xf numFmtId="0" fontId="50" fillId="0" borderId="57" xfId="0" applyFont="1" applyBorder="1" applyAlignment="1">
      <alignment horizontal="justify" vertical="top" wrapText="1"/>
    </xf>
    <xf numFmtId="0" fontId="48" fillId="7" borderId="0" xfId="0" applyFont="1" applyFill="1" applyAlignment="1">
      <alignment vertical="top"/>
    </xf>
    <xf numFmtId="0" fontId="51" fillId="0" borderId="28" xfId="0" applyFont="1" applyBorder="1" applyAlignment="1">
      <alignment horizontal="center" vertical="top" wrapText="1"/>
    </xf>
    <xf numFmtId="0" fontId="51" fillId="0" borderId="30" xfId="0" applyFont="1" applyBorder="1" applyAlignment="1">
      <alignment horizontal="center" vertical="top" wrapText="1"/>
    </xf>
    <xf numFmtId="0" fontId="50" fillId="0" borderId="0" xfId="0" applyFont="1" applyAlignment="1">
      <alignment horizontal="center" vertical="top" wrapText="1"/>
    </xf>
    <xf numFmtId="0" fontId="52" fillId="0" borderId="4" xfId="0" applyFont="1" applyBorder="1" applyAlignment="1">
      <alignment wrapText="1"/>
    </xf>
    <xf numFmtId="0" fontId="52" fillId="0" borderId="4" xfId="0" applyFont="1" applyBorder="1" applyAlignment="1">
      <alignment horizontal="justify"/>
    </xf>
    <xf numFmtId="0" fontId="53" fillId="2" borderId="0" xfId="5" applyFont="1" applyFill="1" applyAlignment="1" applyProtection="1">
      <alignment horizontal="center" vertical="center"/>
      <protection hidden="1"/>
    </xf>
    <xf numFmtId="0" fontId="38" fillId="2" borderId="0" xfId="5" applyFont="1" applyFill="1" applyAlignment="1" applyProtection="1">
      <alignment horizontal="center" vertical="center"/>
      <protection hidden="1"/>
    </xf>
    <xf numFmtId="0" fontId="53" fillId="5" borderId="0" xfId="5" applyFont="1" applyFill="1" applyAlignment="1" applyProtection="1">
      <alignment horizontal="center" vertical="center"/>
      <protection hidden="1"/>
    </xf>
    <xf numFmtId="0" fontId="54" fillId="5" borderId="0" xfId="0" applyFont="1" applyFill="1" applyAlignment="1" applyProtection="1">
      <alignment horizontal="center" vertical="center"/>
      <protection hidden="1"/>
    </xf>
    <xf numFmtId="0" fontId="38" fillId="5" borderId="0" xfId="5" applyFont="1" applyFill="1" applyAlignment="1" applyProtection="1">
      <alignment horizontal="center" vertical="center"/>
      <protection hidden="1"/>
    </xf>
    <xf numFmtId="0" fontId="38" fillId="2" borderId="47" xfId="5" applyFont="1" applyFill="1" applyBorder="1" applyAlignment="1" applyProtection="1">
      <alignment horizontal="center" vertical="center"/>
      <protection hidden="1"/>
    </xf>
    <xf numFmtId="0" fontId="38" fillId="16" borderId="37" xfId="5" applyFont="1" applyFill="1" applyBorder="1" applyAlignment="1" applyProtection="1">
      <alignment horizontal="center" vertical="center"/>
      <protection hidden="1"/>
    </xf>
    <xf numFmtId="0" fontId="38" fillId="16" borderId="38" xfId="5" applyFont="1" applyFill="1" applyBorder="1" applyAlignment="1" applyProtection="1">
      <alignment horizontal="center" vertical="center"/>
      <protection hidden="1"/>
    </xf>
    <xf numFmtId="0" fontId="38" fillId="16" borderId="39" xfId="5" applyFont="1" applyFill="1" applyBorder="1" applyAlignment="1" applyProtection="1">
      <alignment horizontal="center" vertical="center"/>
      <protection hidden="1"/>
    </xf>
    <xf numFmtId="0" fontId="38" fillId="2" borderId="0" xfId="5" applyFont="1" applyFill="1" applyAlignment="1" applyProtection="1">
      <alignment horizontal="center" vertical="center" wrapText="1"/>
      <protection hidden="1"/>
    </xf>
    <xf numFmtId="0" fontId="38" fillId="16" borderId="41" xfId="5" applyFont="1" applyFill="1" applyBorder="1" applyAlignment="1" applyProtection="1">
      <alignment horizontal="center" vertical="center" wrapText="1"/>
      <protection hidden="1"/>
    </xf>
    <xf numFmtId="0" fontId="38" fillId="2" borderId="0" xfId="5" applyFont="1" applyFill="1" applyAlignment="1" applyProtection="1">
      <alignment horizontal="left" vertical="center" wrapText="1"/>
      <protection hidden="1"/>
    </xf>
    <xf numFmtId="0" fontId="38" fillId="16" borderId="40" xfId="5" applyFont="1" applyFill="1" applyBorder="1" applyProtection="1">
      <protection hidden="1"/>
    </xf>
    <xf numFmtId="0" fontId="38" fillId="16" borderId="0" xfId="5" applyFont="1" applyFill="1" applyAlignment="1" applyProtection="1">
      <alignment horizontal="left" vertical="center" wrapText="1"/>
      <protection hidden="1"/>
    </xf>
    <xf numFmtId="0" fontId="38" fillId="16" borderId="0" xfId="5" applyFont="1" applyFill="1" applyProtection="1">
      <protection hidden="1"/>
    </xf>
    <xf numFmtId="0" fontId="38" fillId="16" borderId="41" xfId="5" applyFont="1" applyFill="1" applyBorder="1" applyProtection="1">
      <protection hidden="1"/>
    </xf>
    <xf numFmtId="0" fontId="38" fillId="2" borderId="0" xfId="5" applyFont="1" applyFill="1" applyProtection="1">
      <protection hidden="1"/>
    </xf>
    <xf numFmtId="0" fontId="38" fillId="16" borderId="0" xfId="5" applyFont="1" applyFill="1" applyAlignment="1" applyProtection="1">
      <alignment horizontal="left"/>
      <protection hidden="1"/>
    </xf>
    <xf numFmtId="0" fontId="38" fillId="5" borderId="0" xfId="5" applyFont="1" applyFill="1" applyProtection="1">
      <protection hidden="1"/>
    </xf>
    <xf numFmtId="0" fontId="54" fillId="16" borderId="40" xfId="0" applyFont="1" applyFill="1" applyBorder="1" applyProtection="1">
      <protection hidden="1"/>
    </xf>
    <xf numFmtId="0" fontId="54" fillId="16" borderId="0" xfId="0" applyFont="1" applyFill="1" applyProtection="1">
      <protection hidden="1"/>
    </xf>
    <xf numFmtId="0" fontId="38" fillId="16" borderId="0" xfId="5" applyFont="1" applyFill="1" applyAlignment="1" applyProtection="1">
      <alignment horizontal="center"/>
      <protection hidden="1"/>
    </xf>
    <xf numFmtId="0" fontId="38" fillId="5" borderId="0" xfId="5" applyFont="1" applyFill="1" applyAlignment="1" applyProtection="1">
      <alignment horizontal="center" vertical="center" wrapText="1"/>
      <protection hidden="1"/>
    </xf>
    <xf numFmtId="0" fontId="38" fillId="16" borderId="0" xfId="5" applyFont="1" applyFill="1" applyAlignment="1" applyProtection="1">
      <alignment horizontal="center" vertical="center" wrapText="1"/>
      <protection hidden="1"/>
    </xf>
    <xf numFmtId="0" fontId="38" fillId="2" borderId="0" xfId="5" applyFont="1" applyFill="1" applyAlignment="1" applyProtection="1">
      <alignment horizontal="left" vertical="center"/>
      <protection hidden="1"/>
    </xf>
    <xf numFmtId="0" fontId="38" fillId="16" borderId="0" xfId="5" applyFont="1" applyFill="1" applyAlignment="1" applyProtection="1">
      <alignment horizontal="left" vertical="center"/>
      <protection hidden="1"/>
    </xf>
    <xf numFmtId="0" fontId="38" fillId="16" borderId="40" xfId="5" applyFont="1" applyFill="1" applyBorder="1" applyAlignment="1" applyProtection="1">
      <alignment horizontal="left" vertical="center"/>
      <protection hidden="1"/>
    </xf>
    <xf numFmtId="0" fontId="39" fillId="2" borderId="41" xfId="5" applyFont="1" applyFill="1" applyBorder="1" applyAlignment="1" applyProtection="1">
      <alignment horizontal="left" vertical="center"/>
      <protection hidden="1"/>
    </xf>
    <xf numFmtId="0" fontId="38" fillId="16" borderId="42" xfId="5" applyFont="1" applyFill="1" applyBorder="1" applyProtection="1">
      <protection hidden="1"/>
    </xf>
    <xf numFmtId="0" fontId="38" fillId="16" borderId="47" xfId="5" applyFont="1" applyFill="1" applyBorder="1" applyProtection="1">
      <protection hidden="1"/>
    </xf>
    <xf numFmtId="0" fontId="39" fillId="16" borderId="47" xfId="5" applyFont="1" applyFill="1" applyBorder="1" applyAlignment="1" applyProtection="1">
      <alignment horizontal="left" vertical="center"/>
      <protection hidden="1"/>
    </xf>
    <xf numFmtId="0" fontId="39" fillId="16" borderId="47" xfId="5" applyFont="1" applyFill="1" applyBorder="1" applyProtection="1">
      <protection hidden="1"/>
    </xf>
    <xf numFmtId="0" fontId="39" fillId="16" borderId="43" xfId="5" applyFont="1" applyFill="1" applyBorder="1" applyProtection="1">
      <protection hidden="1"/>
    </xf>
    <xf numFmtId="0" fontId="39" fillId="2" borderId="0" xfId="5" applyFont="1" applyFill="1" applyProtection="1">
      <protection hidden="1"/>
    </xf>
    <xf numFmtId="0" fontId="39" fillId="2" borderId="0" xfId="5" applyFont="1" applyFill="1" applyAlignment="1" applyProtection="1">
      <alignment horizontal="left" vertical="center"/>
      <protection hidden="1"/>
    </xf>
    <xf numFmtId="0" fontId="38" fillId="2" borderId="47" xfId="5" applyFont="1" applyFill="1" applyBorder="1" applyProtection="1">
      <protection hidden="1"/>
    </xf>
    <xf numFmtId="0" fontId="38" fillId="16" borderId="37" xfId="5" applyFont="1" applyFill="1" applyBorder="1" applyProtection="1">
      <protection hidden="1"/>
    </xf>
    <xf numFmtId="0" fontId="38" fillId="16" borderId="38" xfId="5" applyFont="1" applyFill="1" applyBorder="1" applyProtection="1">
      <protection hidden="1"/>
    </xf>
    <xf numFmtId="0" fontId="38" fillId="16" borderId="39" xfId="5" applyFont="1" applyFill="1" applyBorder="1" applyProtection="1">
      <protection hidden="1"/>
    </xf>
    <xf numFmtId="0" fontId="38" fillId="16" borderId="41" xfId="5" applyFont="1" applyFill="1" applyBorder="1" applyAlignment="1" applyProtection="1">
      <alignment horizontal="center"/>
      <protection hidden="1"/>
    </xf>
    <xf numFmtId="0" fontId="38" fillId="2" borderId="0" xfId="5" applyFont="1" applyFill="1" applyAlignment="1" applyProtection="1">
      <alignment horizontal="center"/>
      <protection hidden="1"/>
    </xf>
    <xf numFmtId="0" fontId="38" fillId="16" borderId="42" xfId="5" applyFont="1" applyFill="1" applyBorder="1" applyAlignment="1" applyProtection="1">
      <alignment horizontal="left" vertical="center" wrapText="1"/>
      <protection hidden="1"/>
    </xf>
    <xf numFmtId="0" fontId="38" fillId="16" borderId="47" xfId="5" applyFont="1" applyFill="1" applyBorder="1" applyAlignment="1" applyProtection="1">
      <alignment horizontal="left" vertical="center" wrapText="1"/>
      <protection hidden="1"/>
    </xf>
    <xf numFmtId="0" fontId="38" fillId="16" borderId="47" xfId="5" applyFont="1" applyFill="1" applyBorder="1" applyAlignment="1" applyProtection="1">
      <alignment horizontal="center"/>
      <protection hidden="1"/>
    </xf>
    <xf numFmtId="0" fontId="38" fillId="16" borderId="43" xfId="5" applyFont="1" applyFill="1" applyBorder="1" applyAlignment="1" applyProtection="1">
      <alignment horizontal="center"/>
      <protection hidden="1"/>
    </xf>
    <xf numFmtId="0" fontId="38" fillId="5" borderId="0" xfId="5" applyFont="1" applyFill="1" applyAlignment="1" applyProtection="1">
      <alignment horizontal="left" vertical="center" wrapText="1"/>
      <protection hidden="1"/>
    </xf>
    <xf numFmtId="0" fontId="20" fillId="5" borderId="0" xfId="5" applyFont="1" applyFill="1" applyAlignment="1" applyProtection="1">
      <alignment horizontal="center" vertical="center" wrapText="1"/>
      <protection hidden="1"/>
    </xf>
    <xf numFmtId="0" fontId="55" fillId="5" borderId="0" xfId="0" applyFont="1" applyFill="1" applyAlignment="1" applyProtection="1">
      <alignment horizontal="center"/>
      <protection hidden="1"/>
    </xf>
    <xf numFmtId="0" fontId="38" fillId="5" borderId="0" xfId="5" applyFont="1" applyFill="1" applyAlignment="1" applyProtection="1">
      <alignment horizontal="center"/>
      <protection hidden="1"/>
    </xf>
    <xf numFmtId="0" fontId="38" fillId="2" borderId="47" xfId="5" applyFont="1" applyFill="1" applyBorder="1" applyAlignment="1" applyProtection="1">
      <alignment horizontal="left" vertical="center" wrapText="1"/>
      <protection hidden="1"/>
    </xf>
    <xf numFmtId="0" fontId="38" fillId="2" borderId="47" xfId="5" applyFont="1" applyFill="1" applyBorder="1" applyAlignment="1" applyProtection="1">
      <alignment horizontal="center"/>
      <protection hidden="1"/>
    </xf>
    <xf numFmtId="0" fontId="38" fillId="2" borderId="37" xfId="5" applyFont="1" applyFill="1" applyBorder="1" applyAlignment="1" applyProtection="1">
      <alignment horizontal="left" vertical="center" wrapText="1"/>
      <protection hidden="1"/>
    </xf>
    <xf numFmtId="0" fontId="38" fillId="2" borderId="38" xfId="5" applyFont="1" applyFill="1" applyBorder="1" applyAlignment="1" applyProtection="1">
      <alignment horizontal="left" vertical="center" wrapText="1"/>
      <protection hidden="1"/>
    </xf>
    <xf numFmtId="0" fontId="38" fillId="2" borderId="38" xfId="5" applyFont="1" applyFill="1" applyBorder="1" applyAlignment="1" applyProtection="1">
      <alignment horizontal="center"/>
      <protection hidden="1"/>
    </xf>
    <xf numFmtId="0" fontId="38" fillId="2" borderId="39" xfId="5" applyFont="1" applyFill="1" applyBorder="1" applyAlignment="1" applyProtection="1">
      <alignment horizontal="center"/>
      <protection hidden="1"/>
    </xf>
    <xf numFmtId="0" fontId="38" fillId="2" borderId="37" xfId="5" applyFont="1" applyFill="1" applyBorder="1" applyAlignment="1" applyProtection="1">
      <alignment horizontal="center"/>
      <protection hidden="1"/>
    </xf>
    <xf numFmtId="0" fontId="38" fillId="2" borderId="38" xfId="5" applyFont="1" applyFill="1" applyBorder="1" applyProtection="1">
      <protection hidden="1"/>
    </xf>
    <xf numFmtId="0" fontId="38" fillId="2" borderId="40" xfId="5" applyFont="1" applyFill="1" applyBorder="1" applyAlignment="1" applyProtection="1">
      <alignment horizontal="left"/>
      <protection hidden="1"/>
    </xf>
    <xf numFmtId="0" fontId="56" fillId="2" borderId="58" xfId="5" applyFont="1" applyFill="1" applyBorder="1" applyAlignment="1" applyProtection="1">
      <alignment horizontal="center"/>
      <protection locked="0"/>
    </xf>
    <xf numFmtId="0" fontId="38" fillId="2" borderId="41" xfId="5" applyFont="1" applyFill="1" applyBorder="1" applyAlignment="1" applyProtection="1">
      <alignment horizontal="center"/>
      <protection hidden="1"/>
    </xf>
    <xf numFmtId="0" fontId="38" fillId="2" borderId="40" xfId="5" applyFont="1" applyFill="1" applyBorder="1" applyProtection="1">
      <protection hidden="1"/>
    </xf>
    <xf numFmtId="0" fontId="38" fillId="2" borderId="41" xfId="5" applyFont="1" applyFill="1" applyBorder="1" applyProtection="1">
      <protection hidden="1"/>
    </xf>
    <xf numFmtId="0" fontId="38" fillId="2" borderId="43" xfId="5" applyFont="1" applyFill="1" applyBorder="1" applyAlignment="1" applyProtection="1">
      <alignment horizontal="center"/>
      <protection hidden="1"/>
    </xf>
    <xf numFmtId="0" fontId="38" fillId="2" borderId="42" xfId="5" applyFont="1" applyFill="1" applyBorder="1" applyProtection="1">
      <protection hidden="1"/>
    </xf>
    <xf numFmtId="0" fontId="39" fillId="2" borderId="41" xfId="5" applyFont="1" applyFill="1" applyBorder="1" applyAlignment="1" applyProtection="1">
      <alignment horizontal="center"/>
      <protection hidden="1"/>
    </xf>
    <xf numFmtId="0" fontId="38" fillId="2" borderId="40" xfId="5" applyFont="1" applyFill="1" applyBorder="1" applyAlignment="1" applyProtection="1">
      <alignment horizontal="left" vertical="center" wrapText="1"/>
      <protection hidden="1"/>
    </xf>
    <xf numFmtId="0" fontId="39" fillId="2" borderId="0" xfId="5" applyFont="1" applyFill="1" applyAlignment="1" applyProtection="1">
      <alignment horizontal="center"/>
      <protection hidden="1"/>
    </xf>
    <xf numFmtId="0" fontId="39" fillId="2" borderId="47" xfId="5" applyFont="1" applyFill="1" applyBorder="1" applyProtection="1">
      <protection hidden="1"/>
    </xf>
    <xf numFmtId="0" fontId="38" fillId="5" borderId="37" xfId="5" applyFont="1" applyFill="1" applyBorder="1" applyProtection="1">
      <protection hidden="1"/>
    </xf>
    <xf numFmtId="0" fontId="38" fillId="5" borderId="38" xfId="5" applyFont="1" applyFill="1" applyBorder="1" applyProtection="1">
      <protection hidden="1"/>
    </xf>
    <xf numFmtId="0" fontId="38" fillId="5" borderId="39" xfId="5" applyFont="1" applyFill="1" applyBorder="1" applyProtection="1">
      <protection hidden="1"/>
    </xf>
    <xf numFmtId="0" fontId="56" fillId="5" borderId="58" xfId="5" applyFont="1" applyFill="1" applyBorder="1" applyAlignment="1" applyProtection="1">
      <alignment horizontal="center"/>
      <protection locked="0"/>
    </xf>
    <xf numFmtId="0" fontId="38" fillId="5" borderId="41" xfId="5" applyFont="1" applyFill="1" applyBorder="1" applyAlignment="1" applyProtection="1">
      <alignment horizontal="center"/>
      <protection hidden="1"/>
    </xf>
    <xf numFmtId="0" fontId="38" fillId="5" borderId="42" xfId="5" applyFont="1" applyFill="1" applyBorder="1" applyProtection="1">
      <protection hidden="1"/>
    </xf>
    <xf numFmtId="0" fontId="38" fillId="5" borderId="47" xfId="5" applyFont="1" applyFill="1" applyBorder="1" applyProtection="1">
      <protection hidden="1"/>
    </xf>
    <xf numFmtId="0" fontId="38" fillId="5" borderId="43" xfId="5" applyFont="1" applyFill="1" applyBorder="1" applyProtection="1">
      <protection hidden="1"/>
    </xf>
    <xf numFmtId="0" fontId="39" fillId="5" borderId="0" xfId="5" applyFont="1" applyFill="1" applyProtection="1">
      <protection hidden="1"/>
    </xf>
    <xf numFmtId="0" fontId="38" fillId="5" borderId="60" xfId="5" applyFont="1" applyFill="1" applyBorder="1" applyAlignment="1" applyProtection="1">
      <alignment horizontal="center"/>
      <protection hidden="1"/>
    </xf>
    <xf numFmtId="0" fontId="38" fillId="5" borderId="41" xfId="5" applyFont="1" applyFill="1" applyBorder="1" applyProtection="1">
      <protection hidden="1"/>
    </xf>
    <xf numFmtId="0" fontId="38" fillId="5" borderId="40" xfId="5" applyFont="1" applyFill="1" applyBorder="1" applyProtection="1">
      <protection hidden="1"/>
    </xf>
    <xf numFmtId="0" fontId="38" fillId="2" borderId="40" xfId="5" applyFont="1" applyFill="1" applyBorder="1" applyAlignment="1" applyProtection="1">
      <alignment horizontal="center"/>
      <protection hidden="1"/>
    </xf>
    <xf numFmtId="0" fontId="38" fillId="2" borderId="0" xfId="5" applyFont="1" applyFill="1" applyAlignment="1" applyProtection="1">
      <alignment horizontal="right"/>
      <protection hidden="1"/>
    </xf>
    <xf numFmtId="0" fontId="38" fillId="5" borderId="44" xfId="5" applyFont="1" applyFill="1" applyBorder="1" applyProtection="1">
      <protection hidden="1"/>
    </xf>
    <xf numFmtId="0" fontId="38" fillId="5" borderId="45" xfId="5" applyFont="1" applyFill="1" applyBorder="1" applyProtection="1">
      <protection hidden="1"/>
    </xf>
    <xf numFmtId="0" fontId="38" fillId="5" borderId="46" xfId="5" applyFont="1" applyFill="1" applyBorder="1" applyProtection="1">
      <protection hidden="1"/>
    </xf>
    <xf numFmtId="0" fontId="38" fillId="2" borderId="42" xfId="5" applyFont="1" applyFill="1" applyBorder="1" applyAlignment="1" applyProtection="1">
      <alignment horizontal="center"/>
      <protection hidden="1"/>
    </xf>
    <xf numFmtId="0" fontId="38" fillId="2" borderId="47" xfId="5" applyFont="1" applyFill="1" applyBorder="1" applyAlignment="1" applyProtection="1">
      <alignment horizontal="right"/>
      <protection hidden="1"/>
    </xf>
    <xf numFmtId="0" fontId="38" fillId="2" borderId="47" xfId="5" applyFont="1" applyFill="1" applyBorder="1" applyAlignment="1" applyProtection="1">
      <alignment horizontal="left" vertical="center"/>
      <protection hidden="1"/>
    </xf>
    <xf numFmtId="0" fontId="57" fillId="2" borderId="0" xfId="5" applyFont="1" applyFill="1" applyProtection="1">
      <protection hidden="1"/>
    </xf>
    <xf numFmtId="0" fontId="38" fillId="2" borderId="61" xfId="5" applyFont="1" applyFill="1" applyBorder="1" applyProtection="1">
      <protection hidden="1"/>
    </xf>
    <xf numFmtId="0" fontId="38" fillId="2" borderId="62" xfId="5" applyFont="1" applyFill="1" applyBorder="1" applyProtection="1">
      <protection hidden="1"/>
    </xf>
    <xf numFmtId="0" fontId="38" fillId="2" borderId="63" xfId="5" applyFont="1" applyFill="1" applyBorder="1" applyProtection="1">
      <protection hidden="1"/>
    </xf>
    <xf numFmtId="0" fontId="38" fillId="2" borderId="64" xfId="5" applyFont="1" applyFill="1" applyBorder="1" applyProtection="1">
      <protection hidden="1"/>
    </xf>
    <xf numFmtId="0" fontId="38" fillId="2" borderId="59" xfId="5" applyFont="1" applyFill="1" applyBorder="1" applyProtection="1">
      <protection hidden="1"/>
    </xf>
    <xf numFmtId="0" fontId="38" fillId="2" borderId="65" xfId="5" applyFont="1" applyFill="1" applyBorder="1" applyProtection="1">
      <protection hidden="1"/>
    </xf>
    <xf numFmtId="0" fontId="38" fillId="2" borderId="66" xfId="5" applyFont="1" applyFill="1" applyBorder="1" applyProtection="1">
      <protection hidden="1"/>
    </xf>
    <xf numFmtId="0" fontId="38" fillId="2" borderId="67" xfId="5" applyFont="1" applyFill="1" applyBorder="1" applyProtection="1">
      <protection hidden="1"/>
    </xf>
    <xf numFmtId="0" fontId="38" fillId="2" borderId="0" xfId="5" applyFont="1" applyFill="1" applyAlignment="1" applyProtection="1">
      <alignment horizontal="left"/>
      <protection hidden="1"/>
    </xf>
    <xf numFmtId="0" fontId="38" fillId="0" borderId="0" xfId="0" applyFont="1" applyProtection="1">
      <protection hidden="1"/>
    </xf>
    <xf numFmtId="0" fontId="6" fillId="5" borderId="0" xfId="0" applyFont="1" applyFill="1" applyAlignment="1" applyProtection="1">
      <alignment horizontal="left"/>
      <protection locked="0"/>
    </xf>
    <xf numFmtId="0" fontId="6" fillId="5" borderId="0" xfId="0" applyFont="1" applyFill="1" applyAlignment="1" applyProtection="1">
      <alignment wrapText="1"/>
      <protection hidden="1"/>
    </xf>
    <xf numFmtId="0" fontId="7" fillId="5" borderId="0" xfId="0" applyFont="1" applyFill="1" applyProtection="1">
      <protection locked="0"/>
    </xf>
    <xf numFmtId="0" fontId="9" fillId="5" borderId="0" xfId="0" applyFont="1" applyFill="1" applyProtection="1">
      <protection hidden="1"/>
    </xf>
    <xf numFmtId="0" fontId="41" fillId="5" borderId="32" xfId="0" applyFont="1" applyFill="1" applyBorder="1" applyAlignment="1">
      <alignment horizontal="center"/>
    </xf>
    <xf numFmtId="0" fontId="19" fillId="5" borderId="15" xfId="0" applyFont="1" applyFill="1" applyBorder="1" applyAlignment="1">
      <alignment horizontal="left" vertical="center"/>
    </xf>
    <xf numFmtId="0" fontId="0" fillId="0" borderId="0" xfId="0" applyProtection="1">
      <protection hidden="1"/>
    </xf>
    <xf numFmtId="0" fontId="0" fillId="0" borderId="15" xfId="0" applyBorder="1"/>
    <xf numFmtId="0" fontId="0" fillId="0" borderId="4" xfId="0" applyBorder="1"/>
    <xf numFmtId="0" fontId="0" fillId="0" borderId="17" xfId="0" applyBorder="1"/>
    <xf numFmtId="0" fontId="0" fillId="0" borderId="34" xfId="0" applyBorder="1"/>
    <xf numFmtId="0" fontId="0" fillId="0" borderId="18" xfId="0" applyBorder="1"/>
    <xf numFmtId="0" fontId="0" fillId="5" borderId="0" xfId="0" applyFill="1"/>
    <xf numFmtId="0" fontId="0" fillId="5" borderId="30" xfId="0" applyFill="1" applyBorder="1"/>
    <xf numFmtId="0" fontId="59" fillId="5" borderId="0" xfId="6" applyFont="1" applyFill="1" applyProtection="1">
      <protection hidden="1"/>
    </xf>
    <xf numFmtId="165" fontId="23" fillId="5" borderId="0" xfId="0" applyNumberFormat="1" applyFont="1" applyFill="1" applyProtection="1">
      <protection hidden="1"/>
    </xf>
    <xf numFmtId="164" fontId="23" fillId="5" borderId="0" xfId="0" applyNumberFormat="1" applyFont="1" applyFill="1" applyProtection="1">
      <protection hidden="1"/>
    </xf>
    <xf numFmtId="8" fontId="23" fillId="5" borderId="0" xfId="0" applyNumberFormat="1" applyFont="1" applyFill="1" applyProtection="1">
      <protection hidden="1"/>
    </xf>
    <xf numFmtId="0" fontId="39" fillId="8" borderId="90" xfId="0" applyFont="1" applyFill="1" applyBorder="1" applyAlignment="1" applyProtection="1">
      <alignment vertical="center" wrapText="1"/>
      <protection hidden="1"/>
    </xf>
    <xf numFmtId="0" fontId="34" fillId="8" borderId="0" xfId="0" applyFont="1" applyFill="1" applyProtection="1">
      <protection hidden="1"/>
    </xf>
    <xf numFmtId="0" fontId="34" fillId="8" borderId="40" xfId="0" applyFont="1" applyFill="1" applyBorder="1" applyProtection="1">
      <protection hidden="1"/>
    </xf>
    <xf numFmtId="166" fontId="34" fillId="8" borderId="41" xfId="1" applyNumberFormat="1" applyFont="1" applyFill="1" applyBorder="1" applyProtection="1">
      <protection hidden="1"/>
    </xf>
    <xf numFmtId="0" fontId="38" fillId="8" borderId="40" xfId="0" applyFont="1" applyFill="1" applyBorder="1" applyAlignment="1" applyProtection="1">
      <alignment horizontal="right"/>
      <protection hidden="1"/>
    </xf>
    <xf numFmtId="0" fontId="38" fillId="8" borderId="0" xfId="0" applyFont="1" applyFill="1" applyAlignment="1" applyProtection="1">
      <alignment horizontal="right"/>
      <protection hidden="1"/>
    </xf>
    <xf numFmtId="167" fontId="34" fillId="8" borderId="0" xfId="1" applyNumberFormat="1" applyFont="1" applyFill="1" applyBorder="1" applyProtection="1">
      <protection hidden="1"/>
    </xf>
    <xf numFmtId="166" fontId="34" fillId="8" borderId="41" xfId="0" applyNumberFormat="1" applyFont="1" applyFill="1" applyBorder="1" applyProtection="1">
      <protection hidden="1"/>
    </xf>
    <xf numFmtId="0" fontId="34" fillId="8" borderId="41" xfId="0" applyFont="1" applyFill="1" applyBorder="1" applyProtection="1">
      <protection hidden="1"/>
    </xf>
    <xf numFmtId="0" fontId="60" fillId="8" borderId="0" xfId="0" applyFont="1" applyFill="1" applyProtection="1">
      <protection hidden="1"/>
    </xf>
    <xf numFmtId="0" fontId="39" fillId="8" borderId="0" xfId="0" applyFont="1" applyFill="1" applyAlignment="1" applyProtection="1">
      <alignment horizontal="left" vertical="center" wrapText="1"/>
      <protection hidden="1"/>
    </xf>
    <xf numFmtId="0" fontId="40" fillId="8" borderId="0" xfId="0" applyFont="1" applyFill="1" applyProtection="1">
      <protection hidden="1"/>
    </xf>
    <xf numFmtId="0" fontId="34" fillId="8" borderId="47" xfId="0" applyFont="1" applyFill="1" applyBorder="1" applyProtection="1">
      <protection hidden="1"/>
    </xf>
    <xf numFmtId="0" fontId="40" fillId="8" borderId="47" xfId="0" applyFont="1" applyFill="1" applyBorder="1" applyProtection="1">
      <protection hidden="1"/>
    </xf>
    <xf numFmtId="0" fontId="25" fillId="8" borderId="47" xfId="0" applyFont="1" applyFill="1" applyBorder="1" applyProtection="1">
      <protection hidden="1"/>
    </xf>
    <xf numFmtId="0" fontId="25" fillId="8" borderId="43" xfId="0" applyFont="1" applyFill="1" applyBorder="1" applyProtection="1">
      <protection hidden="1"/>
    </xf>
    <xf numFmtId="168" fontId="61" fillId="18" borderId="91" xfId="1" applyNumberFormat="1" applyFont="1" applyFill="1" applyBorder="1" applyAlignment="1" applyProtection="1">
      <alignment vertical="center"/>
      <protection hidden="1"/>
    </xf>
    <xf numFmtId="0" fontId="34" fillId="8" borderId="38" xfId="0" applyFont="1" applyFill="1" applyBorder="1" applyProtection="1">
      <protection hidden="1"/>
    </xf>
    <xf numFmtId="0" fontId="25" fillId="8" borderId="41" xfId="0" applyFont="1" applyFill="1" applyBorder="1" applyProtection="1">
      <protection hidden="1"/>
    </xf>
    <xf numFmtId="0" fontId="25" fillId="8" borderId="0" xfId="0" applyFont="1" applyFill="1" applyProtection="1">
      <protection hidden="1"/>
    </xf>
    <xf numFmtId="0" fontId="34" fillId="8" borderId="92" xfId="0" applyFont="1" applyFill="1" applyBorder="1" applyProtection="1">
      <protection hidden="1"/>
    </xf>
    <xf numFmtId="0" fontId="34" fillId="8" borderId="93" xfId="0" applyFont="1" applyFill="1" applyBorder="1" applyProtection="1">
      <protection hidden="1"/>
    </xf>
    <xf numFmtId="0" fontId="34" fillId="8" borderId="94" xfId="0" applyFont="1" applyFill="1" applyBorder="1" applyProtection="1">
      <protection hidden="1"/>
    </xf>
    <xf numFmtId="0" fontId="34" fillId="8" borderId="95" xfId="0" applyFont="1" applyFill="1" applyBorder="1" applyAlignment="1" applyProtection="1">
      <alignment vertical="center"/>
      <protection hidden="1"/>
    </xf>
    <xf numFmtId="168" fontId="61" fillId="18" borderId="96" xfId="1" applyNumberFormat="1" applyFont="1" applyFill="1" applyBorder="1" applyAlignment="1" applyProtection="1">
      <alignment vertical="center"/>
      <protection hidden="1"/>
    </xf>
    <xf numFmtId="0" fontId="34" fillId="8" borderId="92" xfId="0" applyFont="1" applyFill="1" applyBorder="1" applyAlignment="1" applyProtection="1">
      <alignment vertical="center"/>
      <protection hidden="1"/>
    </xf>
    <xf numFmtId="0" fontId="39" fillId="8" borderId="98" xfId="0" applyFont="1" applyFill="1" applyBorder="1" applyAlignment="1" applyProtection="1">
      <alignment vertical="center" wrapText="1"/>
      <protection hidden="1"/>
    </xf>
    <xf numFmtId="0" fontId="39" fillId="8" borderId="99" xfId="0" applyFont="1" applyFill="1" applyBorder="1" applyAlignment="1" applyProtection="1">
      <alignment vertical="center"/>
      <protection hidden="1"/>
    </xf>
    <xf numFmtId="168" fontId="61" fillId="18" borderId="100" xfId="1" applyNumberFormat="1" applyFont="1" applyFill="1" applyBorder="1" applyAlignment="1" applyProtection="1">
      <alignment vertical="center"/>
      <protection hidden="1"/>
    </xf>
    <xf numFmtId="0" fontId="25" fillId="8" borderId="94" xfId="0" applyFont="1" applyFill="1" applyBorder="1" applyProtection="1">
      <protection hidden="1"/>
    </xf>
    <xf numFmtId="0" fontId="39" fillId="8" borderId="101" xfId="0" applyFont="1" applyFill="1" applyBorder="1" applyProtection="1">
      <protection hidden="1"/>
    </xf>
    <xf numFmtId="0" fontId="39" fillId="8" borderId="102" xfId="0" applyFont="1" applyFill="1" applyBorder="1" applyProtection="1">
      <protection hidden="1"/>
    </xf>
    <xf numFmtId="10" fontId="61" fillId="18" borderId="103" xfId="11" applyNumberFormat="1" applyFont="1" applyFill="1" applyBorder="1" applyAlignment="1" applyProtection="1">
      <alignment vertical="center"/>
      <protection hidden="1"/>
    </xf>
    <xf numFmtId="2" fontId="62" fillId="8" borderId="0" xfId="0" applyNumberFormat="1" applyFont="1" applyFill="1" applyProtection="1">
      <protection hidden="1"/>
    </xf>
    <xf numFmtId="0" fontId="28" fillId="5" borderId="0" xfId="0" applyFont="1" applyFill="1" applyProtection="1">
      <protection hidden="1"/>
    </xf>
    <xf numFmtId="0" fontId="28" fillId="5" borderId="0" xfId="0" applyFont="1" applyFill="1" applyAlignment="1" applyProtection="1">
      <alignment wrapText="1"/>
      <protection hidden="1"/>
    </xf>
    <xf numFmtId="0" fontId="29" fillId="5" borderId="0" xfId="0" applyFont="1" applyFill="1" applyProtection="1">
      <protection hidden="1"/>
    </xf>
    <xf numFmtId="166" fontId="28" fillId="5" borderId="0" xfId="0" applyNumberFormat="1" applyFont="1" applyFill="1" applyProtection="1">
      <protection hidden="1"/>
    </xf>
    <xf numFmtId="0" fontId="39" fillId="8" borderId="0" xfId="0" applyFont="1" applyFill="1" applyProtection="1">
      <protection hidden="1"/>
    </xf>
    <xf numFmtId="0" fontId="39" fillId="8" borderId="41" xfId="0" applyFont="1" applyFill="1" applyBorder="1" applyProtection="1">
      <protection hidden="1"/>
    </xf>
    <xf numFmtId="0" fontId="25" fillId="8" borderId="68" xfId="0" applyFont="1" applyFill="1" applyBorder="1" applyProtection="1">
      <protection hidden="1"/>
    </xf>
    <xf numFmtId="0" fontId="25" fillId="8" borderId="110" xfId="0" applyFont="1" applyFill="1" applyBorder="1" applyProtection="1">
      <protection hidden="1"/>
    </xf>
    <xf numFmtId="0" fontId="39" fillId="8" borderId="99" xfId="0" applyFont="1" applyFill="1" applyBorder="1" applyAlignment="1" applyProtection="1">
      <alignment wrapText="1"/>
      <protection hidden="1"/>
    </xf>
    <xf numFmtId="0" fontId="39" fillId="8" borderId="62" xfId="0" applyFont="1" applyFill="1" applyBorder="1" applyAlignment="1" applyProtection="1">
      <alignment vertical="center" wrapText="1"/>
      <protection hidden="1"/>
    </xf>
    <xf numFmtId="0" fontId="39" fillId="8" borderId="101" xfId="0" applyFont="1" applyFill="1" applyBorder="1" applyAlignment="1" applyProtection="1">
      <alignment vertical="center" wrapText="1"/>
      <protection hidden="1"/>
    </xf>
    <xf numFmtId="0" fontId="34" fillId="8" borderId="62" xfId="0" applyFont="1" applyFill="1" applyBorder="1" applyProtection="1">
      <protection hidden="1"/>
    </xf>
    <xf numFmtId="168" fontId="61" fillId="18" borderId="113" xfId="1" applyNumberFormat="1" applyFont="1" applyFill="1" applyBorder="1" applyAlignment="1" applyProtection="1">
      <alignment vertical="center"/>
      <protection hidden="1"/>
    </xf>
    <xf numFmtId="10" fontId="61" fillId="18" borderId="114" xfId="11" applyNumberFormat="1" applyFont="1" applyFill="1" applyBorder="1" applyAlignment="1" applyProtection="1">
      <alignment vertical="center"/>
      <protection hidden="1"/>
    </xf>
    <xf numFmtId="2" fontId="24" fillId="5" borderId="0" xfId="0" applyNumberFormat="1" applyFont="1" applyFill="1" applyProtection="1">
      <protection hidden="1"/>
    </xf>
    <xf numFmtId="2" fontId="23" fillId="5" borderId="0" xfId="0" applyNumberFormat="1" applyFont="1" applyFill="1" applyProtection="1">
      <protection hidden="1"/>
    </xf>
    <xf numFmtId="10" fontId="71" fillId="5" borderId="0" xfId="6" applyNumberFormat="1" applyFont="1" applyFill="1" applyAlignment="1" applyProtection="1">
      <alignment horizontal="center" wrapText="1"/>
      <protection hidden="1"/>
    </xf>
    <xf numFmtId="10" fontId="23" fillId="5" borderId="0" xfId="0" applyNumberFormat="1" applyFont="1" applyFill="1" applyProtection="1">
      <protection hidden="1"/>
    </xf>
    <xf numFmtId="10" fontId="71" fillId="0" borderId="0" xfId="6" applyNumberFormat="1" applyFont="1" applyAlignment="1" applyProtection="1">
      <alignment horizontal="center" wrapText="1"/>
      <protection hidden="1"/>
    </xf>
    <xf numFmtId="10" fontId="70" fillId="5" borderId="0" xfId="11" applyNumberFormat="1" applyFont="1" applyFill="1" applyBorder="1" applyProtection="1">
      <protection hidden="1"/>
    </xf>
    <xf numFmtId="166" fontId="70" fillId="5" borderId="0" xfId="0" applyNumberFormat="1" applyFont="1" applyFill="1" applyAlignment="1" applyProtection="1">
      <alignment vertical="center"/>
      <protection hidden="1"/>
    </xf>
    <xf numFmtId="0" fontId="0" fillId="0" borderId="115" xfId="0" applyBorder="1"/>
    <xf numFmtId="0" fontId="0" fillId="0" borderId="116" xfId="0" applyBorder="1"/>
    <xf numFmtId="0" fontId="0" fillId="0" borderId="117" xfId="0" applyBorder="1"/>
    <xf numFmtId="0" fontId="0" fillId="0" borderId="16" xfId="0" applyBorder="1"/>
    <xf numFmtId="12" fontId="0" fillId="0" borderId="4" xfId="0" applyNumberFormat="1" applyBorder="1"/>
    <xf numFmtId="12" fontId="0" fillId="0" borderId="34" xfId="0" applyNumberFormat="1" applyBorder="1"/>
    <xf numFmtId="0" fontId="0" fillId="22" borderId="4" xfId="0" applyFill="1" applyBorder="1"/>
    <xf numFmtId="0" fontId="0" fillId="22" borderId="16" xfId="0" applyFill="1" applyBorder="1"/>
    <xf numFmtId="0" fontId="0" fillId="22" borderId="34" xfId="0" applyFill="1" applyBorder="1"/>
    <xf numFmtId="0" fontId="0" fillId="22" borderId="18" xfId="0" applyFill="1" applyBorder="1"/>
    <xf numFmtId="0" fontId="68" fillId="5" borderId="34" xfId="0" applyFont="1" applyFill="1" applyBorder="1"/>
    <xf numFmtId="0" fontId="0" fillId="5" borderId="18" xfId="0" applyFill="1" applyBorder="1"/>
    <xf numFmtId="0" fontId="27" fillId="8" borderId="118" xfId="0" applyFont="1" applyFill="1" applyBorder="1" applyAlignment="1" applyProtection="1">
      <alignment horizontal="center" vertical="center"/>
      <protection hidden="1"/>
    </xf>
    <xf numFmtId="167" fontId="25" fillId="0" borderId="53" xfId="1" applyNumberFormat="1" applyFont="1" applyBorder="1" applyAlignment="1" applyProtection="1">
      <alignment horizontal="center" vertical="center"/>
      <protection hidden="1"/>
    </xf>
    <xf numFmtId="0" fontId="25" fillId="12" borderId="53" xfId="0" applyFont="1" applyFill="1" applyBorder="1" applyAlignment="1" applyProtection="1">
      <alignment horizontal="center" vertical="center" wrapText="1"/>
      <protection hidden="1"/>
    </xf>
    <xf numFmtId="0" fontId="25" fillId="12" borderId="53" xfId="0" applyFont="1" applyFill="1" applyBorder="1" applyAlignment="1" applyProtection="1">
      <alignment horizontal="center" vertical="center"/>
      <protection hidden="1"/>
    </xf>
    <xf numFmtId="14" fontId="25" fillId="12" borderId="53" xfId="0" applyNumberFormat="1" applyFont="1" applyFill="1" applyBorder="1" applyAlignment="1" applyProtection="1">
      <alignment horizontal="center" vertical="center"/>
      <protection hidden="1"/>
    </xf>
    <xf numFmtId="166" fontId="25" fillId="12" borderId="53" xfId="0" applyNumberFormat="1" applyFont="1" applyFill="1" applyBorder="1" applyAlignment="1" applyProtection="1">
      <alignment horizontal="center" vertical="center"/>
      <protection hidden="1"/>
    </xf>
    <xf numFmtId="0" fontId="27" fillId="8" borderId="121" xfId="0" applyFont="1" applyFill="1" applyBorder="1" applyAlignment="1" applyProtection="1">
      <alignment horizontal="center" vertical="center"/>
      <protection hidden="1"/>
    </xf>
    <xf numFmtId="42" fontId="27" fillId="8" borderId="118" xfId="0" applyNumberFormat="1" applyFont="1" applyFill="1" applyBorder="1" applyAlignment="1" applyProtection="1">
      <alignment horizontal="right" vertical="center"/>
      <protection hidden="1"/>
    </xf>
    <xf numFmtId="42" fontId="27" fillId="8" borderId="121" xfId="0" applyNumberFormat="1" applyFont="1" applyFill="1" applyBorder="1" applyAlignment="1" applyProtection="1">
      <alignment horizontal="right" vertical="center"/>
      <protection hidden="1"/>
    </xf>
    <xf numFmtId="0" fontId="0" fillId="0" borderId="5" xfId="0" applyBorder="1"/>
    <xf numFmtId="0" fontId="0" fillId="0" borderId="116" xfId="0" applyBorder="1" applyAlignment="1">
      <alignment horizontal="center"/>
    </xf>
    <xf numFmtId="0" fontId="0" fillId="0" borderId="117" xfId="0" applyBorder="1" applyAlignment="1">
      <alignment horizontal="center"/>
    </xf>
    <xf numFmtId="0" fontId="3" fillId="5" borderId="0" xfId="6" applyFont="1" applyFill="1" applyAlignment="1" applyProtection="1">
      <alignment horizontal="left"/>
      <protection hidden="1"/>
    </xf>
    <xf numFmtId="0" fontId="57" fillId="5" borderId="0" xfId="5" applyFont="1" applyFill="1" applyProtection="1">
      <protection hidden="1"/>
    </xf>
    <xf numFmtId="0" fontId="72" fillId="5" borderId="0" xfId="0" applyFont="1" applyFill="1" applyAlignment="1" applyProtection="1">
      <alignment vertical="center" textRotation="90"/>
      <protection hidden="1"/>
    </xf>
    <xf numFmtId="0" fontId="23" fillId="0" borderId="0" xfId="0" applyFont="1" applyProtection="1">
      <protection hidden="1"/>
    </xf>
    <xf numFmtId="0" fontId="27" fillId="5" borderId="0" xfId="0" applyFont="1" applyFill="1" applyAlignment="1" applyProtection="1">
      <alignment vertical="center"/>
      <protection hidden="1"/>
    </xf>
    <xf numFmtId="0" fontId="28" fillId="5" borderId="122" xfId="0" applyFont="1" applyFill="1" applyBorder="1" applyAlignment="1" applyProtection="1">
      <alignment vertical="center"/>
      <protection hidden="1"/>
    </xf>
    <xf numFmtId="166" fontId="28" fillId="5" borderId="0" xfId="1" applyNumberFormat="1" applyFont="1" applyFill="1" applyBorder="1" applyAlignment="1" applyProtection="1">
      <alignment vertical="center"/>
      <protection hidden="1"/>
    </xf>
    <xf numFmtId="0" fontId="28" fillId="5" borderId="0" xfId="0" applyFont="1" applyFill="1" applyAlignment="1" applyProtection="1">
      <alignment horizontal="center" vertical="center"/>
      <protection hidden="1"/>
    </xf>
    <xf numFmtId="0" fontId="27" fillId="8" borderId="52" xfId="0" applyFont="1" applyFill="1" applyBorder="1" applyAlignment="1" applyProtection="1">
      <alignment vertical="center"/>
      <protection hidden="1"/>
    </xf>
    <xf numFmtId="0" fontId="27" fillId="8" borderId="118" xfId="0" applyFont="1" applyFill="1" applyBorder="1" applyAlignment="1" applyProtection="1">
      <alignment vertical="center"/>
      <protection hidden="1"/>
    </xf>
    <xf numFmtId="0" fontId="27" fillId="8" borderId="121" xfId="0" applyFont="1" applyFill="1" applyBorder="1" applyAlignment="1" applyProtection="1">
      <alignment vertical="center"/>
      <protection hidden="1"/>
    </xf>
    <xf numFmtId="14" fontId="27" fillId="8" borderId="118" xfId="0" applyNumberFormat="1" applyFont="1" applyFill="1" applyBorder="1" applyAlignment="1" applyProtection="1">
      <alignment horizontal="center" vertical="center"/>
      <protection hidden="1"/>
    </xf>
    <xf numFmtId="14" fontId="27" fillId="8" borderId="121" xfId="0" applyNumberFormat="1" applyFont="1" applyFill="1" applyBorder="1" applyAlignment="1" applyProtection="1">
      <alignment horizontal="center" vertical="center"/>
      <protection hidden="1"/>
    </xf>
    <xf numFmtId="14" fontId="29" fillId="8" borderId="118" xfId="0" applyNumberFormat="1" applyFont="1" applyFill="1" applyBorder="1" applyAlignment="1" applyProtection="1">
      <alignment horizontal="center" vertical="center"/>
      <protection hidden="1"/>
    </xf>
    <xf numFmtId="0" fontId="27" fillId="8" borderId="53" xfId="0" applyFont="1" applyFill="1" applyBorder="1" applyAlignment="1" applyProtection="1">
      <alignment horizontal="center" vertical="center"/>
      <protection hidden="1"/>
    </xf>
    <xf numFmtId="0" fontId="27" fillId="8" borderId="0" xfId="0" applyFont="1" applyFill="1" applyAlignment="1" applyProtection="1">
      <alignment horizontal="center" vertical="center"/>
      <protection hidden="1"/>
    </xf>
    <xf numFmtId="0" fontId="38" fillId="10" borderId="0" xfId="0" applyFont="1" applyFill="1" applyAlignment="1" applyProtection="1">
      <alignment horizontal="left" vertical="center" wrapText="1"/>
      <protection hidden="1"/>
    </xf>
    <xf numFmtId="0" fontId="26" fillId="0" borderId="0" xfId="0" applyFont="1" applyAlignment="1" applyProtection="1">
      <alignment wrapText="1"/>
      <protection hidden="1"/>
    </xf>
    <xf numFmtId="0" fontId="21" fillId="0" borderId="0" xfId="0" applyFont="1" applyProtection="1">
      <protection hidden="1"/>
    </xf>
    <xf numFmtId="0" fontId="27" fillId="8" borderId="48" xfId="0" applyFont="1" applyFill="1" applyBorder="1" applyAlignment="1" applyProtection="1">
      <alignment vertical="center"/>
      <protection locked="0"/>
    </xf>
    <xf numFmtId="166" fontId="27" fillId="8" borderId="48" xfId="1" applyNumberFormat="1" applyFont="1" applyFill="1" applyBorder="1" applyAlignment="1" applyProtection="1">
      <alignment vertical="center"/>
      <protection locked="0"/>
    </xf>
    <xf numFmtId="0" fontId="27" fillId="8" borderId="48" xfId="0" applyFont="1" applyFill="1" applyBorder="1" applyProtection="1">
      <protection locked="0"/>
    </xf>
    <xf numFmtId="0" fontId="27" fillId="8" borderId="52" xfId="0" applyFont="1" applyFill="1" applyBorder="1" applyAlignment="1" applyProtection="1">
      <alignment horizontal="center" vertical="center"/>
      <protection locked="0"/>
    </xf>
    <xf numFmtId="0" fontId="27" fillId="8" borderId="52" xfId="0" applyFont="1" applyFill="1" applyBorder="1" applyAlignment="1" applyProtection="1">
      <alignment vertical="center"/>
      <protection locked="0"/>
    </xf>
    <xf numFmtId="14" fontId="27" fillId="8" borderId="52" xfId="0" applyNumberFormat="1" applyFont="1" applyFill="1" applyBorder="1" applyAlignment="1" applyProtection="1">
      <alignment horizontal="center" vertical="center"/>
      <protection locked="0"/>
    </xf>
    <xf numFmtId="0" fontId="27" fillId="0" borderId="53" xfId="0" applyFont="1" applyBorder="1" applyAlignment="1" applyProtection="1">
      <alignment horizontal="center" vertical="center"/>
      <protection locked="0"/>
    </xf>
    <xf numFmtId="42" fontId="27" fillId="8" borderId="52" xfId="0" applyNumberFormat="1" applyFont="1" applyFill="1" applyBorder="1" applyAlignment="1" applyProtection="1">
      <alignment horizontal="right" vertical="center"/>
      <protection locked="0"/>
    </xf>
    <xf numFmtId="0" fontId="27" fillId="8" borderId="119" xfId="0" applyFont="1" applyFill="1" applyBorder="1" applyAlignment="1" applyProtection="1">
      <alignment horizontal="center" vertical="center"/>
      <protection locked="0"/>
    </xf>
    <xf numFmtId="0" fontId="27" fillId="8" borderId="120" xfId="0" applyFont="1" applyFill="1" applyBorder="1" applyAlignment="1" applyProtection="1">
      <alignment horizontal="center" vertical="center"/>
      <protection locked="0"/>
    </xf>
    <xf numFmtId="166" fontId="27" fillId="8" borderId="48" xfId="0" applyNumberFormat="1" applyFont="1" applyFill="1" applyBorder="1" applyAlignment="1" applyProtection="1">
      <alignment vertical="center"/>
      <protection locked="0"/>
    </xf>
    <xf numFmtId="0" fontId="77" fillId="8" borderId="40" xfId="0" applyFont="1" applyFill="1" applyBorder="1" applyAlignment="1" applyProtection="1">
      <alignment vertical="center"/>
      <protection hidden="1"/>
    </xf>
    <xf numFmtId="168" fontId="77" fillId="8" borderId="0" xfId="1" applyNumberFormat="1" applyFont="1" applyFill="1" applyBorder="1" applyAlignment="1" applyProtection="1">
      <alignment horizontal="center" vertical="center"/>
      <protection hidden="1"/>
    </xf>
    <xf numFmtId="0" fontId="54" fillId="0" borderId="0" xfId="0" applyFont="1" applyProtection="1">
      <protection hidden="1"/>
    </xf>
    <xf numFmtId="0" fontId="56" fillId="2" borderId="0" xfId="5" applyFont="1" applyFill="1" applyAlignment="1" applyProtection="1">
      <alignment horizontal="center"/>
      <protection hidden="1"/>
    </xf>
    <xf numFmtId="0" fontId="56" fillId="2" borderId="0" xfId="5" applyFont="1" applyFill="1" applyProtection="1">
      <protection hidden="1"/>
    </xf>
    <xf numFmtId="0" fontId="56" fillId="5" borderId="0" xfId="5" applyFont="1" applyFill="1" applyProtection="1">
      <protection hidden="1"/>
    </xf>
    <xf numFmtId="49" fontId="56" fillId="2" borderId="0" xfId="5" applyNumberFormat="1" applyFont="1" applyFill="1" applyProtection="1">
      <protection hidden="1"/>
    </xf>
    <xf numFmtId="0" fontId="22" fillId="5" borderId="0" xfId="0" applyFont="1" applyFill="1" applyProtection="1">
      <protection hidden="1"/>
    </xf>
    <xf numFmtId="0" fontId="78" fillId="5" borderId="0" xfId="0" applyFont="1" applyFill="1" applyProtection="1">
      <protection hidden="1"/>
    </xf>
    <xf numFmtId="0" fontId="23" fillId="5" borderId="0" xfId="0" applyFont="1" applyFill="1" applyAlignment="1" applyProtection="1">
      <alignment wrapText="1"/>
      <protection hidden="1"/>
    </xf>
    <xf numFmtId="0" fontId="80" fillId="0" borderId="0" xfId="0" applyFont="1"/>
    <xf numFmtId="10" fontId="16" fillId="0" borderId="0" xfId="11" applyNumberFormat="1" applyFont="1" applyFill="1"/>
    <xf numFmtId="167" fontId="16" fillId="0" borderId="0" xfId="1" applyNumberFormat="1" applyFont="1" applyFill="1"/>
    <xf numFmtId="169" fontId="16" fillId="0" borderId="0" xfId="11" applyNumberFormat="1" applyFont="1" applyFill="1"/>
    <xf numFmtId="167" fontId="23" fillId="5" borderId="0" xfId="0" applyNumberFormat="1" applyFont="1" applyFill="1" applyProtection="1">
      <protection hidden="1"/>
    </xf>
    <xf numFmtId="0" fontId="29" fillId="7" borderId="0" xfId="0" applyFont="1" applyFill="1" applyProtection="1">
      <protection hidden="1"/>
    </xf>
    <xf numFmtId="166" fontId="29" fillId="0" borderId="0" xfId="0" applyNumberFormat="1" applyFont="1" applyProtection="1">
      <protection hidden="1"/>
    </xf>
    <xf numFmtId="0" fontId="29" fillId="0" borderId="0" xfId="0" applyFont="1" applyAlignment="1" applyProtection="1">
      <alignment vertical="center"/>
      <protection hidden="1"/>
    </xf>
    <xf numFmtId="0" fontId="31" fillId="22" borderId="0" xfId="0" applyFont="1" applyFill="1" applyAlignment="1" applyProtection="1">
      <alignment horizontal="center" vertical="center" textRotation="90"/>
      <protection hidden="1"/>
    </xf>
    <xf numFmtId="0" fontId="75" fillId="8" borderId="0" xfId="0" applyFont="1" applyFill="1" applyAlignment="1" applyProtection="1">
      <alignment horizontal="center" vertical="center" textRotation="90"/>
      <protection hidden="1"/>
    </xf>
    <xf numFmtId="0" fontId="1" fillId="0" borderId="123" xfId="0" applyFont="1" applyBorder="1"/>
    <xf numFmtId="0" fontId="81" fillId="0" borderId="123" xfId="0" applyFont="1" applyBorder="1"/>
    <xf numFmtId="10" fontId="1" fillId="0" borderId="123" xfId="0" applyNumberFormat="1" applyFont="1" applyBorder="1"/>
    <xf numFmtId="165" fontId="68" fillId="5" borderId="0" xfId="0" applyNumberFormat="1" applyFont="1" applyFill="1" applyProtection="1">
      <protection hidden="1"/>
    </xf>
    <xf numFmtId="6" fontId="23" fillId="5" borderId="0" xfId="0" applyNumberFormat="1" applyFont="1" applyFill="1" applyProtection="1">
      <protection hidden="1"/>
    </xf>
    <xf numFmtId="167" fontId="23" fillId="5" borderId="0" xfId="1" applyNumberFormat="1" applyFont="1" applyFill="1" applyProtection="1">
      <protection hidden="1"/>
    </xf>
    <xf numFmtId="0" fontId="36" fillId="8" borderId="0" xfId="0" applyFont="1" applyFill="1" applyAlignment="1" applyProtection="1">
      <alignment horizontal="center" vertical="center" textRotation="90"/>
      <protection hidden="1"/>
    </xf>
    <xf numFmtId="10" fontId="26" fillId="5" borderId="0" xfId="11" applyNumberFormat="1" applyFont="1" applyFill="1" applyBorder="1" applyProtection="1">
      <protection hidden="1"/>
    </xf>
    <xf numFmtId="0" fontId="27" fillId="0" borderId="0" xfId="0" applyFont="1" applyAlignment="1" applyProtection="1">
      <alignment vertical="center"/>
      <protection locked="0"/>
    </xf>
    <xf numFmtId="0" fontId="1" fillId="0" borderId="0" xfId="0" applyFont="1"/>
    <xf numFmtId="0" fontId="68" fillId="7" borderId="0" xfId="0" applyFont="1" applyFill="1"/>
    <xf numFmtId="166" fontId="27" fillId="0" borderId="48" xfId="0" applyNumberFormat="1" applyFont="1" applyBorder="1" applyAlignment="1" applyProtection="1">
      <alignment vertical="center"/>
      <protection locked="0"/>
    </xf>
    <xf numFmtId="0" fontId="34" fillId="0" borderId="0" xfId="0" applyFont="1" applyProtection="1">
      <protection hidden="1"/>
    </xf>
    <xf numFmtId="0" fontId="34" fillId="0" borderId="0" xfId="0" applyFont="1" applyAlignment="1" applyProtection="1">
      <alignment vertical="center"/>
      <protection hidden="1"/>
    </xf>
    <xf numFmtId="10" fontId="19" fillId="5" borderId="4" xfId="0" applyNumberFormat="1" applyFont="1" applyFill="1" applyBorder="1" applyAlignment="1">
      <alignment horizontal="center"/>
    </xf>
    <xf numFmtId="0" fontId="19" fillId="5" borderId="33" xfId="0" applyFont="1" applyFill="1" applyBorder="1" applyAlignment="1">
      <alignment horizontal="left" wrapText="1"/>
    </xf>
    <xf numFmtId="0" fontId="14" fillId="5" borderId="16" xfId="0" applyFont="1" applyFill="1" applyBorder="1" applyAlignment="1">
      <alignment horizontal="left" vertical="top" wrapText="1"/>
    </xf>
    <xf numFmtId="10" fontId="19" fillId="5" borderId="16" xfId="0" applyNumberFormat="1" applyFont="1" applyFill="1" applyBorder="1" applyAlignment="1">
      <alignment horizontal="center"/>
    </xf>
    <xf numFmtId="0" fontId="25" fillId="7" borderId="0" xfId="0" applyFont="1" applyFill="1" applyProtection="1">
      <protection locked="0"/>
    </xf>
    <xf numFmtId="0" fontId="25" fillId="0" borderId="0" xfId="0" applyFont="1" applyProtection="1">
      <protection locked="0"/>
    </xf>
    <xf numFmtId="0" fontId="25" fillId="0" borderId="0" xfId="0" applyFont="1" applyAlignment="1" applyProtection="1">
      <alignment vertical="center"/>
      <protection locked="0"/>
    </xf>
    <xf numFmtId="166" fontId="25" fillId="8" borderId="0" xfId="0" applyNumberFormat="1" applyFont="1" applyFill="1" applyAlignment="1" applyProtection="1">
      <alignment vertical="center"/>
      <protection locked="0"/>
    </xf>
    <xf numFmtId="0" fontId="25" fillId="8" borderId="0" xfId="0" applyFont="1" applyFill="1" applyProtection="1">
      <protection locked="0"/>
    </xf>
    <xf numFmtId="0" fontId="83" fillId="0" borderId="0" xfId="0" applyFont="1"/>
    <xf numFmtId="0" fontId="0" fillId="5" borderId="143" xfId="0" applyFill="1" applyBorder="1"/>
    <xf numFmtId="0" fontId="0" fillId="5" borderId="144" xfId="0" applyFill="1" applyBorder="1"/>
    <xf numFmtId="0" fontId="82" fillId="5" borderId="144" xfId="15" applyFill="1" applyBorder="1"/>
    <xf numFmtId="2" fontId="24" fillId="0" borderId="0" xfId="0" applyNumberFormat="1" applyFont="1" applyProtection="1">
      <protection hidden="1"/>
    </xf>
    <xf numFmtId="10" fontId="84" fillId="15" borderId="0" xfId="0" applyNumberFormat="1" applyFont="1" applyFill="1"/>
    <xf numFmtId="10" fontId="23" fillId="5" borderId="0" xfId="11" applyNumberFormat="1" applyFont="1" applyFill="1" applyBorder="1" applyProtection="1">
      <protection hidden="1"/>
    </xf>
    <xf numFmtId="2" fontId="24" fillId="5" borderId="0" xfId="11" applyNumberFormat="1" applyFont="1" applyFill="1" applyBorder="1" applyProtection="1">
      <protection hidden="1"/>
    </xf>
    <xf numFmtId="2" fontId="23" fillId="5" borderId="0" xfId="11" applyNumberFormat="1" applyFont="1" applyFill="1" applyBorder="1" applyProtection="1">
      <protection hidden="1"/>
    </xf>
    <xf numFmtId="0" fontId="85" fillId="0" borderId="0" xfId="0" applyFont="1" applyProtection="1">
      <protection hidden="1"/>
    </xf>
    <xf numFmtId="0" fontId="86" fillId="0" borderId="0" xfId="0" applyFont="1" applyProtection="1">
      <protection hidden="1"/>
    </xf>
    <xf numFmtId="0" fontId="87" fillId="4" borderId="22" xfId="10" applyFont="1" applyFill="1" applyBorder="1" applyAlignment="1">
      <alignment horizontal="center" vertical="top" wrapText="1"/>
    </xf>
    <xf numFmtId="0" fontId="87" fillId="4" borderId="22" xfId="10" applyFont="1" applyFill="1" applyBorder="1" applyAlignment="1">
      <alignment vertical="top" wrapText="1"/>
    </xf>
    <xf numFmtId="9" fontId="68" fillId="13" borderId="0" xfId="0" applyNumberFormat="1" applyFont="1" applyFill="1"/>
    <xf numFmtId="10" fontId="68" fillId="13" borderId="0" xfId="0" applyNumberFormat="1" applyFont="1" applyFill="1"/>
    <xf numFmtId="168" fontId="40" fillId="18" borderId="100" xfId="1" applyNumberFormat="1" applyFont="1" applyFill="1" applyBorder="1" applyAlignment="1" applyProtection="1">
      <alignment vertical="center"/>
      <protection hidden="1"/>
    </xf>
    <xf numFmtId="10" fontId="84" fillId="0" borderId="0" xfId="11" applyNumberFormat="1" applyFont="1" applyFill="1"/>
    <xf numFmtId="16" fontId="0" fillId="0" borderId="0" xfId="0" applyNumberFormat="1"/>
    <xf numFmtId="14" fontId="0" fillId="0" borderId="0" xfId="0" applyNumberFormat="1"/>
    <xf numFmtId="16" fontId="17" fillId="0" borderId="0" xfId="0" applyNumberFormat="1" applyFont="1"/>
    <xf numFmtId="0" fontId="31" fillId="15" borderId="0" xfId="0" applyFont="1" applyFill="1" applyAlignment="1" applyProtection="1">
      <alignment wrapText="1"/>
      <protection hidden="1"/>
    </xf>
    <xf numFmtId="10" fontId="23" fillId="5" borderId="0" xfId="11" applyNumberFormat="1" applyFont="1" applyFill="1" applyAlignment="1" applyProtection="1">
      <alignment wrapText="1"/>
      <protection hidden="1"/>
    </xf>
    <xf numFmtId="175" fontId="23" fillId="5" borderId="0" xfId="0" applyNumberFormat="1" applyFont="1" applyFill="1" applyProtection="1">
      <protection hidden="1"/>
    </xf>
    <xf numFmtId="176" fontId="23" fillId="5" borderId="0" xfId="0" applyNumberFormat="1" applyFont="1" applyFill="1" applyProtection="1">
      <protection hidden="1"/>
    </xf>
    <xf numFmtId="0" fontId="9" fillId="0" borderId="0" xfId="0" applyFont="1" applyProtection="1">
      <protection hidden="1"/>
    </xf>
    <xf numFmtId="0" fontId="56" fillId="2" borderId="0" xfId="5" applyFont="1" applyFill="1" applyAlignment="1" applyProtection="1">
      <alignment horizontal="center"/>
      <protection locked="0"/>
    </xf>
    <xf numFmtId="0" fontId="38" fillId="2" borderId="40" xfId="5" applyFont="1" applyFill="1" applyBorder="1" applyAlignment="1" applyProtection="1">
      <alignment horizontal="left" vertical="center"/>
      <protection hidden="1"/>
    </xf>
    <xf numFmtId="0" fontId="38" fillId="2" borderId="42" xfId="5" applyFont="1" applyFill="1" applyBorder="1" applyAlignment="1" applyProtection="1">
      <alignment horizontal="left" vertical="center"/>
      <protection hidden="1"/>
    </xf>
    <xf numFmtId="0" fontId="25" fillId="0" borderId="56" xfId="0" applyFont="1" applyBorder="1" applyProtection="1">
      <protection hidden="1"/>
    </xf>
    <xf numFmtId="0" fontId="27" fillId="8" borderId="48" xfId="0" applyFont="1" applyFill="1" applyBorder="1" applyAlignment="1" applyProtection="1">
      <alignment horizontal="center"/>
      <protection locked="0"/>
    </xf>
    <xf numFmtId="0" fontId="27" fillId="8" borderId="48" xfId="0" applyFont="1" applyFill="1" applyBorder="1" applyAlignment="1" applyProtection="1">
      <alignment horizontal="center" vertical="center"/>
      <protection locked="0"/>
    </xf>
    <xf numFmtId="0" fontId="25" fillId="7" borderId="48" xfId="0" applyFont="1" applyFill="1" applyBorder="1" applyProtection="1">
      <protection locked="0"/>
    </xf>
    <xf numFmtId="0" fontId="25" fillId="0" borderId="48" xfId="0" applyFont="1" applyBorder="1" applyProtection="1">
      <protection locked="0"/>
    </xf>
    <xf numFmtId="1" fontId="59" fillId="5" borderId="0" xfId="6" applyNumberFormat="1" applyFont="1" applyFill="1" applyProtection="1">
      <protection hidden="1"/>
    </xf>
    <xf numFmtId="0" fontId="25" fillId="7" borderId="122" xfId="0" applyFont="1" applyFill="1" applyBorder="1" applyProtection="1">
      <protection hidden="1"/>
    </xf>
    <xf numFmtId="0" fontId="25" fillId="0" borderId="122" xfId="0" applyFont="1" applyBorder="1" applyProtection="1">
      <protection hidden="1"/>
    </xf>
    <xf numFmtId="0" fontId="27" fillId="5" borderId="56" xfId="0" applyFont="1" applyFill="1" applyBorder="1" applyAlignment="1" applyProtection="1">
      <alignment vertical="center"/>
      <protection locked="0"/>
    </xf>
    <xf numFmtId="0" fontId="25" fillId="5" borderId="0" xfId="0" applyFont="1" applyFill="1" applyProtection="1">
      <protection locked="0"/>
    </xf>
    <xf numFmtId="166" fontId="25" fillId="0" borderId="0" xfId="0" applyNumberFormat="1" applyFont="1" applyAlignment="1" applyProtection="1">
      <alignment vertical="center"/>
      <protection locked="0"/>
    </xf>
    <xf numFmtId="0" fontId="41" fillId="5" borderId="14" xfId="0" applyFont="1" applyFill="1" applyBorder="1" applyAlignment="1" applyProtection="1">
      <alignment horizontal="center"/>
      <protection hidden="1"/>
    </xf>
    <xf numFmtId="0" fontId="19" fillId="5" borderId="16" xfId="0" applyFont="1" applyFill="1" applyBorder="1" applyAlignment="1" applyProtection="1">
      <alignment horizontal="center"/>
      <protection hidden="1"/>
    </xf>
    <xf numFmtId="42" fontId="41" fillId="5" borderId="16" xfId="0" applyNumberFormat="1" applyFont="1" applyFill="1" applyBorder="1" applyAlignment="1" applyProtection="1">
      <alignment horizontal="center"/>
      <protection hidden="1"/>
    </xf>
    <xf numFmtId="0" fontId="41" fillId="5" borderId="18" xfId="0" applyFont="1" applyFill="1" applyBorder="1" applyAlignment="1" applyProtection="1">
      <alignment horizontal="center"/>
      <protection hidden="1"/>
    </xf>
    <xf numFmtId="0" fontId="41" fillId="5" borderId="19" xfId="0" applyFont="1" applyFill="1" applyBorder="1" applyAlignment="1" applyProtection="1">
      <alignment horizontal="center"/>
      <protection hidden="1"/>
    </xf>
    <xf numFmtId="42" fontId="41" fillId="5" borderId="14" xfId="0" applyNumberFormat="1" applyFont="1" applyFill="1" applyBorder="1" applyAlignment="1" applyProtection="1">
      <alignment horizontal="center"/>
      <protection hidden="1"/>
    </xf>
    <xf numFmtId="42" fontId="41" fillId="5" borderId="18" xfId="0" applyNumberFormat="1" applyFont="1" applyFill="1" applyBorder="1" applyAlignment="1" applyProtection="1">
      <alignment horizontal="center"/>
      <protection hidden="1"/>
    </xf>
    <xf numFmtId="0" fontId="41" fillId="5" borderId="0" xfId="0" applyFont="1" applyFill="1" applyAlignment="1" applyProtection="1">
      <alignment horizontal="center"/>
      <protection hidden="1"/>
    </xf>
    <xf numFmtId="0" fontId="41" fillId="5" borderId="8" xfId="0" applyFont="1" applyFill="1" applyBorder="1" applyAlignment="1" applyProtection="1">
      <alignment horizontal="center"/>
      <protection hidden="1"/>
    </xf>
    <xf numFmtId="0" fontId="19" fillId="5" borderId="12" xfId="0" applyFont="1" applyFill="1" applyBorder="1" applyProtection="1">
      <protection hidden="1"/>
    </xf>
    <xf numFmtId="0" fontId="41" fillId="5" borderId="21" xfId="0" applyFont="1" applyFill="1" applyBorder="1" applyAlignment="1" applyProtection="1">
      <alignment horizontal="center"/>
      <protection hidden="1"/>
    </xf>
    <xf numFmtId="0" fontId="19" fillId="5" borderId="16" xfId="0" applyFont="1" applyFill="1" applyBorder="1" applyProtection="1">
      <protection hidden="1"/>
    </xf>
    <xf numFmtId="0" fontId="32" fillId="5" borderId="8" xfId="0" applyFont="1" applyFill="1" applyBorder="1" applyAlignment="1" applyProtection="1">
      <alignment horizontal="left"/>
      <protection hidden="1"/>
    </xf>
    <xf numFmtId="10" fontId="43" fillId="5" borderId="14" xfId="0" applyNumberFormat="1" applyFont="1" applyFill="1" applyBorder="1" applyProtection="1">
      <protection hidden="1"/>
    </xf>
    <xf numFmtId="10" fontId="43" fillId="5" borderId="16" xfId="0" applyNumberFormat="1" applyFont="1" applyFill="1" applyBorder="1" applyProtection="1">
      <protection hidden="1"/>
    </xf>
    <xf numFmtId="10" fontId="43" fillId="5" borderId="18" xfId="0" applyNumberFormat="1" applyFont="1" applyFill="1" applyBorder="1" applyProtection="1">
      <protection hidden="1"/>
    </xf>
    <xf numFmtId="0" fontId="42" fillId="5" borderId="10" xfId="0" applyFont="1" applyFill="1" applyBorder="1" applyProtection="1">
      <protection hidden="1"/>
    </xf>
    <xf numFmtId="42" fontId="43" fillId="5" borderId="14" xfId="0" applyNumberFormat="1" applyFont="1" applyFill="1" applyBorder="1" applyAlignment="1" applyProtection="1">
      <alignment horizontal="center"/>
      <protection hidden="1"/>
    </xf>
    <xf numFmtId="42" fontId="43" fillId="5" borderId="18" xfId="0" applyNumberFormat="1" applyFont="1" applyFill="1" applyBorder="1" applyAlignment="1" applyProtection="1">
      <alignment horizontal="center"/>
      <protection hidden="1"/>
    </xf>
    <xf numFmtId="0" fontId="27" fillId="0" borderId="122" xfId="0" applyFont="1" applyBorder="1" applyAlignment="1" applyProtection="1">
      <alignment vertical="center"/>
      <protection hidden="1"/>
    </xf>
    <xf numFmtId="0" fontId="27" fillId="0" borderId="49" xfId="0" applyFont="1" applyBorder="1" applyAlignment="1" applyProtection="1">
      <alignment vertical="center"/>
      <protection hidden="1"/>
    </xf>
    <xf numFmtId="0" fontId="27" fillId="8" borderId="118" xfId="0" applyFont="1" applyFill="1" applyBorder="1" applyAlignment="1" applyProtection="1">
      <alignment horizontal="center" vertical="center"/>
      <protection locked="0"/>
    </xf>
    <xf numFmtId="0" fontId="27" fillId="8" borderId="121" xfId="0" applyFont="1" applyFill="1" applyBorder="1" applyAlignment="1" applyProtection="1">
      <alignment horizontal="center" vertical="center"/>
      <protection locked="0"/>
    </xf>
    <xf numFmtId="42" fontId="27" fillId="8" borderId="118" xfId="0" applyNumberFormat="1" applyFont="1" applyFill="1" applyBorder="1" applyAlignment="1" applyProtection="1">
      <alignment horizontal="right" vertical="center"/>
      <protection locked="0"/>
    </xf>
    <xf numFmtId="42" fontId="27" fillId="8" borderId="121" xfId="0" applyNumberFormat="1" applyFont="1" applyFill="1" applyBorder="1" applyAlignment="1" applyProtection="1">
      <alignment horizontal="right" vertical="center"/>
      <protection locked="0"/>
    </xf>
    <xf numFmtId="166" fontId="25" fillId="11" borderId="53" xfId="0" applyNumberFormat="1" applyFont="1" applyFill="1" applyBorder="1" applyAlignment="1" applyProtection="1">
      <alignment horizontal="center" vertical="center"/>
      <protection locked="0"/>
    </xf>
    <xf numFmtId="0" fontId="25" fillId="11" borderId="53" xfId="0" applyFont="1" applyFill="1" applyBorder="1" applyAlignment="1" applyProtection="1">
      <alignment horizontal="center" vertical="center"/>
      <protection locked="0"/>
    </xf>
    <xf numFmtId="42" fontId="25" fillId="7" borderId="0" xfId="0" applyNumberFormat="1" applyFont="1" applyFill="1" applyProtection="1">
      <protection locked="0"/>
    </xf>
    <xf numFmtId="42" fontId="25" fillId="0" borderId="0" xfId="0" applyNumberFormat="1" applyFont="1" applyProtection="1">
      <protection locked="0"/>
    </xf>
    <xf numFmtId="0" fontId="39" fillId="8" borderId="99" xfId="0" applyFont="1" applyFill="1" applyBorder="1" applyAlignment="1" applyProtection="1">
      <alignment vertical="center" wrapText="1"/>
      <protection hidden="1"/>
    </xf>
    <xf numFmtId="0" fontId="59" fillId="23" borderId="0" xfId="0" applyFont="1" applyFill="1" applyProtection="1">
      <protection hidden="1"/>
    </xf>
    <xf numFmtId="10" fontId="39" fillId="8" borderId="0" xfId="11" applyNumberFormat="1" applyFont="1" applyFill="1" applyBorder="1" applyAlignment="1" applyProtection="1">
      <alignment horizontal="left" vertical="center"/>
      <protection hidden="1"/>
    </xf>
    <xf numFmtId="179" fontId="61" fillId="18" borderId="97" xfId="11" applyNumberFormat="1" applyFont="1" applyFill="1" applyBorder="1" applyAlignment="1" applyProtection="1">
      <alignment vertical="center"/>
      <protection hidden="1"/>
    </xf>
    <xf numFmtId="0" fontId="3" fillId="8" borderId="40" xfId="0" applyFont="1" applyFill="1" applyBorder="1" applyAlignment="1" applyProtection="1">
      <alignment horizontal="right"/>
      <protection hidden="1"/>
    </xf>
    <xf numFmtId="0" fontId="3" fillId="8" borderId="0" xfId="0" applyFont="1" applyFill="1" applyAlignment="1" applyProtection="1">
      <alignment horizontal="right"/>
      <protection hidden="1"/>
    </xf>
    <xf numFmtId="0" fontId="39" fillId="8" borderId="195" xfId="0" applyFont="1" applyFill="1" applyBorder="1" applyAlignment="1" applyProtection="1">
      <alignment vertical="center"/>
      <protection hidden="1"/>
    </xf>
    <xf numFmtId="169" fontId="61" fillId="18" borderId="114" xfId="11" applyNumberFormat="1" applyFont="1" applyFill="1" applyBorder="1" applyAlignment="1" applyProtection="1">
      <alignment vertical="center"/>
      <protection hidden="1"/>
    </xf>
    <xf numFmtId="168" fontId="61" fillId="18" borderId="113" xfId="1" applyNumberFormat="1" applyFont="1" applyFill="1" applyBorder="1" applyAlignment="1" applyProtection="1">
      <alignment horizontal="center" vertical="center"/>
      <protection hidden="1"/>
    </xf>
    <xf numFmtId="9" fontId="61" fillId="18" borderId="196" xfId="11" applyFont="1" applyFill="1" applyBorder="1" applyAlignment="1" applyProtection="1">
      <alignment horizontal="center"/>
      <protection hidden="1"/>
    </xf>
    <xf numFmtId="0" fontId="68" fillId="0" borderId="0" xfId="0" applyFont="1"/>
    <xf numFmtId="0" fontId="68" fillId="0" borderId="0" xfId="0" applyFont="1" applyAlignment="1">
      <alignment wrapText="1"/>
    </xf>
    <xf numFmtId="0" fontId="30" fillId="0" borderId="0" xfId="0" applyFont="1" applyAlignment="1" applyProtection="1">
      <alignment wrapText="1"/>
      <protection hidden="1"/>
    </xf>
    <xf numFmtId="0" fontId="5" fillId="5" borderId="0" xfId="6" applyFont="1" applyFill="1" applyAlignment="1" applyProtection="1">
      <alignment vertical="center" wrapText="1"/>
      <protection hidden="1"/>
    </xf>
    <xf numFmtId="0" fontId="90" fillId="0" borderId="0" xfId="0" applyFont="1"/>
    <xf numFmtId="165" fontId="6" fillId="5" borderId="0" xfId="0" applyNumberFormat="1" applyFont="1" applyFill="1" applyProtection="1">
      <protection hidden="1"/>
    </xf>
    <xf numFmtId="164" fontId="6" fillId="5" borderId="0" xfId="0" applyNumberFormat="1" applyFont="1" applyFill="1" applyProtection="1">
      <protection hidden="1"/>
    </xf>
    <xf numFmtId="166" fontId="6" fillId="5" borderId="0" xfId="0" applyNumberFormat="1" applyFont="1" applyFill="1" applyProtection="1">
      <protection hidden="1"/>
    </xf>
    <xf numFmtId="6" fontId="6" fillId="5" borderId="0" xfId="0" applyNumberFormat="1" applyFont="1" applyFill="1" applyProtection="1">
      <protection hidden="1"/>
    </xf>
    <xf numFmtId="1" fontId="3" fillId="5" borderId="0" xfId="6" applyNumberFormat="1" applyFont="1" applyFill="1" applyProtection="1">
      <protection hidden="1"/>
    </xf>
    <xf numFmtId="1" fontId="23" fillId="5" borderId="0" xfId="0" applyNumberFormat="1" applyFont="1" applyFill="1" applyProtection="1">
      <protection hidden="1"/>
    </xf>
    <xf numFmtId="8" fontId="29" fillId="0" borderId="0" xfId="0" applyNumberFormat="1" applyFont="1" applyProtection="1">
      <protection hidden="1"/>
    </xf>
    <xf numFmtId="0" fontId="52" fillId="0" borderId="0" xfId="0" applyFont="1" applyAlignment="1">
      <alignment wrapText="1"/>
    </xf>
    <xf numFmtId="3" fontId="17" fillId="0" borderId="0" xfId="0" applyNumberFormat="1" applyFont="1"/>
    <xf numFmtId="164" fontId="0" fillId="0" borderId="0" xfId="1" applyFont="1"/>
    <xf numFmtId="164" fontId="0" fillId="0" borderId="0" xfId="0" applyNumberFormat="1"/>
    <xf numFmtId="164" fontId="17" fillId="0" borderId="0" xfId="0" applyNumberFormat="1" applyFont="1"/>
    <xf numFmtId="0" fontId="6" fillId="5" borderId="129" xfId="0" applyFont="1" applyFill="1" applyBorder="1" applyProtection="1">
      <protection hidden="1"/>
    </xf>
    <xf numFmtId="0" fontId="2" fillId="5" borderId="0" xfId="0" applyFont="1" applyFill="1" applyAlignment="1" applyProtection="1">
      <alignment horizontal="justify"/>
      <protection hidden="1"/>
    </xf>
    <xf numFmtId="0" fontId="7" fillId="5" borderId="73" xfId="0" applyFont="1" applyFill="1" applyBorder="1" applyAlignment="1" applyProtection="1">
      <alignment horizontal="center" vertical="top" wrapText="1"/>
      <protection hidden="1"/>
    </xf>
    <xf numFmtId="174" fontId="6" fillId="5" borderId="0" xfId="0" quotePrefix="1" applyNumberFormat="1" applyFont="1" applyFill="1" applyProtection="1">
      <protection hidden="1"/>
    </xf>
    <xf numFmtId="174" fontId="6" fillId="5" borderId="0" xfId="0" quotePrefix="1" applyNumberFormat="1" applyFont="1" applyFill="1" applyAlignment="1" applyProtection="1">
      <alignment horizontal="right"/>
      <protection hidden="1"/>
    </xf>
    <xf numFmtId="0" fontId="6" fillId="5" borderId="74" xfId="0" applyFont="1" applyFill="1" applyBorder="1" applyAlignment="1" applyProtection="1">
      <alignment horizontal="justify" vertical="top" wrapText="1"/>
      <protection hidden="1"/>
    </xf>
    <xf numFmtId="0" fontId="91" fillId="5" borderId="0" xfId="0" applyFont="1" applyFill="1" applyAlignment="1">
      <alignment horizontal="justify" vertical="center"/>
    </xf>
    <xf numFmtId="10" fontId="6" fillId="5" borderId="0" xfId="11" applyNumberFormat="1" applyFont="1" applyFill="1" applyProtection="1">
      <protection hidden="1"/>
    </xf>
    <xf numFmtId="0" fontId="91" fillId="0" borderId="0" xfId="0" applyFont="1"/>
    <xf numFmtId="0" fontId="6" fillId="5" borderId="0" xfId="0" applyFont="1" applyFill="1" applyAlignment="1" applyProtection="1">
      <alignment vertical="top"/>
      <protection hidden="1"/>
    </xf>
    <xf numFmtId="165" fontId="6" fillId="5" borderId="0" xfId="0" applyNumberFormat="1" applyFont="1" applyFill="1" applyAlignment="1" applyProtection="1">
      <alignment vertical="center"/>
      <protection hidden="1"/>
    </xf>
    <xf numFmtId="0" fontId="3" fillId="5" borderId="0" xfId="0" applyFont="1" applyFill="1" applyProtection="1">
      <protection hidden="1"/>
    </xf>
    <xf numFmtId="0" fontId="6" fillId="5" borderId="0" xfId="0" quotePrefix="1" applyFont="1" applyFill="1" applyProtection="1">
      <protection hidden="1"/>
    </xf>
    <xf numFmtId="0" fontId="6" fillId="5" borderId="57" xfId="0" applyFont="1" applyFill="1" applyBorder="1" applyAlignment="1" applyProtection="1">
      <alignment vertical="top"/>
      <protection hidden="1"/>
    </xf>
    <xf numFmtId="0" fontId="6" fillId="5" borderId="74" xfId="0" applyFont="1" applyFill="1" applyBorder="1" applyAlignment="1" applyProtection="1">
      <alignment vertical="top"/>
      <protection hidden="1"/>
    </xf>
    <xf numFmtId="168" fontId="61" fillId="18" borderId="114" xfId="1" applyNumberFormat="1" applyFont="1" applyFill="1" applyBorder="1" applyAlignment="1" applyProtection="1">
      <alignment vertical="center"/>
      <protection hidden="1"/>
    </xf>
    <xf numFmtId="10" fontId="61" fillId="18" borderId="198" xfId="11" applyNumberFormat="1" applyFont="1" applyFill="1" applyBorder="1" applyAlignment="1" applyProtection="1">
      <alignment vertical="center"/>
      <protection hidden="1"/>
    </xf>
    <xf numFmtId="10" fontId="61" fillId="18" borderId="199" xfId="11" applyNumberFormat="1" applyFont="1" applyFill="1" applyBorder="1" applyAlignment="1" applyProtection="1">
      <alignment vertical="center"/>
      <protection hidden="1"/>
    </xf>
    <xf numFmtId="0" fontId="32" fillId="8" borderId="68" xfId="0" applyFont="1" applyFill="1" applyBorder="1" applyProtection="1">
      <protection hidden="1"/>
    </xf>
    <xf numFmtId="0" fontId="32" fillId="8" borderId="109" xfId="0" applyFont="1" applyFill="1" applyBorder="1" applyProtection="1">
      <protection hidden="1"/>
    </xf>
    <xf numFmtId="164" fontId="29" fillId="0" borderId="0" xfId="0" applyNumberFormat="1" applyFont="1" applyProtection="1">
      <protection hidden="1"/>
    </xf>
    <xf numFmtId="0" fontId="5" fillId="6" borderId="1" xfId="6" applyFont="1" applyFill="1" applyBorder="1" applyAlignment="1" applyProtection="1">
      <alignment horizontal="left" vertical="center"/>
      <protection hidden="1"/>
    </xf>
    <xf numFmtId="3" fontId="3" fillId="5" borderId="0" xfId="6" applyNumberFormat="1" applyFont="1" applyFill="1" applyProtection="1">
      <protection hidden="1"/>
    </xf>
    <xf numFmtId="14" fontId="3" fillId="7" borderId="0" xfId="6" applyNumberFormat="1" applyFont="1" applyFill="1" applyProtection="1">
      <protection hidden="1"/>
    </xf>
    <xf numFmtId="10" fontId="3" fillId="7" borderId="0" xfId="6" applyNumberFormat="1" applyFont="1" applyFill="1" applyAlignment="1" applyProtection="1">
      <alignment horizontal="right"/>
      <protection hidden="1"/>
    </xf>
    <xf numFmtId="8" fontId="6" fillId="5" borderId="0" xfId="0" applyNumberFormat="1" applyFont="1" applyFill="1" applyProtection="1">
      <protection hidden="1"/>
    </xf>
    <xf numFmtId="178" fontId="3" fillId="5" borderId="0" xfId="6" applyNumberFormat="1" applyFont="1" applyFill="1" applyProtection="1">
      <protection hidden="1"/>
    </xf>
    <xf numFmtId="10" fontId="3" fillId="5" borderId="0" xfId="11" applyNumberFormat="1" applyFont="1" applyFill="1" applyProtection="1">
      <protection hidden="1"/>
    </xf>
    <xf numFmtId="177" fontId="6" fillId="5" borderId="0" xfId="0" applyNumberFormat="1" applyFont="1" applyFill="1" applyProtection="1">
      <protection hidden="1"/>
    </xf>
    <xf numFmtId="2" fontId="3" fillId="5" borderId="0" xfId="6" applyNumberFormat="1" applyFont="1" applyFill="1" applyProtection="1">
      <protection hidden="1"/>
    </xf>
    <xf numFmtId="10" fontId="6" fillId="5" borderId="0" xfId="12" applyNumberFormat="1" applyFont="1" applyFill="1" applyProtection="1">
      <protection hidden="1"/>
    </xf>
    <xf numFmtId="9" fontId="3" fillId="5" borderId="0" xfId="6" applyNumberFormat="1" applyFont="1" applyFill="1" applyProtection="1">
      <protection hidden="1"/>
    </xf>
    <xf numFmtId="0" fontId="92" fillId="5" borderId="0" xfId="5" applyFont="1" applyFill="1" applyProtection="1">
      <protection hidden="1"/>
    </xf>
    <xf numFmtId="0" fontId="23" fillId="5" borderId="0" xfId="0" quotePrefix="1" applyFont="1" applyFill="1" applyAlignment="1" applyProtection="1">
      <alignment wrapText="1"/>
      <protection hidden="1"/>
    </xf>
    <xf numFmtId="0" fontId="23" fillId="5" borderId="0" xfId="0" applyFont="1" applyFill="1" applyAlignment="1" applyProtection="1">
      <alignment vertical="top"/>
      <protection hidden="1"/>
    </xf>
    <xf numFmtId="0" fontId="59" fillId="5" borderId="0" xfId="0" applyFont="1" applyFill="1" applyProtection="1">
      <protection hidden="1"/>
    </xf>
    <xf numFmtId="0" fontId="39" fillId="8" borderId="200" xfId="0" applyFont="1" applyFill="1" applyBorder="1" applyAlignment="1" applyProtection="1">
      <alignment horizontal="left" vertical="center"/>
      <protection hidden="1"/>
    </xf>
    <xf numFmtId="0" fontId="39" fillId="8" borderId="200" xfId="0" applyFont="1" applyFill="1" applyBorder="1" applyProtection="1">
      <protection hidden="1"/>
    </xf>
    <xf numFmtId="0" fontId="39" fillId="8" borderId="200" xfId="0" applyFont="1" applyFill="1" applyBorder="1" applyAlignment="1" applyProtection="1">
      <alignment vertical="center"/>
      <protection hidden="1"/>
    </xf>
    <xf numFmtId="0" fontId="38" fillId="2" borderId="125" xfId="5" applyFont="1" applyFill="1" applyBorder="1" applyAlignment="1" applyProtection="1">
      <alignment horizontal="center"/>
      <protection hidden="1"/>
    </xf>
    <xf numFmtId="0" fontId="38" fillId="2" borderId="126" xfId="5" applyFont="1" applyFill="1" applyBorder="1" applyAlignment="1" applyProtection="1">
      <alignment horizontal="center"/>
      <protection hidden="1"/>
    </xf>
    <xf numFmtId="0" fontId="38" fillId="2" borderId="126" xfId="5" applyFont="1" applyFill="1" applyBorder="1" applyProtection="1">
      <protection hidden="1"/>
    </xf>
    <xf numFmtId="0" fontId="38" fillId="2" borderId="127" xfId="5" applyFont="1" applyFill="1" applyBorder="1" applyProtection="1">
      <protection hidden="1"/>
    </xf>
    <xf numFmtId="0" fontId="38" fillId="2" borderId="128" xfId="5" applyFont="1" applyFill="1" applyBorder="1" applyProtection="1">
      <protection hidden="1"/>
    </xf>
    <xf numFmtId="0" fontId="56" fillId="2" borderId="10" xfId="5" applyFont="1" applyFill="1" applyBorder="1" applyAlignment="1" applyProtection="1">
      <alignment horizontal="center"/>
      <protection hidden="1"/>
    </xf>
    <xf numFmtId="0" fontId="38" fillId="2" borderId="128" xfId="5" applyFont="1" applyFill="1" applyBorder="1" applyAlignment="1" applyProtection="1">
      <alignment horizontal="center" vertical="center"/>
      <protection hidden="1"/>
    </xf>
    <xf numFmtId="0" fontId="38" fillId="2" borderId="10" xfId="5" applyFont="1" applyFill="1" applyBorder="1" applyProtection="1">
      <protection hidden="1"/>
    </xf>
    <xf numFmtId="0" fontId="38" fillId="2" borderId="11" xfId="5" applyFont="1" applyFill="1" applyBorder="1" applyProtection="1">
      <protection hidden="1"/>
    </xf>
    <xf numFmtId="0" fontId="38" fillId="2" borderId="27" xfId="5" applyFont="1" applyFill="1" applyBorder="1" applyAlignment="1" applyProtection="1">
      <alignment horizontal="center"/>
      <protection hidden="1"/>
    </xf>
    <xf numFmtId="0" fontId="38" fillId="2" borderId="27" xfId="5" applyFont="1" applyFill="1" applyBorder="1" applyProtection="1">
      <protection hidden="1"/>
    </xf>
    <xf numFmtId="0" fontId="38" fillId="2" borderId="12" xfId="5" applyFont="1" applyFill="1" applyBorder="1" applyProtection="1">
      <protection hidden="1"/>
    </xf>
    <xf numFmtId="0" fontId="54" fillId="0" borderId="0" xfId="0" applyFont="1" applyAlignment="1" applyProtection="1">
      <alignment horizontal="left" indent="15"/>
      <protection hidden="1"/>
    </xf>
    <xf numFmtId="165" fontId="26" fillId="5" borderId="0" xfId="11" applyNumberFormat="1" applyFont="1" applyFill="1" applyBorder="1" applyProtection="1">
      <protection hidden="1"/>
    </xf>
    <xf numFmtId="166" fontId="23" fillId="5" borderId="0" xfId="0" applyNumberFormat="1" applyFont="1" applyFill="1" applyAlignment="1" applyProtection="1">
      <alignment wrapText="1"/>
      <protection hidden="1"/>
    </xf>
    <xf numFmtId="6" fontId="29" fillId="0" borderId="0" xfId="0" applyNumberFormat="1" applyFont="1" applyProtection="1">
      <protection hidden="1"/>
    </xf>
    <xf numFmtId="165" fontId="3" fillId="5" borderId="0" xfId="6" applyNumberFormat="1" applyFont="1" applyFill="1" applyProtection="1">
      <protection hidden="1"/>
    </xf>
    <xf numFmtId="8" fontId="59" fillId="5" borderId="0" xfId="6" applyNumberFormat="1" applyFont="1" applyFill="1" applyProtection="1">
      <protection hidden="1"/>
    </xf>
    <xf numFmtId="0" fontId="5" fillId="0" borderId="0" xfId="6" applyFont="1" applyAlignment="1" applyProtection="1">
      <alignment horizontal="left" vertical="center"/>
      <protection hidden="1"/>
    </xf>
    <xf numFmtId="10" fontId="1" fillId="0" borderId="0" xfId="0" applyNumberFormat="1" applyFont="1"/>
    <xf numFmtId="0" fontId="1" fillId="0" borderId="201" xfId="0" applyFont="1" applyBorder="1"/>
    <xf numFmtId="167" fontId="0" fillId="0" borderId="0" xfId="1" applyNumberFormat="1" applyFont="1"/>
    <xf numFmtId="9" fontId="0" fillId="0" borderId="0" xfId="11" applyFont="1"/>
    <xf numFmtId="0" fontId="27" fillId="8" borderId="0" xfId="0" applyFont="1" applyFill="1" applyAlignment="1" applyProtection="1">
      <alignment horizontal="center"/>
      <protection locked="0"/>
    </xf>
    <xf numFmtId="0" fontId="95" fillId="5" borderId="0" xfId="6" applyFont="1" applyFill="1" applyProtection="1">
      <protection hidden="1"/>
    </xf>
    <xf numFmtId="9" fontId="95" fillId="5" borderId="0" xfId="6" applyNumberFormat="1" applyFont="1" applyFill="1" applyProtection="1">
      <protection hidden="1"/>
    </xf>
    <xf numFmtId="164" fontId="23" fillId="5" borderId="0" xfId="1" applyFont="1" applyFill="1" applyProtection="1">
      <protection hidden="1"/>
    </xf>
    <xf numFmtId="0" fontId="76" fillId="16" borderId="0" xfId="0" applyFont="1" applyFill="1" applyAlignment="1" applyProtection="1">
      <alignment horizontal="center" vertical="center" textRotation="90"/>
      <protection hidden="1"/>
    </xf>
    <xf numFmtId="0" fontId="32" fillId="18" borderId="0" xfId="0" applyFont="1" applyFill="1" applyAlignment="1" applyProtection="1">
      <alignment horizontal="center" vertical="center" textRotation="90"/>
      <protection hidden="1"/>
    </xf>
    <xf numFmtId="0" fontId="32" fillId="8" borderId="0" xfId="0" applyFont="1" applyFill="1" applyAlignment="1" applyProtection="1">
      <alignment vertical="center"/>
      <protection hidden="1"/>
    </xf>
    <xf numFmtId="0" fontId="25" fillId="8" borderId="39" xfId="0" applyFont="1" applyFill="1" applyBorder="1" applyProtection="1">
      <protection hidden="1"/>
    </xf>
    <xf numFmtId="0" fontId="25" fillId="8" borderId="27" xfId="0" applyFont="1" applyFill="1" applyBorder="1" applyProtection="1">
      <protection hidden="1"/>
    </xf>
    <xf numFmtId="0" fontId="32" fillId="8" borderId="27" xfId="0" applyFont="1" applyFill="1" applyBorder="1" applyAlignment="1" applyProtection="1">
      <alignment vertical="center"/>
      <protection hidden="1"/>
    </xf>
    <xf numFmtId="0" fontId="39" fillId="8" borderId="11" xfId="0" applyFont="1" applyFill="1" applyBorder="1" applyProtection="1">
      <protection hidden="1"/>
    </xf>
    <xf numFmtId="0" fontId="39" fillId="8" borderId="99" xfId="0" applyFont="1" applyFill="1" applyBorder="1" applyProtection="1">
      <protection hidden="1"/>
    </xf>
    <xf numFmtId="1" fontId="61" fillId="18" borderId="67" xfId="1" applyNumberFormat="1" applyFont="1" applyFill="1" applyBorder="1" applyAlignment="1" applyProtection="1">
      <alignment vertical="center"/>
      <protection hidden="1"/>
    </xf>
    <xf numFmtId="0" fontId="39" fillId="8" borderId="203" xfId="0" applyFont="1" applyFill="1" applyBorder="1" applyAlignment="1" applyProtection="1">
      <alignment vertical="center"/>
      <protection hidden="1"/>
    </xf>
    <xf numFmtId="0" fontId="32" fillId="8" borderId="202" xfId="0" applyFont="1" applyFill="1" applyBorder="1" applyAlignment="1" applyProtection="1">
      <alignment vertical="center"/>
      <protection hidden="1"/>
    </xf>
    <xf numFmtId="165" fontId="61" fillId="24" borderId="204" xfId="0" applyNumberFormat="1" applyFont="1" applyFill="1" applyBorder="1" applyAlignment="1" applyProtection="1">
      <alignment vertical="center"/>
      <protection hidden="1"/>
    </xf>
    <xf numFmtId="0" fontId="39" fillId="8" borderId="183" xfId="0" applyFont="1" applyFill="1" applyBorder="1" applyAlignment="1" applyProtection="1">
      <alignment vertical="center"/>
      <protection hidden="1"/>
    </xf>
    <xf numFmtId="10" fontId="61" fillId="18" borderId="0" xfId="11" applyNumberFormat="1" applyFont="1" applyFill="1" applyBorder="1" applyAlignment="1" applyProtection="1">
      <alignment vertical="center"/>
      <protection hidden="1"/>
    </xf>
    <xf numFmtId="10" fontId="61" fillId="24" borderId="184" xfId="11" applyNumberFormat="1" applyFont="1" applyFill="1" applyBorder="1" applyAlignment="1" applyProtection="1">
      <alignment vertical="center"/>
      <protection hidden="1"/>
    </xf>
    <xf numFmtId="0" fontId="77" fillId="8" borderId="205" xfId="0" applyFont="1" applyFill="1" applyBorder="1" applyAlignment="1" applyProtection="1">
      <alignment vertical="center"/>
      <protection hidden="1"/>
    </xf>
    <xf numFmtId="10" fontId="96" fillId="24" borderId="12" xfId="11" applyNumberFormat="1" applyFont="1" applyFill="1" applyBorder="1" applyAlignment="1" applyProtection="1">
      <alignment vertical="center"/>
      <protection hidden="1"/>
    </xf>
    <xf numFmtId="0" fontId="21" fillId="0" borderId="0" xfId="0" applyFont="1" applyProtection="1">
      <protection hidden="1"/>
    </xf>
    <xf numFmtId="0" fontId="38" fillId="2" borderId="0" xfId="5" applyFont="1" applyFill="1" applyAlignment="1" applyProtection="1">
      <alignment horizontal="center"/>
      <protection hidden="1"/>
    </xf>
    <xf numFmtId="0" fontId="53" fillId="2" borderId="0" xfId="5" applyFont="1" applyFill="1" applyAlignment="1" applyProtection="1">
      <alignment horizontal="center" vertical="center"/>
      <protection hidden="1"/>
    </xf>
    <xf numFmtId="0" fontId="38" fillId="5" borderId="0" xfId="5" applyFont="1" applyFill="1" applyAlignment="1" applyProtection="1">
      <alignment horizontal="center"/>
      <protection hidden="1"/>
    </xf>
    <xf numFmtId="0" fontId="58" fillId="2" borderId="0" xfId="5" applyFont="1" applyFill="1" applyAlignment="1" applyProtection="1">
      <alignment horizontal="left" wrapText="1"/>
      <protection hidden="1"/>
    </xf>
    <xf numFmtId="0" fontId="0" fillId="0" borderId="0" xfId="0"/>
    <xf numFmtId="0" fontId="102" fillId="6" borderId="1" xfId="8" applyFont="1" applyFill="1" applyBorder="1" applyAlignment="1" applyProtection="1">
      <alignment vertical="center"/>
      <protection hidden="1"/>
    </xf>
    <xf numFmtId="0" fontId="102" fillId="6" borderId="1" xfId="6" applyFont="1" applyFill="1" applyBorder="1" applyProtection="1">
      <protection hidden="1"/>
    </xf>
    <xf numFmtId="0" fontId="102" fillId="5" borderId="0" xfId="6" applyFont="1" applyFill="1" applyProtection="1">
      <protection hidden="1"/>
    </xf>
    <xf numFmtId="0" fontId="102" fillId="5" borderId="2" xfId="8" applyFont="1" applyFill="1" applyBorder="1" applyAlignment="1" applyProtection="1">
      <alignment vertical="center"/>
      <protection hidden="1"/>
    </xf>
    <xf numFmtId="0" fontId="102" fillId="5" borderId="1" xfId="8" applyFont="1" applyFill="1" applyBorder="1" applyAlignment="1" applyProtection="1">
      <alignment vertical="center"/>
      <protection hidden="1"/>
    </xf>
    <xf numFmtId="0" fontId="102" fillId="5" borderId="1" xfId="8" applyFont="1" applyFill="1" applyBorder="1" applyAlignment="1" applyProtection="1">
      <alignment vertical="center" wrapText="1"/>
      <protection hidden="1"/>
    </xf>
    <xf numFmtId="0" fontId="102" fillId="5" borderId="1" xfId="5" applyFont="1" applyFill="1" applyBorder="1" applyAlignment="1" applyProtection="1">
      <alignment vertical="center"/>
      <protection hidden="1"/>
    </xf>
    <xf numFmtId="0" fontId="105" fillId="5" borderId="1" xfId="5" applyFont="1" applyFill="1" applyBorder="1" applyAlignment="1" applyProtection="1">
      <alignment vertical="center"/>
      <protection hidden="1"/>
    </xf>
    <xf numFmtId="0" fontId="105" fillId="5" borderId="1" xfId="8" applyFont="1" applyFill="1" applyBorder="1" applyAlignment="1" applyProtection="1">
      <alignment vertical="center"/>
      <protection hidden="1"/>
    </xf>
    <xf numFmtId="0" fontId="102" fillId="5" borderId="1" xfId="8" applyFont="1" applyFill="1" applyBorder="1" applyAlignment="1" applyProtection="1">
      <alignment horizontal="left" vertical="center"/>
      <protection hidden="1"/>
    </xf>
    <xf numFmtId="6" fontId="102" fillId="6" borderId="1" xfId="8" applyNumberFormat="1" applyFont="1" applyFill="1" applyBorder="1" applyAlignment="1" applyProtection="1">
      <alignment horizontal="center" vertical="center" wrapText="1"/>
      <protection hidden="1"/>
    </xf>
    <xf numFmtId="0" fontId="102" fillId="6" borderId="1" xfId="8" applyFont="1" applyFill="1" applyBorder="1" applyAlignment="1" applyProtection="1">
      <alignment horizontal="left" vertical="center"/>
      <protection hidden="1"/>
    </xf>
    <xf numFmtId="0" fontId="102" fillId="5" borderId="2" xfId="5" applyFont="1" applyFill="1" applyBorder="1" applyAlignment="1" applyProtection="1">
      <alignment vertical="center"/>
      <protection hidden="1"/>
    </xf>
    <xf numFmtId="0" fontId="102" fillId="5" borderId="0" xfId="8" applyFont="1" applyFill="1" applyAlignment="1" applyProtection="1">
      <alignment vertical="center"/>
      <protection hidden="1"/>
    </xf>
    <xf numFmtId="0" fontId="102" fillId="6" borderId="1" xfId="5" applyFont="1" applyFill="1" applyBorder="1" applyAlignment="1" applyProtection="1">
      <alignment vertical="center"/>
      <protection hidden="1"/>
    </xf>
    <xf numFmtId="165" fontId="102" fillId="6" borderId="1" xfId="5" applyNumberFormat="1" applyFont="1" applyFill="1" applyBorder="1" applyAlignment="1" applyProtection="1">
      <alignment horizontal="center" vertical="center" wrapText="1"/>
      <protection hidden="1"/>
    </xf>
    <xf numFmtId="0" fontId="102" fillId="6" borderId="1" xfId="5" applyFont="1" applyFill="1" applyBorder="1" applyAlignment="1" applyProtection="1">
      <alignment horizontal="left" vertical="center" wrapText="1"/>
      <protection hidden="1"/>
    </xf>
    <xf numFmtId="10" fontId="102" fillId="6" borderId="1" xfId="8" applyNumberFormat="1" applyFont="1" applyFill="1" applyBorder="1" applyAlignment="1" applyProtection="1">
      <alignment horizontal="center" vertical="center" wrapText="1"/>
      <protection hidden="1"/>
    </xf>
    <xf numFmtId="0" fontId="102" fillId="6" borderId="1" xfId="8" applyFont="1" applyFill="1" applyBorder="1" applyAlignment="1" applyProtection="1">
      <alignment horizontal="center" vertical="center" wrapText="1"/>
      <protection hidden="1"/>
    </xf>
    <xf numFmtId="0" fontId="102" fillId="5" borderId="0" xfId="6" applyFont="1" applyFill="1" applyAlignment="1" applyProtection="1">
      <alignment vertical="center"/>
      <protection hidden="1"/>
    </xf>
    <xf numFmtId="0" fontId="102" fillId="5" borderId="0" xfId="6" applyFont="1" applyFill="1" applyAlignment="1" applyProtection="1">
      <alignment horizontal="center" vertical="center" wrapText="1"/>
      <protection hidden="1"/>
    </xf>
    <xf numFmtId="0" fontId="102" fillId="5" borderId="1" xfId="6" applyFont="1" applyFill="1" applyBorder="1" applyProtection="1">
      <protection hidden="1"/>
    </xf>
    <xf numFmtId="0" fontId="102" fillId="5" borderId="3" xfId="5" applyFont="1" applyFill="1" applyBorder="1" applyAlignment="1" applyProtection="1">
      <alignment vertical="center"/>
      <protection hidden="1"/>
    </xf>
    <xf numFmtId="165" fontId="107" fillId="5" borderId="1" xfId="5" applyNumberFormat="1" applyFont="1" applyFill="1" applyBorder="1" applyAlignment="1" applyProtection="1">
      <alignment horizontal="center" vertical="center" wrapText="1"/>
      <protection hidden="1"/>
    </xf>
    <xf numFmtId="0" fontId="107" fillId="5" borderId="1" xfId="8" applyFont="1" applyFill="1" applyBorder="1" applyAlignment="1" applyProtection="1">
      <alignment vertical="center"/>
      <protection hidden="1"/>
    </xf>
    <xf numFmtId="0" fontId="102" fillId="14" borderId="3" xfId="6" applyFont="1" applyFill="1" applyBorder="1" applyProtection="1">
      <protection hidden="1"/>
    </xf>
    <xf numFmtId="0" fontId="102" fillId="5" borderId="3" xfId="6" applyFont="1" applyFill="1" applyBorder="1" applyAlignment="1" applyProtection="1">
      <alignment vertical="center"/>
      <protection hidden="1"/>
    </xf>
    <xf numFmtId="0" fontId="102" fillId="5" borderId="3" xfId="8" applyFont="1" applyFill="1" applyBorder="1" applyAlignment="1" applyProtection="1">
      <alignment vertical="center"/>
      <protection hidden="1"/>
    </xf>
    <xf numFmtId="165" fontId="102" fillId="5" borderId="3" xfId="5" applyNumberFormat="1" applyFont="1" applyFill="1" applyBorder="1" applyAlignment="1" applyProtection="1">
      <alignment horizontal="center" vertical="center" wrapText="1"/>
      <protection hidden="1"/>
    </xf>
    <xf numFmtId="0" fontId="102" fillId="5" borderId="3" xfId="6" applyFont="1" applyFill="1" applyBorder="1" applyProtection="1">
      <protection hidden="1"/>
    </xf>
    <xf numFmtId="0" fontId="108" fillId="6" borderId="3" xfId="6" applyFont="1" applyFill="1" applyBorder="1" applyAlignment="1" applyProtection="1">
      <alignment vertical="center" wrapText="1"/>
      <protection hidden="1"/>
    </xf>
    <xf numFmtId="0" fontId="110" fillId="6" borderId="2" xfId="6" applyFont="1" applyFill="1" applyBorder="1" applyAlignment="1" applyProtection="1">
      <alignment horizontal="center" vertical="center"/>
      <protection hidden="1"/>
    </xf>
    <xf numFmtId="0" fontId="110" fillId="6" borderId="2" xfId="6" applyFont="1" applyFill="1" applyBorder="1" applyAlignment="1" applyProtection="1">
      <alignment horizontal="center" vertical="center" wrapText="1"/>
      <protection hidden="1"/>
    </xf>
    <xf numFmtId="0" fontId="108" fillId="6" borderId="2" xfId="6" applyFont="1" applyFill="1" applyBorder="1" applyAlignment="1" applyProtection="1">
      <alignment vertical="center"/>
      <protection hidden="1"/>
    </xf>
    <xf numFmtId="0" fontId="102" fillId="5" borderId="4" xfId="6" applyFont="1" applyFill="1" applyBorder="1" applyProtection="1">
      <protection hidden="1"/>
    </xf>
    <xf numFmtId="0" fontId="102" fillId="5" borderId="33" xfId="6" applyFont="1" applyFill="1" applyBorder="1" applyProtection="1">
      <protection hidden="1"/>
    </xf>
    <xf numFmtId="10" fontId="102" fillId="5" borderId="1" xfId="6" applyNumberFormat="1" applyFont="1" applyFill="1" applyBorder="1" applyProtection="1">
      <protection hidden="1"/>
    </xf>
    <xf numFmtId="0" fontId="102" fillId="5" borderId="1" xfId="6" applyFont="1" applyFill="1" applyBorder="1" applyAlignment="1" applyProtection="1">
      <alignment horizontal="right"/>
      <protection hidden="1"/>
    </xf>
    <xf numFmtId="10" fontId="102" fillId="5" borderId="133" xfId="12" applyNumberFormat="1" applyFont="1" applyFill="1" applyBorder="1" applyAlignment="1" applyProtection="1">
      <alignment horizontal="center" vertical="top"/>
      <protection hidden="1"/>
    </xf>
    <xf numFmtId="10" fontId="102" fillId="5" borderId="4" xfId="6" applyNumberFormat="1" applyFont="1" applyFill="1" applyBorder="1" applyAlignment="1" applyProtection="1">
      <alignment horizontal="center" wrapText="1"/>
      <protection hidden="1"/>
    </xf>
    <xf numFmtId="10" fontId="105" fillId="5" borderId="4" xfId="6" applyNumberFormat="1" applyFont="1" applyFill="1" applyBorder="1" applyAlignment="1" applyProtection="1">
      <alignment horizontal="center" vertical="center"/>
      <protection hidden="1"/>
    </xf>
    <xf numFmtId="0" fontId="102" fillId="5" borderId="1" xfId="6" applyFont="1" applyFill="1" applyBorder="1" applyAlignment="1" applyProtection="1">
      <alignment horizontal="right" vertical="center"/>
      <protection hidden="1"/>
    </xf>
    <xf numFmtId="10" fontId="102" fillId="5" borderId="133" xfId="6" applyNumberFormat="1" applyFont="1" applyFill="1" applyBorder="1" applyAlignment="1" applyProtection="1">
      <alignment horizontal="center" vertical="center"/>
      <protection hidden="1"/>
    </xf>
    <xf numFmtId="10" fontId="102" fillId="5" borderId="4" xfId="6" applyNumberFormat="1" applyFont="1" applyFill="1" applyBorder="1" applyAlignment="1" applyProtection="1">
      <alignment horizontal="center" vertical="center" wrapText="1"/>
      <protection hidden="1"/>
    </xf>
    <xf numFmtId="10" fontId="102" fillId="5" borderId="133" xfId="12" applyNumberFormat="1" applyFont="1" applyFill="1" applyBorder="1" applyAlignment="1" applyProtection="1">
      <alignment horizontal="center"/>
      <protection hidden="1"/>
    </xf>
    <xf numFmtId="10" fontId="102" fillId="5" borderId="3" xfId="6" applyNumberFormat="1" applyFont="1" applyFill="1" applyBorder="1" applyProtection="1">
      <protection hidden="1"/>
    </xf>
    <xf numFmtId="0" fontId="102" fillId="5" borderId="3" xfId="6" applyFont="1" applyFill="1" applyBorder="1" applyAlignment="1" applyProtection="1">
      <alignment horizontal="right" vertical="center"/>
      <protection hidden="1"/>
    </xf>
    <xf numFmtId="10" fontId="102" fillId="5" borderId="3" xfId="6" applyNumberFormat="1" applyFont="1" applyFill="1" applyBorder="1" applyAlignment="1" applyProtection="1">
      <alignment horizontal="center" vertical="center"/>
      <protection hidden="1"/>
    </xf>
    <xf numFmtId="10" fontId="104" fillId="5" borderId="3" xfId="6" applyNumberFormat="1" applyFont="1" applyFill="1" applyBorder="1" applyAlignment="1" applyProtection="1">
      <alignment horizontal="center" vertical="center" wrapText="1"/>
      <protection hidden="1"/>
    </xf>
    <xf numFmtId="10" fontId="106" fillId="5" borderId="3" xfId="6" applyNumberFormat="1" applyFont="1" applyFill="1" applyBorder="1" applyAlignment="1" applyProtection="1">
      <alignment horizontal="center" vertical="center"/>
      <protection hidden="1"/>
    </xf>
    <xf numFmtId="10" fontId="102" fillId="5" borderId="1" xfId="12" applyNumberFormat="1" applyFont="1" applyFill="1" applyBorder="1" applyAlignment="1" applyProtection="1">
      <alignment horizontal="center" vertical="center"/>
      <protection hidden="1"/>
    </xf>
    <xf numFmtId="10" fontId="102" fillId="5" borderId="1" xfId="6" applyNumberFormat="1" applyFont="1" applyFill="1" applyBorder="1" applyAlignment="1" applyProtection="1">
      <alignment horizontal="center" vertical="center" wrapText="1"/>
      <protection hidden="1"/>
    </xf>
    <xf numFmtId="10" fontId="105" fillId="5" borderId="1" xfId="6" applyNumberFormat="1" applyFont="1" applyFill="1" applyBorder="1" applyAlignment="1" applyProtection="1">
      <alignment horizontal="center" vertical="center"/>
      <protection hidden="1"/>
    </xf>
    <xf numFmtId="10" fontId="102" fillId="5" borderId="6" xfId="6" applyNumberFormat="1" applyFont="1" applyFill="1" applyBorder="1" applyAlignment="1" applyProtection="1">
      <alignment horizontal="center" vertical="center" wrapText="1"/>
      <protection hidden="1"/>
    </xf>
    <xf numFmtId="10" fontId="105" fillId="5" borderId="6" xfId="6" applyNumberFormat="1" applyFont="1" applyFill="1" applyBorder="1" applyAlignment="1" applyProtection="1">
      <alignment horizontal="center" vertical="center"/>
      <protection hidden="1"/>
    </xf>
    <xf numFmtId="10" fontId="102" fillId="5" borderId="4" xfId="11" applyNumberFormat="1" applyFont="1" applyFill="1" applyBorder="1" applyAlignment="1" applyProtection="1">
      <alignment horizontal="center" wrapText="1"/>
      <protection hidden="1"/>
    </xf>
    <xf numFmtId="0" fontId="102" fillId="5" borderId="0" xfId="5" applyFont="1" applyFill="1" applyProtection="1">
      <protection hidden="1"/>
    </xf>
    <xf numFmtId="0" fontId="102" fillId="5" borderId="3" xfId="6" applyFont="1" applyFill="1" applyBorder="1" applyAlignment="1" applyProtection="1">
      <alignment horizontal="right"/>
      <protection hidden="1"/>
    </xf>
    <xf numFmtId="10" fontId="113" fillId="5" borderId="3" xfId="12" applyNumberFormat="1" applyFont="1" applyFill="1" applyBorder="1" applyAlignment="1" applyProtection="1">
      <alignment horizontal="center"/>
      <protection hidden="1"/>
    </xf>
    <xf numFmtId="0" fontId="108" fillId="5" borderId="0" xfId="6" applyFont="1" applyFill="1" applyAlignment="1" applyProtection="1">
      <alignment horizontal="center" vertical="center"/>
      <protection hidden="1"/>
    </xf>
    <xf numFmtId="0" fontId="110" fillId="5" borderId="2" xfId="6" applyFont="1" applyFill="1" applyBorder="1" applyAlignment="1" applyProtection="1">
      <alignment horizontal="center" vertical="center"/>
      <protection hidden="1"/>
    </xf>
    <xf numFmtId="0" fontId="110" fillId="5" borderId="2" xfId="6" applyFont="1" applyFill="1" applyBorder="1" applyAlignment="1" applyProtection="1">
      <alignment horizontal="center" vertical="center" wrapText="1"/>
      <protection hidden="1"/>
    </xf>
    <xf numFmtId="0" fontId="102" fillId="5" borderId="150" xfId="6" applyFont="1" applyFill="1" applyBorder="1" applyAlignment="1" applyProtection="1">
      <alignment horizontal="right"/>
      <protection hidden="1"/>
    </xf>
    <xf numFmtId="10" fontId="102" fillId="5" borderId="6" xfId="12" applyNumberFormat="1" applyFont="1" applyFill="1" applyBorder="1" applyAlignment="1" applyProtection="1">
      <alignment horizontal="center"/>
      <protection hidden="1"/>
    </xf>
    <xf numFmtId="10" fontId="102" fillId="5" borderId="6" xfId="6" applyNumberFormat="1" applyFont="1" applyFill="1" applyBorder="1" applyAlignment="1" applyProtection="1">
      <alignment horizontal="center" wrapText="1"/>
      <protection hidden="1"/>
    </xf>
    <xf numFmtId="10" fontId="105" fillId="5" borderId="6" xfId="6" applyNumberFormat="1" applyFont="1" applyFill="1" applyBorder="1" applyAlignment="1" applyProtection="1">
      <alignment horizontal="center" wrapText="1"/>
      <protection hidden="1"/>
    </xf>
    <xf numFmtId="10" fontId="102" fillId="5" borderId="4" xfId="6" applyNumberFormat="1" applyFont="1" applyFill="1" applyBorder="1" applyAlignment="1" applyProtection="1">
      <alignment horizontal="center"/>
      <protection hidden="1"/>
    </xf>
    <xf numFmtId="0" fontId="102" fillId="5" borderId="133" xfId="6" applyFont="1" applyFill="1" applyBorder="1" applyAlignment="1" applyProtection="1">
      <alignment horizontal="right"/>
      <protection hidden="1"/>
    </xf>
    <xf numFmtId="10" fontId="102" fillId="5" borderId="4" xfId="12" applyNumberFormat="1" applyFont="1" applyFill="1" applyBorder="1" applyAlignment="1" applyProtection="1">
      <alignment horizontal="center"/>
      <protection hidden="1"/>
    </xf>
    <xf numFmtId="10" fontId="106" fillId="5" borderId="6" xfId="6" applyNumberFormat="1" applyFont="1" applyFill="1" applyBorder="1" applyAlignment="1" applyProtection="1">
      <alignment horizontal="center" wrapText="1"/>
      <protection hidden="1"/>
    </xf>
    <xf numFmtId="10" fontId="113" fillId="5" borderId="4" xfId="12" applyNumberFormat="1" applyFont="1" applyFill="1" applyBorder="1" applyAlignment="1" applyProtection="1">
      <alignment horizontal="center"/>
      <protection hidden="1"/>
    </xf>
    <xf numFmtId="0" fontId="102" fillId="5" borderId="133" xfId="6" applyFont="1" applyFill="1" applyBorder="1" applyProtection="1">
      <protection hidden="1"/>
    </xf>
    <xf numFmtId="0" fontId="102" fillId="5" borderId="4" xfId="6" applyFont="1" applyFill="1" applyBorder="1" applyAlignment="1" applyProtection="1">
      <alignment horizontal="center" wrapText="1"/>
      <protection hidden="1"/>
    </xf>
    <xf numFmtId="0" fontId="102" fillId="5" borderId="0" xfId="6" applyFont="1" applyFill="1" applyAlignment="1" applyProtection="1">
      <alignment horizontal="left" wrapText="1"/>
      <protection hidden="1"/>
    </xf>
    <xf numFmtId="0" fontId="102" fillId="5" borderId="133" xfId="6" applyFont="1" applyFill="1" applyBorder="1" applyAlignment="1" applyProtection="1">
      <alignment horizontal="left" wrapText="1"/>
      <protection hidden="1"/>
    </xf>
    <xf numFmtId="0" fontId="102" fillId="5" borderId="4" xfId="6" applyFont="1" applyFill="1" applyBorder="1" applyAlignment="1" applyProtection="1">
      <alignment horizontal="left" wrapText="1"/>
      <protection hidden="1"/>
    </xf>
    <xf numFmtId="0" fontId="108" fillId="5" borderId="0" xfId="6" applyFont="1" applyFill="1" applyAlignment="1" applyProtection="1">
      <alignment vertical="center" wrapText="1"/>
      <protection hidden="1"/>
    </xf>
    <xf numFmtId="10" fontId="102" fillId="5" borderId="4" xfId="6" applyNumberFormat="1" applyFont="1" applyFill="1" applyBorder="1" applyAlignment="1" applyProtection="1">
      <alignment horizontal="center" vertical="center"/>
      <protection hidden="1"/>
    </xf>
    <xf numFmtId="0" fontId="114" fillId="5" borderId="133" xfId="6" applyFont="1" applyFill="1" applyBorder="1" applyAlignment="1" applyProtection="1">
      <alignment horizontal="center" vertical="center"/>
      <protection hidden="1"/>
    </xf>
    <xf numFmtId="0" fontId="114" fillId="5" borderId="4" xfId="6" applyFont="1" applyFill="1" applyBorder="1" applyAlignment="1" applyProtection="1">
      <alignment horizontal="center" vertical="center" wrapText="1"/>
      <protection hidden="1"/>
    </xf>
    <xf numFmtId="10" fontId="102" fillId="5" borderId="4" xfId="12" applyNumberFormat="1" applyFont="1" applyFill="1" applyBorder="1" applyAlignment="1" applyProtection="1">
      <alignment horizontal="center" vertical="top"/>
      <protection hidden="1"/>
    </xf>
    <xf numFmtId="10" fontId="105" fillId="5" borderId="4" xfId="6" applyNumberFormat="1" applyFont="1" applyFill="1" applyBorder="1" applyAlignment="1" applyProtection="1">
      <alignment horizontal="center"/>
      <protection hidden="1"/>
    </xf>
    <xf numFmtId="10" fontId="102" fillId="5" borderId="6" xfId="6" applyNumberFormat="1" applyFont="1" applyFill="1" applyBorder="1" applyAlignment="1" applyProtection="1">
      <alignment horizontal="center"/>
      <protection hidden="1"/>
    </xf>
    <xf numFmtId="10" fontId="104" fillId="5" borderId="4" xfId="6" applyNumberFormat="1" applyFont="1" applyFill="1" applyBorder="1" applyAlignment="1" applyProtection="1">
      <alignment horizontal="center" wrapText="1"/>
      <protection hidden="1"/>
    </xf>
    <xf numFmtId="10" fontId="106" fillId="5" borderId="4" xfId="6" applyNumberFormat="1" applyFont="1" applyFill="1" applyBorder="1" applyAlignment="1" applyProtection="1">
      <alignment horizontal="center"/>
      <protection hidden="1"/>
    </xf>
    <xf numFmtId="10" fontId="102" fillId="5" borderId="4" xfId="6" applyNumberFormat="1" applyFont="1" applyFill="1" applyBorder="1" applyProtection="1">
      <protection hidden="1"/>
    </xf>
    <xf numFmtId="0" fontId="102" fillId="5" borderId="4" xfId="5" applyFont="1" applyFill="1" applyBorder="1" applyProtection="1">
      <protection hidden="1"/>
    </xf>
    <xf numFmtId="0" fontId="102" fillId="5" borderId="182" xfId="6" applyFont="1" applyFill="1" applyBorder="1" applyProtection="1">
      <protection hidden="1"/>
    </xf>
    <xf numFmtId="10" fontId="104" fillId="5" borderId="3" xfId="6" applyNumberFormat="1" applyFont="1" applyFill="1" applyBorder="1" applyAlignment="1" applyProtection="1">
      <alignment horizontal="center" wrapText="1"/>
      <protection hidden="1"/>
    </xf>
    <xf numFmtId="10" fontId="106" fillId="5" borderId="4" xfId="6" applyNumberFormat="1" applyFont="1" applyFill="1" applyBorder="1" applyAlignment="1" applyProtection="1">
      <alignment horizontal="center" wrapText="1"/>
      <protection hidden="1"/>
    </xf>
    <xf numFmtId="10" fontId="106" fillId="5" borderId="3" xfId="6" applyNumberFormat="1" applyFont="1" applyFill="1" applyBorder="1" applyAlignment="1" applyProtection="1">
      <alignment horizontal="center" wrapText="1"/>
      <protection hidden="1"/>
    </xf>
    <xf numFmtId="10" fontId="106" fillId="5" borderId="3" xfId="6" applyNumberFormat="1" applyFont="1" applyFill="1" applyBorder="1" applyAlignment="1" applyProtection="1">
      <alignment horizontal="center"/>
      <protection hidden="1"/>
    </xf>
    <xf numFmtId="0" fontId="102" fillId="5" borderId="149" xfId="6" applyFont="1" applyFill="1" applyBorder="1" applyProtection="1">
      <protection hidden="1"/>
    </xf>
    <xf numFmtId="0" fontId="104" fillId="5" borderId="0" xfId="6" applyFont="1" applyFill="1" applyAlignment="1" applyProtection="1">
      <alignment horizontal="center" wrapText="1"/>
      <protection hidden="1"/>
    </xf>
    <xf numFmtId="0" fontId="106" fillId="5" borderId="0" xfId="6" applyFont="1" applyFill="1" applyAlignment="1" applyProtection="1">
      <alignment horizontal="center" wrapText="1"/>
      <protection hidden="1"/>
    </xf>
    <xf numFmtId="0" fontId="106" fillId="5" borderId="0" xfId="6" applyFont="1" applyFill="1" applyAlignment="1" applyProtection="1">
      <alignment horizontal="center"/>
      <protection hidden="1"/>
    </xf>
    <xf numFmtId="0" fontId="108" fillId="5" borderId="182" xfId="6" applyFont="1" applyFill="1" applyBorder="1" applyAlignment="1" applyProtection="1">
      <alignment horizontal="center" vertical="center" wrapText="1"/>
      <protection hidden="1"/>
    </xf>
    <xf numFmtId="0" fontId="108" fillId="5" borderId="150" xfId="6" applyFont="1" applyFill="1" applyBorder="1" applyAlignment="1" applyProtection="1">
      <alignment horizontal="center" vertical="center" wrapText="1"/>
      <protection hidden="1"/>
    </xf>
    <xf numFmtId="0" fontId="102" fillId="5" borderId="6" xfId="6" applyFont="1" applyFill="1" applyBorder="1" applyProtection="1">
      <protection hidden="1"/>
    </xf>
    <xf numFmtId="0" fontId="102" fillId="5" borderId="5" xfId="6" applyFont="1" applyFill="1" applyBorder="1" applyProtection="1">
      <protection hidden="1"/>
    </xf>
    <xf numFmtId="10" fontId="104" fillId="5" borderId="6" xfId="6" applyNumberFormat="1" applyFont="1" applyFill="1" applyBorder="1" applyAlignment="1" applyProtection="1">
      <alignment horizontal="center" wrapText="1"/>
      <protection hidden="1"/>
    </xf>
    <xf numFmtId="10" fontId="106" fillId="5" borderId="6" xfId="6" applyNumberFormat="1" applyFont="1" applyFill="1" applyBorder="1" applyAlignment="1" applyProtection="1">
      <alignment horizontal="center"/>
      <protection hidden="1"/>
    </xf>
    <xf numFmtId="0" fontId="102" fillId="5" borderId="5" xfId="5" applyFont="1" applyFill="1" applyBorder="1" applyProtection="1">
      <protection hidden="1"/>
    </xf>
    <xf numFmtId="0" fontId="102" fillId="5" borderId="2" xfId="6" applyFont="1" applyFill="1" applyBorder="1" applyProtection="1">
      <protection hidden="1"/>
    </xf>
    <xf numFmtId="10" fontId="102" fillId="5" borderId="2" xfId="12" applyNumberFormat="1" applyFont="1" applyFill="1" applyBorder="1" applyAlignment="1" applyProtection="1">
      <alignment horizontal="center"/>
      <protection hidden="1"/>
    </xf>
    <xf numFmtId="10" fontId="106" fillId="5" borderId="2" xfId="6" applyNumberFormat="1" applyFont="1" applyFill="1" applyBorder="1" applyAlignment="1" applyProtection="1">
      <alignment horizontal="center"/>
      <protection hidden="1"/>
    </xf>
    <xf numFmtId="0" fontId="102" fillId="5" borderId="2" xfId="6" applyFont="1" applyFill="1" applyBorder="1" applyAlignment="1" applyProtection="1">
      <alignment horizontal="center"/>
      <protection hidden="1"/>
    </xf>
    <xf numFmtId="10" fontId="102" fillId="5" borderId="2" xfId="6" applyNumberFormat="1" applyFont="1" applyFill="1" applyBorder="1" applyAlignment="1" applyProtection="1">
      <alignment horizontal="center" wrapText="1"/>
      <protection hidden="1"/>
    </xf>
    <xf numFmtId="10" fontId="102" fillId="5" borderId="2" xfId="6" applyNumberFormat="1" applyFont="1" applyFill="1" applyBorder="1" applyAlignment="1" applyProtection="1">
      <alignment horizontal="center"/>
      <protection hidden="1"/>
    </xf>
    <xf numFmtId="0" fontId="102" fillId="14" borderId="2" xfId="6" applyFont="1" applyFill="1" applyBorder="1" applyProtection="1">
      <protection hidden="1"/>
    </xf>
    <xf numFmtId="10" fontId="102" fillId="14" borderId="2" xfId="12" applyNumberFormat="1" applyFont="1" applyFill="1" applyBorder="1" applyAlignment="1" applyProtection="1">
      <alignment horizontal="center"/>
      <protection hidden="1"/>
    </xf>
    <xf numFmtId="0" fontId="108" fillId="6" borderId="2" xfId="6" applyFont="1" applyFill="1" applyBorder="1" applyAlignment="1" applyProtection="1">
      <alignment horizontal="left" vertical="center"/>
      <protection hidden="1"/>
    </xf>
    <xf numFmtId="0" fontId="108" fillId="6" borderId="2" xfId="6" applyFont="1" applyFill="1" applyBorder="1" applyAlignment="1" applyProtection="1">
      <alignment horizontal="center" vertical="center"/>
      <protection hidden="1"/>
    </xf>
    <xf numFmtId="0" fontId="102" fillId="5" borderId="0" xfId="6" applyFont="1" applyFill="1" applyAlignment="1" applyProtection="1">
      <alignment horizontal="left"/>
      <protection hidden="1"/>
    </xf>
    <xf numFmtId="10" fontId="102" fillId="5" borderId="0" xfId="12" applyNumberFormat="1" applyFont="1" applyFill="1" applyBorder="1" applyAlignment="1" applyProtection="1">
      <alignment horizontal="center"/>
      <protection hidden="1"/>
    </xf>
    <xf numFmtId="10" fontId="102" fillId="5" borderId="0" xfId="6" applyNumberFormat="1" applyFont="1" applyFill="1" applyAlignment="1" applyProtection="1">
      <alignment horizontal="center" wrapText="1"/>
      <protection hidden="1"/>
    </xf>
    <xf numFmtId="10" fontId="106" fillId="5" borderId="0" xfId="6" applyNumberFormat="1" applyFont="1" applyFill="1" applyAlignment="1" applyProtection="1">
      <alignment horizontal="center"/>
      <protection hidden="1"/>
    </xf>
    <xf numFmtId="10" fontId="102" fillId="5" borderId="0" xfId="6" applyNumberFormat="1" applyFont="1" applyFill="1" applyAlignment="1" applyProtection="1">
      <alignment horizontal="center"/>
      <protection hidden="1"/>
    </xf>
    <xf numFmtId="0" fontId="102" fillId="5" borderId="0" xfId="6" applyFont="1" applyFill="1" applyAlignment="1" applyProtection="1">
      <alignment horizontal="center" wrapText="1"/>
      <protection hidden="1"/>
    </xf>
    <xf numFmtId="0" fontId="116" fillId="5" borderId="0" xfId="7" quotePrefix="1" applyFont="1" applyFill="1" applyAlignment="1" applyProtection="1">
      <alignment horizontal="right" vertical="top"/>
      <protection hidden="1"/>
    </xf>
    <xf numFmtId="0" fontId="102" fillId="5" borderId="0" xfId="7" applyFont="1" applyFill="1" applyAlignment="1" applyProtection="1">
      <alignment vertical="top"/>
      <protection hidden="1"/>
    </xf>
    <xf numFmtId="49" fontId="116" fillId="5" borderId="0" xfId="7" quotePrefix="1" applyNumberFormat="1" applyFont="1" applyFill="1" applyAlignment="1" applyProtection="1">
      <alignment horizontal="right" vertical="top"/>
      <protection hidden="1"/>
    </xf>
    <xf numFmtId="0" fontId="102" fillId="5" borderId="0" xfId="5" applyFont="1" applyFill="1" applyAlignment="1" applyProtection="1">
      <alignment vertical="top"/>
      <protection hidden="1"/>
    </xf>
    <xf numFmtId="0" fontId="102" fillId="5" borderId="0" xfId="0" applyFont="1" applyFill="1" applyAlignment="1">
      <alignment horizontal="justify"/>
    </xf>
    <xf numFmtId="0" fontId="113" fillId="5" borderId="0" xfId="0" applyFont="1" applyFill="1"/>
    <xf numFmtId="0" fontId="113" fillId="5" borderId="0" xfId="0" applyFont="1" applyFill="1" applyAlignment="1">
      <alignment horizontal="center"/>
    </xf>
    <xf numFmtId="0" fontId="113" fillId="5" borderId="0" xfId="0" applyFont="1" applyFill="1" applyAlignment="1">
      <alignment horizontal="left" indent="1"/>
    </xf>
    <xf numFmtId="0" fontId="102" fillId="5" borderId="0" xfId="0" applyFont="1" applyFill="1" applyAlignment="1">
      <alignment horizontal="center" vertical="top" wrapText="1"/>
    </xf>
    <xf numFmtId="0" fontId="104" fillId="5" borderId="0" xfId="5" applyFont="1" applyFill="1" applyAlignment="1" applyProtection="1">
      <alignment horizontal="left" wrapText="1"/>
      <protection hidden="1"/>
    </xf>
    <xf numFmtId="0" fontId="118" fillId="0" borderId="4" xfId="0" applyFont="1" applyBorder="1" applyAlignment="1">
      <alignment vertical="center"/>
    </xf>
    <xf numFmtId="0" fontId="118" fillId="0" borderId="4" xfId="0" applyFont="1" applyBorder="1" applyAlignment="1">
      <alignment horizontal="left" wrapText="1"/>
    </xf>
    <xf numFmtId="0" fontId="118" fillId="0" borderId="4" xfId="0" applyFont="1" applyBorder="1" applyAlignment="1">
      <alignment horizontal="right" vertical="center"/>
    </xf>
    <xf numFmtId="6" fontId="104" fillId="5" borderId="4" xfId="5" applyNumberFormat="1" applyFont="1" applyFill="1" applyBorder="1" applyAlignment="1" applyProtection="1">
      <alignment horizontal="left" vertical="center" wrapText="1"/>
      <protection hidden="1"/>
    </xf>
    <xf numFmtId="6" fontId="104" fillId="5" borderId="4" xfId="5" applyNumberFormat="1" applyFont="1" applyFill="1" applyBorder="1" applyAlignment="1" applyProtection="1">
      <alignment horizontal="right" vertical="center" wrapText="1"/>
      <protection hidden="1"/>
    </xf>
    <xf numFmtId="0" fontId="102" fillId="5" borderId="0" xfId="0" applyFont="1" applyFill="1" applyAlignment="1">
      <alignment horizontal="left"/>
    </xf>
    <xf numFmtId="0" fontId="70" fillId="5" borderId="0" xfId="0" applyFont="1" applyFill="1" applyBorder="1" applyAlignment="1" applyProtection="1">
      <alignment vertical="center"/>
      <protection hidden="1"/>
    </xf>
    <xf numFmtId="0" fontId="113" fillId="5" borderId="0" xfId="0" applyFont="1" applyFill="1" applyProtection="1">
      <protection hidden="1"/>
    </xf>
    <xf numFmtId="0" fontId="120" fillId="5" borderId="209" xfId="0" applyFont="1" applyFill="1" applyBorder="1" applyProtection="1">
      <protection hidden="1"/>
    </xf>
    <xf numFmtId="0" fontId="113" fillId="5" borderId="211" xfId="0" applyFont="1" applyFill="1" applyBorder="1" applyProtection="1">
      <protection hidden="1"/>
    </xf>
    <xf numFmtId="0" fontId="113" fillId="5" borderId="0" xfId="0" applyFont="1" applyFill="1" applyBorder="1" applyProtection="1">
      <protection hidden="1"/>
    </xf>
    <xf numFmtId="0" fontId="113" fillId="5" borderId="212" xfId="0" applyFont="1" applyFill="1" applyBorder="1" applyAlignment="1" applyProtection="1">
      <alignment horizontal="left"/>
      <protection hidden="1"/>
    </xf>
    <xf numFmtId="0" fontId="113" fillId="5" borderId="0" xfId="0" applyFont="1" applyFill="1" applyAlignment="1" applyProtection="1">
      <alignment horizontal="center" vertical="center"/>
      <protection hidden="1"/>
    </xf>
    <xf numFmtId="0" fontId="120" fillId="5" borderId="212" xfId="0" applyFont="1" applyFill="1" applyBorder="1" applyProtection="1">
      <protection hidden="1"/>
    </xf>
    <xf numFmtId="0" fontId="121" fillId="5" borderId="213" xfId="0" applyFont="1" applyFill="1" applyBorder="1" applyAlignment="1" applyProtection="1">
      <alignment horizontal="right"/>
      <protection hidden="1"/>
    </xf>
    <xf numFmtId="0" fontId="113" fillId="0" borderId="0" xfId="0" applyFont="1" applyBorder="1" applyAlignment="1" applyProtection="1">
      <alignment horizontal="center" vertical="center"/>
      <protection hidden="1"/>
    </xf>
    <xf numFmtId="0" fontId="113" fillId="0" borderId="213" xfId="0" applyFont="1" applyBorder="1" applyAlignment="1" applyProtection="1">
      <alignment horizontal="center" vertical="center"/>
      <protection hidden="1"/>
    </xf>
    <xf numFmtId="0" fontId="113" fillId="0" borderId="212" xfId="0" applyFont="1" applyBorder="1" applyAlignment="1" applyProtection="1">
      <alignment horizontal="left"/>
      <protection hidden="1"/>
    </xf>
    <xf numFmtId="0" fontId="113" fillId="5" borderId="212" xfId="0" applyFont="1" applyFill="1" applyBorder="1" applyProtection="1">
      <protection hidden="1"/>
    </xf>
    <xf numFmtId="0" fontId="113" fillId="5" borderId="0" xfId="0" applyFont="1" applyFill="1" applyBorder="1" applyAlignment="1" applyProtection="1">
      <alignment horizontal="center" vertical="center"/>
      <protection hidden="1"/>
    </xf>
    <xf numFmtId="0" fontId="113" fillId="5" borderId="213" xfId="0" applyFont="1" applyFill="1" applyBorder="1" applyAlignment="1" applyProtection="1">
      <alignment horizontal="center" vertical="center"/>
      <protection hidden="1"/>
    </xf>
    <xf numFmtId="0" fontId="120" fillId="5" borderId="216" xfId="0" applyFont="1" applyFill="1" applyBorder="1" applyProtection="1">
      <protection hidden="1"/>
    </xf>
    <xf numFmtId="0" fontId="113" fillId="5" borderId="218" xfId="0" applyFont="1" applyFill="1" applyBorder="1" applyProtection="1">
      <protection hidden="1"/>
    </xf>
    <xf numFmtId="166" fontId="113" fillId="5" borderId="0" xfId="0" applyNumberFormat="1" applyFont="1" applyFill="1" applyAlignment="1" applyProtection="1">
      <alignment horizontal="center" vertical="center"/>
      <protection hidden="1"/>
    </xf>
    <xf numFmtId="0" fontId="122" fillId="5" borderId="209" xfId="0" applyFont="1" applyFill="1" applyBorder="1" applyProtection="1">
      <protection hidden="1"/>
    </xf>
    <xf numFmtId="10" fontId="122" fillId="5" borderId="211" xfId="0" applyNumberFormat="1" applyFont="1" applyFill="1" applyBorder="1" applyProtection="1">
      <protection hidden="1"/>
    </xf>
    <xf numFmtId="0" fontId="122" fillId="5" borderId="212" xfId="0" applyFont="1" applyFill="1" applyBorder="1" applyProtection="1">
      <protection hidden="1"/>
    </xf>
    <xf numFmtId="10" fontId="122" fillId="5" borderId="213" xfId="0" applyNumberFormat="1" applyFont="1" applyFill="1" applyBorder="1" applyProtection="1">
      <protection hidden="1"/>
    </xf>
    <xf numFmtId="0" fontId="113" fillId="5" borderId="213" xfId="0" applyFont="1" applyFill="1" applyBorder="1" applyProtection="1">
      <protection hidden="1"/>
    </xf>
    <xf numFmtId="10" fontId="122" fillId="5" borderId="213" xfId="11" applyNumberFormat="1" applyFont="1" applyFill="1" applyBorder="1" applyProtection="1">
      <protection hidden="1"/>
    </xf>
    <xf numFmtId="0" fontId="113" fillId="0" borderId="0" xfId="0" applyFont="1" applyBorder="1" applyAlignment="1" applyProtection="1">
      <alignment horizontal="center" vertical="center"/>
      <protection locked="0"/>
    </xf>
    <xf numFmtId="0" fontId="113" fillId="0" borderId="213" xfId="0" applyFont="1" applyBorder="1" applyAlignment="1" applyProtection="1">
      <alignment horizontal="center" vertical="center"/>
      <protection locked="0"/>
    </xf>
    <xf numFmtId="0" fontId="113" fillId="5" borderId="212" xfId="0" applyFont="1" applyFill="1" applyBorder="1" applyAlignment="1" applyProtection="1">
      <alignment wrapText="1"/>
      <protection hidden="1"/>
    </xf>
    <xf numFmtId="0" fontId="113" fillId="5" borderId="219" xfId="0" applyFont="1" applyFill="1" applyBorder="1" applyProtection="1">
      <protection hidden="1"/>
    </xf>
    <xf numFmtId="0" fontId="120" fillId="5" borderId="212" xfId="0" applyFont="1" applyFill="1" applyBorder="1" applyAlignment="1" applyProtection="1">
      <alignment wrapText="1"/>
      <protection hidden="1"/>
    </xf>
    <xf numFmtId="0" fontId="122" fillId="5" borderId="216" xfId="0" applyFont="1" applyFill="1" applyBorder="1" applyProtection="1">
      <protection hidden="1"/>
    </xf>
    <xf numFmtId="0" fontId="113" fillId="5" borderId="216" xfId="0" applyFont="1" applyFill="1" applyBorder="1" applyProtection="1">
      <protection hidden="1"/>
    </xf>
    <xf numFmtId="0" fontId="113" fillId="5" borderId="217" xfId="0" applyFont="1" applyFill="1" applyBorder="1" applyAlignment="1" applyProtection="1">
      <alignment horizontal="center" vertical="center"/>
      <protection hidden="1"/>
    </xf>
    <xf numFmtId="0" fontId="113" fillId="5" borderId="218" xfId="0" applyFont="1" applyFill="1" applyBorder="1" applyAlignment="1" applyProtection="1">
      <alignment horizontal="center" vertical="center"/>
      <protection hidden="1"/>
    </xf>
    <xf numFmtId="0" fontId="123" fillId="5" borderId="0" xfId="0" applyFont="1" applyFill="1" applyProtection="1">
      <protection hidden="1"/>
    </xf>
    <xf numFmtId="0" fontId="113" fillId="5" borderId="40" xfId="0" applyFont="1" applyFill="1" applyBorder="1" applyProtection="1">
      <protection hidden="1"/>
    </xf>
    <xf numFmtId="0" fontId="113" fillId="5" borderId="41" xfId="0" applyFont="1" applyFill="1" applyBorder="1" applyProtection="1">
      <protection hidden="1"/>
    </xf>
    <xf numFmtId="0" fontId="120" fillId="5" borderId="0" xfId="0" applyFont="1" applyFill="1" applyProtection="1">
      <protection hidden="1"/>
    </xf>
    <xf numFmtId="166" fontId="113" fillId="5" borderId="0" xfId="0" applyNumberFormat="1" applyFont="1" applyFill="1" applyProtection="1">
      <protection hidden="1"/>
    </xf>
    <xf numFmtId="0" fontId="113" fillId="5" borderId="210" xfId="0" applyFont="1" applyFill="1" applyBorder="1" applyProtection="1">
      <protection hidden="1"/>
    </xf>
    <xf numFmtId="10" fontId="113" fillId="5" borderId="0" xfId="11" applyNumberFormat="1" applyFont="1" applyFill="1" applyProtection="1">
      <protection hidden="1"/>
    </xf>
    <xf numFmtId="0" fontId="120" fillId="5" borderId="0" xfId="0" applyFont="1" applyFill="1" applyBorder="1" applyProtection="1">
      <protection hidden="1"/>
    </xf>
    <xf numFmtId="0" fontId="124" fillId="5" borderId="220" xfId="0" applyFont="1" applyFill="1" applyBorder="1" applyProtection="1">
      <protection hidden="1"/>
    </xf>
    <xf numFmtId="10" fontId="124" fillId="5" borderId="221" xfId="0" applyNumberFormat="1" applyFont="1" applyFill="1" applyBorder="1" applyProtection="1">
      <protection hidden="1"/>
    </xf>
    <xf numFmtId="0" fontId="124" fillId="5" borderId="0" xfId="0" applyFont="1" applyFill="1" applyBorder="1" applyProtection="1">
      <protection hidden="1"/>
    </xf>
    <xf numFmtId="0" fontId="120" fillId="5" borderId="40" xfId="0" applyFont="1" applyFill="1" applyBorder="1" applyProtection="1">
      <protection hidden="1"/>
    </xf>
    <xf numFmtId="0" fontId="124" fillId="5" borderId="220" xfId="0" applyFont="1" applyFill="1" applyBorder="1" applyAlignment="1" applyProtection="1">
      <alignment vertical="center"/>
      <protection hidden="1"/>
    </xf>
    <xf numFmtId="166" fontId="124" fillId="5" borderId="221" xfId="0" applyNumberFormat="1" applyFont="1" applyFill="1" applyBorder="1" applyAlignment="1" applyProtection="1">
      <alignment vertical="center"/>
      <protection hidden="1"/>
    </xf>
    <xf numFmtId="166" fontId="113" fillId="5" borderId="0" xfId="0" applyNumberFormat="1" applyFont="1" applyFill="1" applyBorder="1" applyAlignment="1" applyProtection="1">
      <alignment horizontal="center" vertical="center"/>
      <protection hidden="1"/>
    </xf>
    <xf numFmtId="166" fontId="113" fillId="5" borderId="213" xfId="0" applyNumberFormat="1" applyFont="1" applyFill="1" applyBorder="1" applyAlignment="1" applyProtection="1">
      <alignment horizontal="center" vertical="center"/>
      <protection hidden="1"/>
    </xf>
    <xf numFmtId="0" fontId="124" fillId="5" borderId="0" xfId="0" applyFont="1" applyFill="1" applyAlignment="1" applyProtection="1">
      <alignment vertical="center"/>
      <protection hidden="1"/>
    </xf>
    <xf numFmtId="166" fontId="124" fillId="5" borderId="0" xfId="0" applyNumberFormat="1" applyFont="1" applyFill="1" applyAlignment="1" applyProtection="1">
      <alignment vertical="center"/>
      <protection hidden="1"/>
    </xf>
    <xf numFmtId="10" fontId="124" fillId="5" borderId="0" xfId="11" applyNumberFormat="1" applyFont="1" applyFill="1" applyBorder="1" applyProtection="1">
      <protection hidden="1"/>
    </xf>
    <xf numFmtId="0" fontId="120" fillId="5" borderId="209" xfId="0" applyFont="1" applyFill="1" applyBorder="1" applyAlignment="1" applyProtection="1">
      <alignment vertical="center"/>
      <protection hidden="1"/>
    </xf>
    <xf numFmtId="166" fontId="113" fillId="5" borderId="210" xfId="0" applyNumberFormat="1" applyFont="1" applyFill="1" applyBorder="1" applyAlignment="1" applyProtection="1">
      <alignment horizontal="center" vertical="center"/>
      <protection hidden="1"/>
    </xf>
    <xf numFmtId="166" fontId="113" fillId="5" borderId="211" xfId="0" applyNumberFormat="1" applyFont="1" applyFill="1" applyBorder="1" applyAlignment="1" applyProtection="1">
      <alignment horizontal="center" vertical="center"/>
      <protection hidden="1"/>
    </xf>
    <xf numFmtId="0" fontId="120" fillId="5" borderId="222" xfId="0" applyFont="1" applyFill="1" applyBorder="1" applyAlignment="1" applyProtection="1">
      <alignment wrapText="1"/>
      <protection hidden="1"/>
    </xf>
    <xf numFmtId="166" fontId="120" fillId="5" borderId="223" xfId="0" applyNumberFormat="1" applyFont="1" applyFill="1" applyBorder="1" applyAlignment="1" applyProtection="1">
      <alignment vertical="center"/>
      <protection hidden="1"/>
    </xf>
    <xf numFmtId="10" fontId="113" fillId="5" borderId="0" xfId="11" applyNumberFormat="1" applyFont="1" applyFill="1" applyBorder="1" applyProtection="1">
      <protection hidden="1"/>
    </xf>
    <xf numFmtId="0" fontId="124" fillId="5" borderId="212" xfId="0" applyFont="1" applyFill="1" applyBorder="1" applyProtection="1">
      <protection hidden="1"/>
    </xf>
    <xf numFmtId="10" fontId="125" fillId="5" borderId="0" xfId="0" applyNumberFormat="1" applyFont="1" applyFill="1" applyBorder="1" applyProtection="1">
      <protection hidden="1"/>
    </xf>
    <xf numFmtId="0" fontId="113" fillId="5" borderId="212" xfId="0" applyFont="1" applyFill="1" applyBorder="1" applyAlignment="1" applyProtection="1">
      <alignment horizontal="right"/>
      <protection hidden="1"/>
    </xf>
    <xf numFmtId="0" fontId="113" fillId="5" borderId="228" xfId="0" applyFont="1" applyFill="1" applyBorder="1" applyProtection="1">
      <protection hidden="1"/>
    </xf>
    <xf numFmtId="166" fontId="113" fillId="5" borderId="224" xfId="0" applyNumberFormat="1" applyFont="1" applyFill="1" applyBorder="1" applyProtection="1">
      <protection hidden="1"/>
    </xf>
    <xf numFmtId="0" fontId="113" fillId="5" borderId="215" xfId="0" applyFont="1" applyFill="1" applyBorder="1" applyProtection="1">
      <protection hidden="1"/>
    </xf>
    <xf numFmtId="0" fontId="113" fillId="25" borderId="229" xfId="0" applyFont="1" applyFill="1" applyBorder="1" applyProtection="1">
      <protection locked="0"/>
    </xf>
    <xf numFmtId="0" fontId="113" fillId="5" borderId="230" xfId="0" applyFont="1" applyFill="1" applyBorder="1" applyProtection="1">
      <protection hidden="1"/>
    </xf>
    <xf numFmtId="10" fontId="113" fillId="5" borderId="226" xfId="0" applyNumberFormat="1" applyFont="1" applyFill="1" applyBorder="1" applyProtection="1">
      <protection hidden="1"/>
    </xf>
    <xf numFmtId="0" fontId="113" fillId="5" borderId="231" xfId="0" applyFont="1" applyFill="1" applyBorder="1" applyProtection="1">
      <protection hidden="1"/>
    </xf>
    <xf numFmtId="166" fontId="120" fillId="5" borderId="0" xfId="0" applyNumberFormat="1" applyFont="1" applyFill="1" applyBorder="1" applyProtection="1">
      <protection hidden="1"/>
    </xf>
    <xf numFmtId="0" fontId="113" fillId="5" borderId="216" xfId="0" applyFont="1" applyFill="1" applyBorder="1" applyAlignment="1" applyProtection="1">
      <alignment wrapText="1"/>
      <protection hidden="1"/>
    </xf>
    <xf numFmtId="166" fontId="113" fillId="5" borderId="217" xfId="0" applyNumberFormat="1" applyFont="1" applyFill="1" applyBorder="1" applyAlignment="1" applyProtection="1">
      <alignment horizontal="center" vertical="center"/>
      <protection hidden="1"/>
    </xf>
    <xf numFmtId="166" fontId="113" fillId="5" borderId="218" xfId="0" applyNumberFormat="1" applyFont="1" applyFill="1" applyBorder="1" applyAlignment="1" applyProtection="1">
      <alignment horizontal="center" vertical="center"/>
      <protection hidden="1"/>
    </xf>
    <xf numFmtId="166" fontId="113" fillId="5" borderId="0" xfId="0" applyNumberFormat="1" applyFont="1" applyFill="1" applyBorder="1" applyProtection="1">
      <protection hidden="1"/>
    </xf>
    <xf numFmtId="0" fontId="113" fillId="5" borderId="0" xfId="0" applyFont="1" applyFill="1" applyAlignment="1" applyProtection="1">
      <alignment wrapText="1"/>
      <protection hidden="1"/>
    </xf>
    <xf numFmtId="0" fontId="113" fillId="5" borderId="220" xfId="0" applyFont="1" applyFill="1" applyBorder="1" applyProtection="1">
      <protection hidden="1"/>
    </xf>
    <xf numFmtId="166" fontId="113" fillId="5" borderId="236" xfId="0" applyNumberFormat="1" applyFont="1" applyFill="1" applyBorder="1" applyAlignment="1" applyProtection="1">
      <alignment horizontal="center" vertical="center"/>
      <protection hidden="1"/>
    </xf>
    <xf numFmtId="166" fontId="113" fillId="5" borderId="221" xfId="0" applyNumberFormat="1" applyFont="1" applyFill="1" applyBorder="1" applyAlignment="1" applyProtection="1">
      <alignment horizontal="center" vertical="center"/>
      <protection hidden="1"/>
    </xf>
    <xf numFmtId="9" fontId="113" fillId="7" borderId="0" xfId="0" applyNumberFormat="1" applyFont="1" applyFill="1" applyProtection="1">
      <protection hidden="1"/>
    </xf>
    <xf numFmtId="0" fontId="113" fillId="5" borderId="232" xfId="0" applyFont="1" applyFill="1" applyBorder="1" applyProtection="1">
      <protection hidden="1"/>
    </xf>
    <xf numFmtId="0" fontId="113" fillId="5" borderId="66" xfId="0" applyFont="1" applyFill="1" applyBorder="1" applyProtection="1">
      <protection hidden="1"/>
    </xf>
    <xf numFmtId="0" fontId="113" fillId="5" borderId="233" xfId="0" applyFont="1" applyFill="1" applyBorder="1" applyProtection="1">
      <protection hidden="1"/>
    </xf>
    <xf numFmtId="0" fontId="113" fillId="5" borderId="234" xfId="0" applyFont="1" applyFill="1" applyBorder="1" applyProtection="1">
      <protection hidden="1"/>
    </xf>
    <xf numFmtId="0" fontId="113" fillId="5" borderId="62" xfId="0" applyFont="1" applyFill="1" applyBorder="1" applyProtection="1">
      <protection hidden="1"/>
    </xf>
    <xf numFmtId="0" fontId="113" fillId="5" borderId="235" xfId="0" applyFont="1" applyFill="1" applyBorder="1" applyProtection="1">
      <protection hidden="1"/>
    </xf>
    <xf numFmtId="173" fontId="113" fillId="5" borderId="224" xfId="0" applyNumberFormat="1" applyFont="1" applyFill="1" applyBorder="1" applyProtection="1">
      <protection hidden="1"/>
    </xf>
    <xf numFmtId="0" fontId="113" fillId="5" borderId="212" xfId="0" applyFont="1" applyFill="1" applyBorder="1" applyAlignment="1" applyProtection="1">
      <alignment vertical="center"/>
      <protection hidden="1"/>
    </xf>
    <xf numFmtId="166" fontId="113" fillId="5" borderId="212" xfId="0" applyNumberFormat="1" applyFont="1" applyFill="1" applyBorder="1" applyProtection="1">
      <protection hidden="1"/>
    </xf>
    <xf numFmtId="10" fontId="113" fillId="5" borderId="0" xfId="0" applyNumberFormat="1" applyFont="1" applyFill="1" applyBorder="1" applyAlignment="1" applyProtection="1">
      <alignment horizontal="center" vertical="center"/>
      <protection hidden="1"/>
    </xf>
    <xf numFmtId="10" fontId="113" fillId="5" borderId="213" xfId="0" applyNumberFormat="1" applyFont="1" applyFill="1" applyBorder="1" applyAlignment="1" applyProtection="1">
      <alignment horizontal="center" vertical="center"/>
      <protection hidden="1"/>
    </xf>
    <xf numFmtId="166" fontId="113" fillId="5" borderId="228" xfId="0" applyNumberFormat="1" applyFont="1" applyFill="1" applyBorder="1" applyProtection="1">
      <protection hidden="1"/>
    </xf>
    <xf numFmtId="0" fontId="126" fillId="5" borderId="212" xfId="0" applyFont="1" applyFill="1" applyBorder="1" applyProtection="1">
      <protection hidden="1"/>
    </xf>
    <xf numFmtId="10" fontId="113" fillId="5" borderId="0" xfId="0" applyNumberFormat="1" applyFont="1" applyFill="1" applyBorder="1" applyProtection="1">
      <protection hidden="1"/>
    </xf>
    <xf numFmtId="0" fontId="113" fillId="5" borderId="224" xfId="0" applyFont="1" applyFill="1" applyBorder="1" applyProtection="1">
      <protection hidden="1"/>
    </xf>
    <xf numFmtId="0" fontId="113" fillId="5" borderId="212" xfId="0" applyFont="1" applyFill="1" applyBorder="1" applyAlignment="1" applyProtection="1">
      <alignment vertical="center" wrapText="1"/>
      <protection hidden="1"/>
    </xf>
    <xf numFmtId="166" fontId="113" fillId="5" borderId="0" xfId="0" applyNumberFormat="1" applyFont="1" applyFill="1" applyBorder="1" applyAlignment="1" applyProtection="1">
      <alignment vertical="center" wrapText="1"/>
      <protection hidden="1"/>
    </xf>
    <xf numFmtId="0" fontId="113" fillId="5" borderId="213" xfId="0" applyFont="1" applyFill="1" applyBorder="1" applyAlignment="1" applyProtection="1">
      <alignment vertical="center" wrapText="1"/>
      <protection hidden="1"/>
    </xf>
    <xf numFmtId="0" fontId="113" fillId="5" borderId="228" xfId="0" applyFont="1" applyFill="1" applyBorder="1" applyAlignment="1" applyProtection="1">
      <alignment vertical="center" wrapText="1"/>
      <protection hidden="1"/>
    </xf>
    <xf numFmtId="166" fontId="113" fillId="5" borderId="224" xfId="0" applyNumberFormat="1" applyFont="1" applyFill="1" applyBorder="1" applyAlignment="1" applyProtection="1">
      <alignment vertical="center" wrapText="1"/>
      <protection hidden="1"/>
    </xf>
    <xf numFmtId="0" fontId="113" fillId="5" borderId="215" xfId="0" applyFont="1" applyFill="1" applyBorder="1" applyAlignment="1" applyProtection="1">
      <alignment vertical="center" wrapText="1"/>
      <protection hidden="1"/>
    </xf>
    <xf numFmtId="0" fontId="113" fillId="5" borderId="216" xfId="0" applyFont="1" applyFill="1" applyBorder="1" applyAlignment="1" applyProtection="1">
      <alignment vertical="center" wrapText="1"/>
      <protection hidden="1"/>
    </xf>
    <xf numFmtId="166" fontId="113" fillId="5" borderId="217" xfId="0" applyNumberFormat="1" applyFont="1" applyFill="1" applyBorder="1" applyAlignment="1" applyProtection="1">
      <alignment vertical="center" wrapText="1"/>
      <protection hidden="1"/>
    </xf>
    <xf numFmtId="0" fontId="113" fillId="5" borderId="218" xfId="0" applyFont="1" applyFill="1" applyBorder="1" applyAlignment="1" applyProtection="1">
      <alignment vertical="center" wrapText="1"/>
      <protection hidden="1"/>
    </xf>
    <xf numFmtId="10" fontId="113" fillId="0" borderId="217" xfId="0" applyNumberFormat="1" applyFont="1" applyBorder="1" applyAlignment="1" applyProtection="1">
      <alignment horizontal="right" vertical="center"/>
      <protection hidden="1"/>
    </xf>
    <xf numFmtId="10" fontId="113" fillId="0" borderId="218" xfId="0" applyNumberFormat="1" applyFont="1" applyBorder="1" applyAlignment="1" applyProtection="1">
      <alignment horizontal="right" vertical="center"/>
      <protection hidden="1"/>
    </xf>
    <xf numFmtId="0" fontId="105" fillId="5" borderId="0" xfId="0" applyFont="1" applyFill="1" applyAlignment="1" applyProtection="1">
      <alignment vertical="center" wrapText="1"/>
      <protection hidden="1"/>
    </xf>
    <xf numFmtId="0" fontId="113" fillId="5" borderId="209" xfId="0" applyFont="1" applyFill="1" applyBorder="1" applyProtection="1">
      <protection hidden="1"/>
    </xf>
    <xf numFmtId="165" fontId="113" fillId="5" borderId="210" xfId="0" applyNumberFormat="1" applyFont="1" applyFill="1" applyBorder="1" applyProtection="1">
      <protection hidden="1"/>
    </xf>
    <xf numFmtId="0" fontId="105" fillId="5" borderId="0" xfId="0" applyFont="1" applyFill="1" applyAlignment="1" applyProtection="1">
      <alignment horizontal="left" vertical="center" wrapText="1"/>
      <protection hidden="1"/>
    </xf>
    <xf numFmtId="166" fontId="120" fillId="5" borderId="221" xfId="0" applyNumberFormat="1" applyFont="1" applyFill="1" applyBorder="1" applyProtection="1">
      <protection hidden="1"/>
    </xf>
    <xf numFmtId="49" fontId="113" fillId="23" borderId="0" xfId="0" applyNumberFormat="1" applyFont="1" applyFill="1" applyBorder="1" applyAlignment="1" applyProtection="1">
      <alignment horizontal="center"/>
      <protection hidden="1"/>
    </xf>
    <xf numFmtId="49" fontId="113" fillId="23" borderId="213" xfId="0" applyNumberFormat="1" applyFont="1" applyFill="1" applyBorder="1" applyAlignment="1" applyProtection="1">
      <alignment horizontal="center"/>
      <protection hidden="1"/>
    </xf>
    <xf numFmtId="166" fontId="120" fillId="5" borderId="0" xfId="0" applyNumberFormat="1" applyFont="1" applyFill="1" applyProtection="1">
      <protection hidden="1"/>
    </xf>
    <xf numFmtId="166" fontId="120" fillId="5" borderId="211" xfId="0" applyNumberFormat="1" applyFont="1" applyFill="1" applyBorder="1" applyProtection="1">
      <protection hidden="1"/>
    </xf>
    <xf numFmtId="166" fontId="120" fillId="5" borderId="213" xfId="0" applyNumberFormat="1" applyFont="1" applyFill="1" applyBorder="1" applyProtection="1">
      <protection hidden="1"/>
    </xf>
    <xf numFmtId="166" fontId="120" fillId="5" borderId="218" xfId="0" applyNumberFormat="1" applyFont="1" applyFill="1" applyBorder="1" applyProtection="1">
      <protection hidden="1"/>
    </xf>
    <xf numFmtId="165" fontId="113" fillId="5" borderId="217" xfId="0" applyNumberFormat="1" applyFont="1" applyFill="1" applyBorder="1" applyProtection="1">
      <protection hidden="1"/>
    </xf>
    <xf numFmtId="0" fontId="121" fillId="5" borderId="0" xfId="0" applyFont="1" applyFill="1" applyProtection="1">
      <protection hidden="1"/>
    </xf>
    <xf numFmtId="10" fontId="113" fillId="5" borderId="0" xfId="0" applyNumberFormat="1" applyFont="1" applyFill="1" applyProtection="1">
      <protection hidden="1"/>
    </xf>
    <xf numFmtId="165" fontId="113" fillId="5" borderId="0" xfId="0" applyNumberFormat="1" applyFont="1" applyFill="1" applyProtection="1">
      <protection hidden="1"/>
    </xf>
    <xf numFmtId="164" fontId="113" fillId="5" borderId="0" xfId="0" applyNumberFormat="1" applyFont="1" applyFill="1" applyProtection="1">
      <protection hidden="1"/>
    </xf>
    <xf numFmtId="0" fontId="123" fillId="5" borderId="0" xfId="0" applyFont="1" applyFill="1" applyBorder="1" applyProtection="1">
      <protection hidden="1"/>
    </xf>
    <xf numFmtId="0" fontId="127" fillId="0" borderId="0" xfId="0" applyFont="1" applyProtection="1">
      <protection hidden="1"/>
    </xf>
    <xf numFmtId="2" fontId="127" fillId="5" borderId="0" xfId="0" applyNumberFormat="1" applyFont="1" applyFill="1" applyProtection="1">
      <protection hidden="1"/>
    </xf>
    <xf numFmtId="2" fontId="123" fillId="5" borderId="0" xfId="0" applyNumberFormat="1" applyFont="1" applyFill="1" applyProtection="1">
      <protection hidden="1"/>
    </xf>
    <xf numFmtId="10" fontId="123" fillId="5" borderId="0" xfId="11" applyNumberFormat="1" applyFont="1" applyFill="1" applyProtection="1">
      <protection hidden="1"/>
    </xf>
    <xf numFmtId="0" fontId="119" fillId="0" borderId="69" xfId="0" applyFont="1" applyBorder="1" applyAlignment="1" applyProtection="1">
      <alignment horizontal="justify" vertical="top" wrapText="1"/>
      <protection hidden="1"/>
    </xf>
    <xf numFmtId="0" fontId="128" fillId="0" borderId="70" xfId="0" applyFont="1" applyBorder="1" applyAlignment="1" applyProtection="1">
      <alignment horizontal="justify" vertical="top" wrapText="1"/>
      <protection hidden="1"/>
    </xf>
    <xf numFmtId="0" fontId="119" fillId="0" borderId="70" xfId="0" applyFont="1" applyBorder="1" applyAlignment="1" applyProtection="1">
      <alignment horizontal="justify" vertical="center" wrapText="1"/>
      <protection locked="0"/>
    </xf>
    <xf numFmtId="0" fontId="113" fillId="0" borderId="70" xfId="0" applyFont="1" applyBorder="1" applyAlignment="1" applyProtection="1">
      <alignment vertical="top" wrapText="1"/>
      <protection hidden="1"/>
    </xf>
    <xf numFmtId="0" fontId="113" fillId="0" borderId="70" xfId="0" quotePrefix="1" applyFont="1" applyBorder="1" applyAlignment="1" applyProtection="1">
      <alignment horizontal="justify" vertical="top" wrapText="1"/>
      <protection hidden="1"/>
    </xf>
    <xf numFmtId="0" fontId="119" fillId="0" borderId="155" xfId="0" applyFont="1" applyBorder="1" applyAlignment="1" applyProtection="1">
      <alignment horizontal="justify" vertical="top" wrapText="1"/>
      <protection hidden="1"/>
    </xf>
    <xf numFmtId="0" fontId="113" fillId="0" borderId="156" xfId="0" quotePrefix="1" applyFont="1" applyBorder="1" applyAlignment="1" applyProtection="1">
      <alignment horizontal="justify" vertical="top" wrapText="1"/>
      <protection hidden="1"/>
    </xf>
    <xf numFmtId="0" fontId="119" fillId="0" borderId="157" xfId="0" applyFont="1" applyBorder="1" applyAlignment="1" applyProtection="1">
      <alignment horizontal="justify" vertical="top" wrapText="1"/>
      <protection hidden="1"/>
    </xf>
    <xf numFmtId="0" fontId="113" fillId="0" borderId="158" xfId="0" applyFont="1" applyBorder="1" applyAlignment="1" applyProtection="1">
      <alignment horizontal="left" vertical="top" wrapText="1"/>
      <protection hidden="1"/>
    </xf>
    <xf numFmtId="0" fontId="113" fillId="0" borderId="157" xfId="0" applyFont="1" applyBorder="1" applyAlignment="1" applyProtection="1">
      <alignment horizontal="justify" vertical="top" wrapText="1"/>
      <protection hidden="1"/>
    </xf>
    <xf numFmtId="0" fontId="113" fillId="0" borderId="158" xfId="0" applyFont="1" applyBorder="1" applyAlignment="1" applyProtection="1">
      <alignment horizontal="justify" vertical="top" wrapText="1"/>
      <protection hidden="1"/>
    </xf>
    <xf numFmtId="0" fontId="119" fillId="0" borderId="70" xfId="0" applyFont="1" applyBorder="1" applyAlignment="1" applyProtection="1">
      <alignment horizontal="justify" vertical="top" wrapText="1"/>
      <protection hidden="1"/>
    </xf>
    <xf numFmtId="0" fontId="113" fillId="0" borderId="70" xfId="0" applyFont="1" applyBorder="1" applyAlignment="1" applyProtection="1">
      <alignment horizontal="justify" vertical="top" wrapText="1"/>
      <protection hidden="1"/>
    </xf>
    <xf numFmtId="0" fontId="113" fillId="0" borderId="156" xfId="0" applyFont="1" applyBorder="1" applyAlignment="1" applyProtection="1">
      <alignment horizontal="justify" vertical="top" wrapText="1"/>
      <protection hidden="1"/>
    </xf>
    <xf numFmtId="0" fontId="119" fillId="0" borderId="159" xfId="0" applyFont="1" applyBorder="1" applyAlignment="1" applyProtection="1">
      <alignment horizontal="justify" vertical="top" wrapText="1"/>
      <protection hidden="1"/>
    </xf>
    <xf numFmtId="0" fontId="113" fillId="0" borderId="160" xfId="0" applyFont="1" applyBorder="1" applyAlignment="1" applyProtection="1">
      <alignment horizontal="justify" vertical="top" wrapText="1"/>
      <protection hidden="1"/>
    </xf>
    <xf numFmtId="0" fontId="119" fillId="5" borderId="0" xfId="0" applyFont="1" applyFill="1" applyAlignment="1" applyProtection="1">
      <alignment horizontal="justify" vertical="top" wrapText="1"/>
      <protection hidden="1"/>
    </xf>
    <xf numFmtId="0" fontId="130" fillId="5" borderId="0" xfId="0" applyFont="1" applyFill="1" applyAlignment="1" applyProtection="1">
      <alignment horizontal="justify" vertical="center" wrapText="1"/>
      <protection hidden="1"/>
    </xf>
    <xf numFmtId="0" fontId="113" fillId="5" borderId="0" xfId="0" applyFont="1" applyFill="1" applyAlignment="1" applyProtection="1">
      <alignment horizontal="left"/>
      <protection locked="0"/>
    </xf>
    <xf numFmtId="0" fontId="113" fillId="5" borderId="0" xfId="0" applyFont="1" applyFill="1" applyAlignment="1" applyProtection="1">
      <alignment horizontal="center" vertical="center" wrapText="1"/>
      <protection hidden="1"/>
    </xf>
    <xf numFmtId="0" fontId="131" fillId="5" borderId="0" xfId="0" applyFont="1" applyFill="1" applyAlignment="1" applyProtection="1">
      <alignment horizontal="center" wrapText="1"/>
      <protection hidden="1"/>
    </xf>
    <xf numFmtId="0" fontId="121" fillId="5" borderId="0" xfId="0" applyFont="1" applyFill="1" applyProtection="1">
      <protection locked="0"/>
    </xf>
    <xf numFmtId="0" fontId="132" fillId="5" borderId="0" xfId="0" applyFont="1" applyFill="1" applyAlignment="1" applyProtection="1">
      <alignment vertical="center"/>
      <protection hidden="1"/>
    </xf>
    <xf numFmtId="0" fontId="132" fillId="5" borderId="0" xfId="0" applyFont="1" applyFill="1" applyProtection="1">
      <protection hidden="1"/>
    </xf>
    <xf numFmtId="0" fontId="113" fillId="5" borderId="130" xfId="0" applyFont="1" applyFill="1" applyBorder="1" applyProtection="1">
      <protection hidden="1"/>
    </xf>
    <xf numFmtId="0" fontId="123" fillId="26" borderId="28" xfId="0" applyFont="1" applyFill="1" applyBorder="1" applyProtection="1">
      <protection locked="0"/>
    </xf>
    <xf numFmtId="0" fontId="120" fillId="5" borderId="73" xfId="0" applyFont="1" applyFill="1" applyBorder="1" applyAlignment="1" applyProtection="1">
      <alignment horizontal="center" vertical="top" wrapText="1"/>
      <protection hidden="1"/>
    </xf>
    <xf numFmtId="0" fontId="113" fillId="5" borderId="73" xfId="0" applyFont="1" applyFill="1" applyBorder="1" applyProtection="1">
      <protection hidden="1"/>
    </xf>
    <xf numFmtId="0" fontId="113" fillId="5" borderId="0" xfId="0" applyFont="1" applyFill="1" applyAlignment="1" applyProtection="1">
      <alignment horizontal="left" vertical="center"/>
      <protection hidden="1"/>
    </xf>
    <xf numFmtId="14" fontId="113" fillId="5" borderId="0" xfId="0" applyNumberFormat="1" applyFont="1" applyFill="1" applyAlignment="1" applyProtection="1">
      <alignment horizontal="right" vertical="center"/>
      <protection hidden="1"/>
    </xf>
    <xf numFmtId="49" fontId="113" fillId="5" borderId="0" xfId="0" applyNumberFormat="1" applyFont="1" applyFill="1" applyAlignment="1" applyProtection="1">
      <alignment horizontal="left" vertical="center"/>
      <protection hidden="1"/>
    </xf>
    <xf numFmtId="0" fontId="113" fillId="5" borderId="0" xfId="0" quotePrefix="1" applyFont="1" applyFill="1" applyAlignment="1" applyProtection="1">
      <alignment horizontal="left" vertical="center"/>
      <protection hidden="1"/>
    </xf>
    <xf numFmtId="0" fontId="113" fillId="5" borderId="77" xfId="0" applyFont="1" applyFill="1" applyBorder="1" applyAlignment="1" applyProtection="1">
      <alignment horizontal="center" vertical="center"/>
      <protection hidden="1"/>
    </xf>
    <xf numFmtId="14" fontId="113" fillId="5" borderId="0" xfId="0" applyNumberFormat="1" applyFont="1" applyFill="1" applyAlignment="1" applyProtection="1">
      <alignment horizontal="center" vertical="center"/>
      <protection hidden="1"/>
    </xf>
    <xf numFmtId="49" fontId="113" fillId="5" borderId="0" xfId="0" applyNumberFormat="1" applyFont="1" applyFill="1" applyAlignment="1" applyProtection="1">
      <alignment horizontal="center" vertical="center"/>
      <protection hidden="1"/>
    </xf>
    <xf numFmtId="0" fontId="113" fillId="5" borderId="0" xfId="0" quotePrefix="1" applyFont="1" applyFill="1" applyAlignment="1" applyProtection="1">
      <alignment horizontal="center" vertical="center"/>
      <protection hidden="1"/>
    </xf>
    <xf numFmtId="0" fontId="113" fillId="5" borderId="0" xfId="0" applyFont="1" applyFill="1" applyAlignment="1" applyProtection="1">
      <alignment horizontal="left" vertical="top"/>
      <protection hidden="1"/>
    </xf>
    <xf numFmtId="14" fontId="120" fillId="5" borderId="0" xfId="0" quotePrefix="1" applyNumberFormat="1" applyFont="1" applyFill="1" applyAlignment="1" applyProtection="1">
      <alignment horizontal="center" vertical="top"/>
      <protection hidden="1"/>
    </xf>
    <xf numFmtId="49" fontId="113" fillId="5" borderId="0" xfId="0" applyNumberFormat="1" applyFont="1" applyFill="1" applyAlignment="1" applyProtection="1">
      <alignment horizontal="left" vertical="top"/>
      <protection hidden="1"/>
    </xf>
    <xf numFmtId="49" fontId="113" fillId="5" borderId="0" xfId="0" applyNumberFormat="1" applyFont="1" applyFill="1" applyAlignment="1" applyProtection="1">
      <alignment vertical="top" wrapText="1"/>
      <protection hidden="1"/>
    </xf>
    <xf numFmtId="49" fontId="113" fillId="5" borderId="77" xfId="0" applyNumberFormat="1" applyFont="1" applyFill="1" applyBorder="1" applyAlignment="1" applyProtection="1">
      <alignment vertical="top" wrapText="1"/>
      <protection hidden="1"/>
    </xf>
    <xf numFmtId="0" fontId="113" fillId="5" borderId="79" xfId="0" applyFont="1" applyFill="1" applyBorder="1" applyAlignment="1" applyProtection="1">
      <alignment vertical="top" wrapText="1"/>
      <protection hidden="1"/>
    </xf>
    <xf numFmtId="0" fontId="120" fillId="5" borderId="75" xfId="0" applyFont="1" applyFill="1" applyBorder="1" applyAlignment="1" applyProtection="1">
      <alignment vertical="top" wrapText="1"/>
      <protection hidden="1"/>
    </xf>
    <xf numFmtId="0" fontId="120" fillId="5" borderId="76" xfId="0" applyFont="1" applyFill="1" applyBorder="1" applyAlignment="1" applyProtection="1">
      <alignment vertical="top" wrapText="1"/>
      <protection hidden="1"/>
    </xf>
    <xf numFmtId="0" fontId="113" fillId="5" borderId="78" xfId="0" applyFont="1" applyFill="1" applyBorder="1" applyAlignment="1" applyProtection="1">
      <alignment vertical="top" wrapText="1"/>
      <protection hidden="1"/>
    </xf>
    <xf numFmtId="0" fontId="120" fillId="5" borderId="0" xfId="0" applyFont="1" applyFill="1" applyAlignment="1" applyProtection="1">
      <alignment vertical="top" wrapText="1"/>
      <protection hidden="1"/>
    </xf>
    <xf numFmtId="0" fontId="120" fillId="5" borderId="77" xfId="0" applyFont="1" applyFill="1" applyBorder="1" applyAlignment="1" applyProtection="1">
      <alignment vertical="top" wrapText="1"/>
      <protection hidden="1"/>
    </xf>
    <xf numFmtId="10" fontId="113" fillId="8" borderId="48" xfId="0" applyNumberFormat="1" applyFont="1" applyFill="1" applyBorder="1" applyAlignment="1" applyProtection="1">
      <alignment vertical="top" wrapText="1"/>
      <protection locked="0" hidden="1"/>
    </xf>
    <xf numFmtId="0" fontId="113" fillId="5" borderId="0" xfId="0" applyFont="1" applyFill="1" applyAlignment="1" applyProtection="1">
      <alignment vertical="top" wrapText="1"/>
      <protection hidden="1"/>
    </xf>
    <xf numFmtId="165" fontId="113" fillId="5" borderId="0" xfId="0" quotePrefix="1" applyNumberFormat="1" applyFont="1" applyFill="1" applyAlignment="1" applyProtection="1">
      <alignment vertical="top"/>
      <protection hidden="1"/>
    </xf>
    <xf numFmtId="0" fontId="113" fillId="5" borderId="77" xfId="0" applyFont="1" applyFill="1" applyBorder="1" applyAlignment="1" applyProtection="1">
      <alignment vertical="top" wrapText="1"/>
      <protection hidden="1"/>
    </xf>
    <xf numFmtId="165" fontId="120" fillId="5" borderId="75" xfId="16" quotePrefix="1" applyNumberFormat="1" applyFont="1" applyFill="1" applyBorder="1" applyAlignment="1" applyProtection="1">
      <alignment horizontal="left" vertical="center"/>
      <protection hidden="1"/>
    </xf>
    <xf numFmtId="165" fontId="120" fillId="5" borderId="75" xfId="16" applyNumberFormat="1" applyFont="1" applyFill="1" applyBorder="1" applyAlignment="1" applyProtection="1">
      <alignment vertical="center"/>
      <protection hidden="1"/>
    </xf>
    <xf numFmtId="0" fontId="113" fillId="5" borderId="77" xfId="0" applyFont="1" applyFill="1" applyBorder="1" applyAlignment="1" applyProtection="1">
      <alignment horizontal="left" vertical="center"/>
      <protection hidden="1"/>
    </xf>
    <xf numFmtId="171" fontId="120" fillId="5" borderId="0" xfId="0" quotePrefix="1" applyNumberFormat="1" applyFont="1" applyFill="1" applyAlignment="1" applyProtection="1">
      <alignment horizontal="left" vertical="center"/>
      <protection hidden="1"/>
    </xf>
    <xf numFmtId="0" fontId="120" fillId="5" borderId="0" xfId="0" applyFont="1" applyFill="1" applyAlignment="1" applyProtection="1">
      <alignment horizontal="left" vertical="center"/>
      <protection hidden="1"/>
    </xf>
    <xf numFmtId="0" fontId="120" fillId="5" borderId="0" xfId="0" quotePrefix="1" applyFont="1" applyFill="1" applyAlignment="1" applyProtection="1">
      <alignment horizontal="left" vertical="center"/>
      <protection hidden="1"/>
    </xf>
    <xf numFmtId="174" fontId="120" fillId="5" borderId="0" xfId="0" applyNumberFormat="1" applyFont="1" applyFill="1" applyAlignment="1" applyProtection="1">
      <alignment horizontal="left" vertical="center"/>
      <protection hidden="1"/>
    </xf>
    <xf numFmtId="165" fontId="120" fillId="5" borderId="0" xfId="0" quotePrefix="1" applyNumberFormat="1" applyFont="1" applyFill="1" applyAlignment="1" applyProtection="1">
      <alignment horizontal="center" vertical="center" wrapText="1"/>
      <protection hidden="1"/>
    </xf>
    <xf numFmtId="0" fontId="113" fillId="5" borderId="0" xfId="0" applyFont="1" applyFill="1" applyAlignment="1" applyProtection="1">
      <alignment horizontal="left" vertical="center" wrapText="1"/>
      <protection hidden="1"/>
    </xf>
    <xf numFmtId="165" fontId="120" fillId="5" borderId="0" xfId="0" quotePrefix="1" applyNumberFormat="1" applyFont="1" applyFill="1" applyAlignment="1" applyProtection="1">
      <alignment horizontal="right" vertical="center" wrapText="1"/>
      <protection hidden="1"/>
    </xf>
    <xf numFmtId="0" fontId="113" fillId="5" borderId="77" xfId="0" applyFont="1" applyFill="1" applyBorder="1" applyAlignment="1" applyProtection="1">
      <alignment horizontal="left" vertical="center" wrapText="1"/>
      <protection hidden="1"/>
    </xf>
    <xf numFmtId="0" fontId="113" fillId="5" borderId="78" xfId="0" applyFont="1" applyFill="1" applyBorder="1" applyAlignment="1" applyProtection="1">
      <alignment horizontal="left" vertical="top" wrapText="1"/>
      <protection hidden="1"/>
    </xf>
    <xf numFmtId="165" fontId="113" fillId="5" borderId="0" xfId="0" applyNumberFormat="1" applyFont="1" applyFill="1" applyAlignment="1" applyProtection="1">
      <alignment horizontal="center" vertical="top" wrapText="1"/>
      <protection hidden="1"/>
    </xf>
    <xf numFmtId="0" fontId="113" fillId="5" borderId="0" xfId="0" applyFont="1" applyFill="1" applyAlignment="1" applyProtection="1">
      <alignment horizontal="left" vertical="top" wrapText="1"/>
      <protection hidden="1"/>
    </xf>
    <xf numFmtId="165" fontId="113" fillId="5" borderId="0" xfId="0" quotePrefix="1" applyNumberFormat="1" applyFont="1" applyFill="1" applyAlignment="1" applyProtection="1">
      <alignment horizontal="right" vertical="top" wrapText="1"/>
      <protection hidden="1"/>
    </xf>
    <xf numFmtId="49" fontId="113" fillId="5" borderId="77" xfId="0" applyNumberFormat="1" applyFont="1" applyFill="1" applyBorder="1" applyAlignment="1" applyProtection="1">
      <alignment horizontal="left" vertical="top" wrapText="1"/>
      <protection hidden="1"/>
    </xf>
    <xf numFmtId="174" fontId="113" fillId="5" borderId="0" xfId="0" applyNumberFormat="1" applyFont="1" applyFill="1" applyAlignment="1" applyProtection="1">
      <alignment horizontal="right" vertical="center" wrapText="1"/>
      <protection hidden="1"/>
    </xf>
    <xf numFmtId="49" fontId="113" fillId="5" borderId="0" xfId="0" quotePrefix="1" applyNumberFormat="1" applyFont="1" applyFill="1" applyAlignment="1" applyProtection="1">
      <alignment horizontal="left" vertical="center" wrapText="1"/>
      <protection hidden="1"/>
    </xf>
    <xf numFmtId="174" fontId="113" fillId="5" borderId="0" xfId="0" applyNumberFormat="1" applyFont="1" applyFill="1" applyAlignment="1" applyProtection="1">
      <alignment vertical="top" wrapText="1"/>
      <protection hidden="1"/>
    </xf>
    <xf numFmtId="10" fontId="120" fillId="5" borderId="0" xfId="0" applyNumberFormat="1" applyFont="1" applyFill="1" applyAlignment="1" applyProtection="1">
      <alignment horizontal="left" vertical="top"/>
      <protection hidden="1"/>
    </xf>
    <xf numFmtId="10" fontId="120" fillId="5" borderId="0" xfId="0" applyNumberFormat="1" applyFont="1" applyFill="1" applyAlignment="1" applyProtection="1">
      <alignment vertical="top"/>
      <protection hidden="1"/>
    </xf>
    <xf numFmtId="10" fontId="120" fillId="5" borderId="77" xfId="0" applyNumberFormat="1" applyFont="1" applyFill="1" applyBorder="1" applyAlignment="1" applyProtection="1">
      <alignment vertical="top"/>
      <protection hidden="1"/>
    </xf>
    <xf numFmtId="49" fontId="133" fillId="5" borderId="78" xfId="0" applyNumberFormat="1" applyFont="1" applyFill="1" applyBorder="1" applyAlignment="1" applyProtection="1">
      <alignment vertical="top"/>
      <protection hidden="1"/>
    </xf>
    <xf numFmtId="0" fontId="120" fillId="5" borderId="0" xfId="0" applyFont="1" applyFill="1" applyAlignment="1" applyProtection="1">
      <alignment horizontal="left" vertical="top" wrapText="1"/>
      <protection hidden="1"/>
    </xf>
    <xf numFmtId="0" fontId="120" fillId="5" borderId="77" xfId="0" applyFont="1" applyFill="1" applyBorder="1" applyAlignment="1" applyProtection="1">
      <alignment horizontal="left" vertical="top" wrapText="1"/>
      <protection hidden="1"/>
    </xf>
    <xf numFmtId="0" fontId="120" fillId="5" borderId="78" xfId="0" applyFont="1" applyFill="1" applyBorder="1" applyAlignment="1" applyProtection="1">
      <alignment vertical="top" wrapText="1"/>
      <protection hidden="1"/>
    </xf>
    <xf numFmtId="10" fontId="113" fillId="5" borderId="0" xfId="0" applyNumberFormat="1" applyFont="1" applyFill="1" applyAlignment="1" applyProtection="1">
      <alignment horizontal="right" vertical="top"/>
      <protection hidden="1"/>
    </xf>
    <xf numFmtId="0" fontId="113" fillId="5" borderId="0" xfId="0" applyFont="1" applyFill="1" applyAlignment="1" applyProtection="1">
      <alignment horizontal="center" vertical="top" wrapText="1"/>
      <protection hidden="1"/>
    </xf>
    <xf numFmtId="10" fontId="113" fillId="5" borderId="0" xfId="0" applyNumberFormat="1" applyFont="1" applyFill="1" applyAlignment="1" applyProtection="1">
      <alignment horizontal="center" vertical="top"/>
      <protection hidden="1"/>
    </xf>
    <xf numFmtId="0" fontId="113" fillId="5" borderId="0" xfId="0" applyFont="1" applyFill="1" applyAlignment="1" applyProtection="1">
      <alignment horizontal="center"/>
      <protection hidden="1"/>
    </xf>
    <xf numFmtId="10" fontId="120" fillId="5" borderId="10" xfId="0" quotePrefix="1" applyNumberFormat="1" applyFont="1" applyFill="1" applyBorder="1" applyAlignment="1" applyProtection="1">
      <alignment horizontal="center" vertical="top"/>
      <protection hidden="1"/>
    </xf>
    <xf numFmtId="0" fontId="120" fillId="5" borderId="78" xfId="0" applyFont="1" applyFill="1" applyBorder="1" applyAlignment="1" applyProtection="1">
      <alignment vertical="top"/>
      <protection hidden="1"/>
    </xf>
    <xf numFmtId="0" fontId="120" fillId="5" borderId="0" xfId="0" applyFont="1" applyFill="1" applyAlignment="1" applyProtection="1">
      <alignment horizontal="center"/>
      <protection hidden="1"/>
    </xf>
    <xf numFmtId="10" fontId="113" fillId="5" borderId="0" xfId="0" applyNumberFormat="1" applyFont="1" applyFill="1" applyAlignment="1" applyProtection="1">
      <alignment horizontal="left" vertical="top"/>
      <protection hidden="1"/>
    </xf>
    <xf numFmtId="49" fontId="113" fillId="5" borderId="78" xfId="0" applyNumberFormat="1" applyFont="1" applyFill="1" applyBorder="1" applyAlignment="1" applyProtection="1">
      <alignment horizontal="left" vertical="top" wrapText="1"/>
      <protection hidden="1"/>
    </xf>
    <xf numFmtId="49" fontId="113" fillId="5" borderId="0" xfId="0" applyNumberFormat="1" applyFont="1" applyFill="1" applyAlignment="1" applyProtection="1">
      <alignment horizontal="left" vertical="top" wrapText="1"/>
      <protection hidden="1"/>
    </xf>
    <xf numFmtId="49" fontId="113" fillId="5" borderId="0" xfId="0" applyNumberFormat="1" applyFont="1" applyFill="1" applyAlignment="1" applyProtection="1">
      <alignment horizontal="center" vertical="center" wrapText="1"/>
      <protection hidden="1"/>
    </xf>
    <xf numFmtId="49" fontId="113" fillId="5" borderId="77" xfId="0" applyNumberFormat="1" applyFont="1" applyFill="1" applyBorder="1" applyAlignment="1" applyProtection="1">
      <alignment horizontal="center" vertical="center" wrapText="1"/>
      <protection hidden="1"/>
    </xf>
    <xf numFmtId="10" fontId="113" fillId="5" borderId="0" xfId="11" quotePrefix="1" applyNumberFormat="1" applyFont="1" applyFill="1" applyBorder="1" applyAlignment="1" applyProtection="1">
      <alignment horizontal="center" vertical="top"/>
      <protection hidden="1"/>
    </xf>
    <xf numFmtId="172" fontId="120" fillId="5" borderId="75" xfId="0" applyNumberFormat="1" applyFont="1" applyFill="1" applyBorder="1" applyAlignment="1" applyProtection="1">
      <alignment horizontal="left"/>
      <protection hidden="1"/>
    </xf>
    <xf numFmtId="0" fontId="113" fillId="5" borderId="75" xfId="0" applyFont="1" applyFill="1" applyBorder="1" applyProtection="1">
      <protection hidden="1"/>
    </xf>
    <xf numFmtId="0" fontId="113" fillId="5" borderId="76" xfId="0" applyFont="1" applyFill="1" applyBorder="1" applyProtection="1">
      <protection hidden="1"/>
    </xf>
    <xf numFmtId="172" fontId="120" fillId="0" borderId="73" xfId="0" quotePrefix="1" applyNumberFormat="1" applyFont="1" applyBorder="1" applyAlignment="1" applyProtection="1">
      <alignment horizontal="left"/>
      <protection hidden="1"/>
    </xf>
    <xf numFmtId="0" fontId="120" fillId="0" borderId="73" xfId="0" applyFont="1" applyBorder="1" applyProtection="1">
      <protection hidden="1"/>
    </xf>
    <xf numFmtId="0" fontId="113" fillId="5" borderId="81" xfId="0" applyFont="1" applyFill="1" applyBorder="1" applyProtection="1">
      <protection hidden="1"/>
    </xf>
    <xf numFmtId="165" fontId="120" fillId="5" borderId="79" xfId="0" applyNumberFormat="1" applyFont="1" applyFill="1" applyBorder="1" applyAlignment="1" applyProtection="1">
      <alignment horizontal="left" vertical="center"/>
      <protection hidden="1"/>
    </xf>
    <xf numFmtId="165" fontId="113" fillId="5" borderId="75" xfId="0" applyNumberFormat="1" applyFont="1" applyFill="1" applyBorder="1" applyAlignment="1" applyProtection="1">
      <alignment vertical="center"/>
      <protection hidden="1"/>
    </xf>
    <xf numFmtId="165" fontId="120" fillId="5" borderId="75" xfId="0" quotePrefix="1" applyNumberFormat="1" applyFont="1" applyFill="1" applyBorder="1" applyAlignment="1" applyProtection="1">
      <alignment horizontal="left" vertical="center"/>
      <protection hidden="1"/>
    </xf>
    <xf numFmtId="165" fontId="120" fillId="5" borderId="75" xfId="0" applyNumberFormat="1" applyFont="1" applyFill="1" applyBorder="1" applyAlignment="1" applyProtection="1">
      <alignment vertical="center"/>
      <protection hidden="1"/>
    </xf>
    <xf numFmtId="165" fontId="120" fillId="5" borderId="76" xfId="0" applyNumberFormat="1" applyFont="1" applyFill="1" applyBorder="1" applyAlignment="1" applyProtection="1">
      <alignment vertical="center"/>
      <protection hidden="1"/>
    </xf>
    <xf numFmtId="165" fontId="120" fillId="5" borderId="0" xfId="0" applyNumberFormat="1" applyFont="1" applyFill="1" applyAlignment="1" applyProtection="1">
      <alignment vertical="center"/>
      <protection hidden="1"/>
    </xf>
    <xf numFmtId="10" fontId="120" fillId="5" borderId="0" xfId="11" quotePrefix="1" applyNumberFormat="1" applyFont="1" applyFill="1" applyBorder="1" applyAlignment="1" applyProtection="1">
      <alignment horizontal="center" vertical="top"/>
      <protection hidden="1"/>
    </xf>
    <xf numFmtId="49" fontId="120" fillId="5" borderId="0" xfId="0" applyNumberFormat="1" applyFont="1" applyFill="1" applyAlignment="1" applyProtection="1">
      <alignment horizontal="left" vertical="center"/>
      <protection hidden="1"/>
    </xf>
    <xf numFmtId="165" fontId="120" fillId="5" borderId="0" xfId="0" applyNumberFormat="1" applyFont="1" applyFill="1" applyAlignment="1" applyProtection="1">
      <alignment horizontal="left" vertical="center" wrapText="1"/>
      <protection hidden="1"/>
    </xf>
    <xf numFmtId="165" fontId="120" fillId="5" borderId="0" xfId="0" quotePrefix="1" applyNumberFormat="1" applyFont="1" applyFill="1" applyAlignment="1" applyProtection="1">
      <alignment horizontal="left" vertical="center" wrapText="1"/>
      <protection hidden="1"/>
    </xf>
    <xf numFmtId="49" fontId="120" fillId="5" borderId="77" xfId="0" applyNumberFormat="1" applyFont="1" applyFill="1" applyBorder="1" applyAlignment="1" applyProtection="1">
      <alignment horizontal="left" vertical="center" wrapText="1"/>
      <protection hidden="1"/>
    </xf>
    <xf numFmtId="0" fontId="120" fillId="5" borderId="84" xfId="0" applyFont="1" applyFill="1" applyBorder="1" applyAlignment="1" applyProtection="1">
      <alignment horizontal="center" vertical="top" wrapText="1"/>
      <protection hidden="1"/>
    </xf>
    <xf numFmtId="0" fontId="120" fillId="5" borderId="85" xfId="0" applyFont="1" applyFill="1" applyBorder="1" applyAlignment="1" applyProtection="1">
      <alignment horizontal="center" vertical="top" wrapText="1"/>
      <protection hidden="1"/>
    </xf>
    <xf numFmtId="0" fontId="120" fillId="5" borderId="86" xfId="0" applyFont="1" applyFill="1" applyBorder="1" applyAlignment="1" applyProtection="1">
      <alignment horizontal="center" vertical="top" wrapText="1"/>
      <protection hidden="1"/>
    </xf>
    <xf numFmtId="0" fontId="113" fillId="5" borderId="69" xfId="0" applyFont="1" applyFill="1" applyBorder="1" applyAlignment="1" applyProtection="1">
      <alignment horizontal="justify" vertical="top" wrapText="1"/>
      <protection hidden="1"/>
    </xf>
    <xf numFmtId="165" fontId="113" fillId="5" borderId="87" xfId="0" quotePrefix="1" applyNumberFormat="1" applyFont="1" applyFill="1" applyBorder="1" applyProtection="1">
      <protection hidden="1"/>
    </xf>
    <xf numFmtId="165" fontId="113" fillId="5" borderId="87" xfId="0" applyNumberFormat="1" applyFont="1" applyFill="1" applyBorder="1" applyProtection="1">
      <protection hidden="1"/>
    </xf>
    <xf numFmtId="165" fontId="113" fillId="5" borderId="70" xfId="0" quotePrefix="1" applyNumberFormat="1" applyFont="1" applyFill="1" applyBorder="1" applyProtection="1">
      <protection hidden="1"/>
    </xf>
    <xf numFmtId="165" fontId="113" fillId="5" borderId="70" xfId="0" applyNumberFormat="1" applyFont="1" applyFill="1" applyBorder="1" applyProtection="1">
      <protection hidden="1"/>
    </xf>
    <xf numFmtId="0" fontId="113" fillId="23" borderId="69" xfId="0" applyFont="1" applyFill="1" applyBorder="1" applyAlignment="1" applyProtection="1">
      <alignment horizontal="justify" vertical="top" wrapText="1"/>
      <protection hidden="1"/>
    </xf>
    <xf numFmtId="165" fontId="113" fillId="23" borderId="87" xfId="0" quotePrefix="1" applyNumberFormat="1" applyFont="1" applyFill="1" applyBorder="1" applyProtection="1">
      <protection hidden="1"/>
    </xf>
    <xf numFmtId="165" fontId="113" fillId="23" borderId="87" xfId="0" applyNumberFormat="1" applyFont="1" applyFill="1" applyBorder="1" applyProtection="1">
      <protection hidden="1"/>
    </xf>
    <xf numFmtId="165" fontId="113" fillId="23" borderId="70" xfId="0" applyNumberFormat="1" applyFont="1" applyFill="1" applyBorder="1" applyProtection="1">
      <protection hidden="1"/>
    </xf>
    <xf numFmtId="0" fontId="120" fillId="14" borderId="175" xfId="0" applyFont="1" applyFill="1" applyBorder="1" applyAlignment="1" applyProtection="1">
      <alignment horizontal="justify" vertical="center" wrapText="1"/>
      <protection hidden="1"/>
    </xf>
    <xf numFmtId="165" fontId="120" fillId="14" borderId="176" xfId="0" applyNumberFormat="1" applyFont="1" applyFill="1" applyBorder="1" applyAlignment="1" applyProtection="1">
      <alignment vertical="center"/>
      <protection hidden="1"/>
    </xf>
    <xf numFmtId="165" fontId="120" fillId="14" borderId="177" xfId="0" applyNumberFormat="1" applyFont="1" applyFill="1" applyBorder="1" applyAlignment="1" applyProtection="1">
      <alignment vertical="center"/>
      <protection hidden="1"/>
    </xf>
    <xf numFmtId="0" fontId="120" fillId="14" borderId="1" xfId="0" applyFont="1" applyFill="1" applyBorder="1" applyAlignment="1" applyProtection="1">
      <alignment vertical="top" wrapText="1"/>
      <protection hidden="1"/>
    </xf>
    <xf numFmtId="0" fontId="120" fillId="14" borderId="124" xfId="0" applyFont="1" applyFill="1" applyBorder="1" applyAlignment="1" applyProtection="1">
      <alignment vertical="top" wrapText="1"/>
      <protection hidden="1"/>
    </xf>
    <xf numFmtId="0" fontId="135" fillId="5" borderId="0" xfId="0" applyFont="1" applyFill="1" applyAlignment="1" applyProtection="1">
      <alignment wrapText="1"/>
      <protection hidden="1"/>
    </xf>
    <xf numFmtId="0" fontId="119" fillId="0" borderId="0" xfId="0" applyFont="1" applyAlignment="1" applyProtection="1">
      <alignment vertical="top" wrapText="1"/>
      <protection hidden="1"/>
    </xf>
    <xf numFmtId="0" fontId="119" fillId="0" borderId="10" xfId="0" applyFont="1" applyBorder="1" applyAlignment="1" applyProtection="1">
      <alignment vertical="top" wrapText="1"/>
      <protection hidden="1"/>
    </xf>
    <xf numFmtId="0" fontId="119" fillId="5" borderId="145" xfId="0" applyFont="1" applyFill="1" applyBorder="1" applyAlignment="1" applyProtection="1">
      <alignment horizontal="left" vertical="top" wrapText="1"/>
      <protection hidden="1"/>
    </xf>
    <xf numFmtId="0" fontId="119" fillId="5" borderId="74" xfId="0" applyFont="1" applyFill="1" applyBorder="1" applyAlignment="1" applyProtection="1">
      <alignment horizontal="left" vertical="top" wrapText="1"/>
      <protection hidden="1"/>
    </xf>
    <xf numFmtId="167" fontId="119" fillId="0" borderId="79" xfId="1" applyNumberFormat="1" applyFont="1" applyFill="1" applyBorder="1" applyAlignment="1" applyProtection="1">
      <alignment horizontal="right" vertical="top"/>
      <protection hidden="1"/>
    </xf>
    <xf numFmtId="0" fontId="119" fillId="0" borderId="75" xfId="0" applyFont="1" applyBorder="1" applyAlignment="1" applyProtection="1">
      <alignment vertical="top"/>
      <protection hidden="1"/>
    </xf>
    <xf numFmtId="0" fontId="119" fillId="0" borderId="76" xfId="0" applyFont="1" applyBorder="1" applyAlignment="1" applyProtection="1">
      <alignment vertical="top"/>
      <protection hidden="1"/>
    </xf>
    <xf numFmtId="0" fontId="119" fillId="5" borderId="74" xfId="0" applyFont="1" applyFill="1" applyBorder="1" applyAlignment="1" applyProtection="1">
      <alignment vertical="top" wrapText="1"/>
      <protection hidden="1"/>
    </xf>
    <xf numFmtId="167" fontId="119" fillId="0" borderId="111" xfId="1" applyNumberFormat="1" applyFont="1" applyFill="1" applyBorder="1" applyAlignment="1" applyProtection="1">
      <alignment horizontal="right" vertical="top"/>
      <protection hidden="1"/>
    </xf>
    <xf numFmtId="0" fontId="119" fillId="0" borderId="112" xfId="0" applyFont="1" applyBorder="1" applyAlignment="1" applyProtection="1">
      <alignment horizontal="left" vertical="top"/>
      <protection hidden="1"/>
    </xf>
    <xf numFmtId="0" fontId="119" fillId="0" borderId="112" xfId="0" applyFont="1" applyBorder="1" applyProtection="1">
      <protection hidden="1"/>
    </xf>
    <xf numFmtId="0" fontId="119" fillId="0" borderId="89" xfId="0" applyFont="1" applyBorder="1" applyProtection="1">
      <protection hidden="1"/>
    </xf>
    <xf numFmtId="0" fontId="119" fillId="0" borderId="74" xfId="0" applyFont="1" applyBorder="1" applyAlignment="1" applyProtection="1">
      <alignment horizontal="left" vertical="top" wrapText="1"/>
      <protection hidden="1"/>
    </xf>
    <xf numFmtId="0" fontId="119" fillId="0" borderId="28" xfId="0" applyFont="1" applyBorder="1" applyAlignment="1" applyProtection="1">
      <alignment horizontal="left" vertical="top" wrapText="1"/>
      <protection hidden="1"/>
    </xf>
    <xf numFmtId="0" fontId="119" fillId="0" borderId="0" xfId="0" applyFont="1" applyProtection="1">
      <protection hidden="1"/>
    </xf>
    <xf numFmtId="0" fontId="119" fillId="0" borderId="0" xfId="0" applyFont="1" applyAlignment="1" applyProtection="1">
      <alignment horizontal="left" vertical="top" wrapText="1"/>
      <protection hidden="1"/>
    </xf>
    <xf numFmtId="0" fontId="119" fillId="0" borderId="0" xfId="0" applyFont="1"/>
    <xf numFmtId="0" fontId="128" fillId="0" borderId="0" xfId="0" applyFont="1" applyProtection="1">
      <protection hidden="1"/>
    </xf>
    <xf numFmtId="0" fontId="113" fillId="5" borderId="0" xfId="0" applyFont="1" applyFill="1" applyProtection="1">
      <protection locked="0"/>
    </xf>
    <xf numFmtId="0" fontId="123" fillId="26" borderId="206" xfId="0" applyFont="1" applyFill="1" applyBorder="1" applyAlignment="1" applyProtection="1">
      <alignment vertical="top" wrapText="1"/>
      <protection locked="0"/>
    </xf>
    <xf numFmtId="0" fontId="128" fillId="14" borderId="125" xfId="0" applyFont="1" applyFill="1" applyBorder="1" applyProtection="1">
      <protection hidden="1"/>
    </xf>
    <xf numFmtId="0" fontId="119" fillId="6" borderId="126" xfId="0" applyFont="1" applyFill="1" applyBorder="1" applyProtection="1">
      <protection hidden="1"/>
    </xf>
    <xf numFmtId="0" fontId="128" fillId="6" borderId="126" xfId="0" applyFont="1" applyFill="1" applyBorder="1" applyProtection="1">
      <protection hidden="1"/>
    </xf>
    <xf numFmtId="165" fontId="119" fillId="6" borderId="126" xfId="0" applyNumberFormat="1" applyFont="1" applyFill="1" applyBorder="1" applyAlignment="1" applyProtection="1">
      <alignment horizontal="center"/>
      <protection hidden="1"/>
    </xf>
    <xf numFmtId="0" fontId="119" fillId="6" borderId="127" xfId="0" applyFont="1" applyFill="1" applyBorder="1" applyAlignment="1" applyProtection="1">
      <alignment horizontal="center"/>
      <protection hidden="1"/>
    </xf>
    <xf numFmtId="0" fontId="128" fillId="0" borderId="128" xfId="0" applyFont="1" applyBorder="1" applyProtection="1">
      <protection hidden="1"/>
    </xf>
    <xf numFmtId="0" fontId="138" fillId="5" borderId="0" xfId="0" applyFont="1" applyFill="1" applyProtection="1">
      <protection hidden="1"/>
    </xf>
    <xf numFmtId="165" fontId="119" fillId="0" borderId="0" xfId="0" applyNumberFormat="1" applyFont="1" applyAlignment="1" applyProtection="1">
      <alignment horizontal="center"/>
      <protection hidden="1"/>
    </xf>
    <xf numFmtId="0" fontId="119" fillId="0" borderId="10" xfId="0" applyFont="1" applyBorder="1" applyAlignment="1" applyProtection="1">
      <alignment horizontal="center"/>
      <protection hidden="1"/>
    </xf>
    <xf numFmtId="10" fontId="119" fillId="0" borderId="0" xfId="11" applyNumberFormat="1" applyFont="1" applyFill="1" applyBorder="1" applyProtection="1">
      <protection hidden="1"/>
    </xf>
    <xf numFmtId="0" fontId="119" fillId="0" borderId="10" xfId="0" applyFont="1" applyBorder="1" applyProtection="1">
      <protection hidden="1"/>
    </xf>
    <xf numFmtId="0" fontId="119" fillId="0" borderId="129" xfId="0" applyFont="1" applyBorder="1" applyProtection="1">
      <protection hidden="1"/>
    </xf>
    <xf numFmtId="0" fontId="119" fillId="0" borderId="130" xfId="0" applyFont="1" applyBorder="1" applyProtection="1">
      <protection hidden="1"/>
    </xf>
    <xf numFmtId="0" fontId="119" fillId="0" borderId="131" xfId="0" applyFont="1" applyBorder="1" applyProtection="1">
      <protection hidden="1"/>
    </xf>
    <xf numFmtId="169" fontId="128" fillId="0" borderId="138" xfId="0" applyNumberFormat="1" applyFont="1" applyBorder="1" applyAlignment="1" applyProtection="1">
      <alignment horizontal="center"/>
      <protection hidden="1"/>
    </xf>
    <xf numFmtId="169" fontId="128" fillId="0" borderId="139" xfId="0" applyNumberFormat="1" applyFont="1" applyBorder="1" applyAlignment="1" applyProtection="1">
      <alignment horizontal="center"/>
      <protection hidden="1"/>
    </xf>
    <xf numFmtId="169" fontId="128" fillId="0" borderId="140" xfId="0" applyNumberFormat="1" applyFont="1" applyBorder="1" applyAlignment="1" applyProtection="1">
      <alignment horizontal="center"/>
      <protection hidden="1"/>
    </xf>
    <xf numFmtId="0" fontId="119" fillId="6" borderId="135" xfId="0" applyFont="1" applyFill="1" applyBorder="1" applyProtection="1">
      <protection hidden="1"/>
    </xf>
    <xf numFmtId="169" fontId="119" fillId="6" borderId="132" xfId="0" applyNumberFormat="1" applyFont="1" applyFill="1" applyBorder="1" applyProtection="1">
      <protection hidden="1"/>
    </xf>
    <xf numFmtId="169" fontId="119" fillId="6" borderId="116" xfId="0" applyNumberFormat="1" applyFont="1" applyFill="1" applyBorder="1" applyProtection="1">
      <protection hidden="1"/>
    </xf>
    <xf numFmtId="169" fontId="119" fillId="6" borderId="117" xfId="0" applyNumberFormat="1" applyFont="1" applyFill="1" applyBorder="1" applyProtection="1">
      <protection hidden="1"/>
    </xf>
    <xf numFmtId="0" fontId="119" fillId="0" borderId="136" xfId="0" applyFont="1" applyBorder="1" applyProtection="1">
      <protection hidden="1"/>
    </xf>
    <xf numFmtId="6" fontId="119" fillId="0" borderId="133" xfId="0" applyNumberFormat="1" applyFont="1" applyBorder="1" applyProtection="1">
      <protection hidden="1"/>
    </xf>
    <xf numFmtId="6" fontId="119" fillId="0" borderId="4" xfId="0" applyNumberFormat="1" applyFont="1" applyBorder="1" applyProtection="1">
      <protection hidden="1"/>
    </xf>
    <xf numFmtId="6" fontId="119" fillId="0" borderId="16" xfId="0" applyNumberFormat="1" applyFont="1" applyBorder="1" applyProtection="1">
      <protection hidden="1"/>
    </xf>
    <xf numFmtId="0" fontId="119" fillId="6" borderId="136" xfId="0" applyFont="1" applyFill="1" applyBorder="1" applyProtection="1">
      <protection hidden="1"/>
    </xf>
    <xf numFmtId="169" fontId="119" fillId="6" borderId="133" xfId="0" applyNumberFormat="1" applyFont="1" applyFill="1" applyBorder="1" applyProtection="1">
      <protection hidden="1"/>
    </xf>
    <xf numFmtId="169" fontId="119" fillId="6" borderId="4" xfId="0" applyNumberFormat="1" applyFont="1" applyFill="1" applyBorder="1" applyProtection="1">
      <protection hidden="1"/>
    </xf>
    <xf numFmtId="169" fontId="119" fillId="6" borderId="16" xfId="0" applyNumberFormat="1" applyFont="1" applyFill="1" applyBorder="1" applyProtection="1">
      <protection hidden="1"/>
    </xf>
    <xf numFmtId="0" fontId="119" fillId="0" borderId="137" xfId="0" applyFont="1" applyBorder="1" applyProtection="1">
      <protection hidden="1"/>
    </xf>
    <xf numFmtId="6" fontId="119" fillId="0" borderId="134" xfId="0" applyNumberFormat="1" applyFont="1" applyBorder="1" applyProtection="1">
      <protection hidden="1"/>
    </xf>
    <xf numFmtId="6" fontId="119" fillId="0" borderId="34" xfId="0" applyNumberFormat="1" applyFont="1" applyBorder="1" applyProtection="1">
      <protection hidden="1"/>
    </xf>
    <xf numFmtId="6" fontId="119" fillId="0" borderId="18" xfId="0" applyNumberFormat="1" applyFont="1" applyBorder="1" applyProtection="1">
      <protection hidden="1"/>
    </xf>
    <xf numFmtId="9" fontId="128" fillId="0" borderId="125" xfId="0" quotePrefix="1" applyNumberFormat="1" applyFont="1" applyBorder="1" applyAlignment="1" applyProtection="1">
      <alignment horizontal="center" vertical="center"/>
      <protection hidden="1"/>
    </xf>
    <xf numFmtId="165" fontId="119" fillId="0" borderId="0" xfId="0" applyNumberFormat="1" applyFont="1" applyAlignment="1" applyProtection="1">
      <alignment horizontal="center" vertical="center"/>
      <protection hidden="1"/>
    </xf>
    <xf numFmtId="8" fontId="119" fillId="0" borderId="0" xfId="0" applyNumberFormat="1" applyFont="1" applyProtection="1">
      <protection hidden="1"/>
    </xf>
    <xf numFmtId="8" fontId="119" fillId="0" borderId="127" xfId="0" applyNumberFormat="1" applyFont="1" applyBorder="1" applyProtection="1">
      <protection hidden="1"/>
    </xf>
    <xf numFmtId="10" fontId="119" fillId="0" borderId="0" xfId="11" applyNumberFormat="1" applyFont="1" applyBorder="1" applyProtection="1">
      <protection hidden="1"/>
    </xf>
    <xf numFmtId="9" fontId="128" fillId="0" borderId="0" xfId="0" quotePrefix="1" applyNumberFormat="1" applyFont="1" applyAlignment="1" applyProtection="1">
      <alignment horizontal="center" vertical="center"/>
      <protection hidden="1"/>
    </xf>
    <xf numFmtId="9" fontId="119" fillId="0" borderId="0" xfId="0" quotePrefix="1" applyNumberFormat="1" applyFont="1" applyProtection="1">
      <protection hidden="1"/>
    </xf>
    <xf numFmtId="0" fontId="102" fillId="5" borderId="0" xfId="0" applyFont="1" applyFill="1" applyAlignment="1" applyProtection="1">
      <alignment horizontal="left"/>
      <protection locked="0"/>
    </xf>
    <xf numFmtId="0" fontId="119" fillId="0" borderId="0" xfId="0" applyFont="1" applyProtection="1">
      <protection locked="0"/>
    </xf>
    <xf numFmtId="8" fontId="119" fillId="0" borderId="0" xfId="0" applyNumberFormat="1" applyFont="1" applyProtection="1">
      <protection locked="0"/>
    </xf>
    <xf numFmtId="0" fontId="102" fillId="5" borderId="0" xfId="0" applyFont="1" applyFill="1" applyAlignment="1" applyProtection="1">
      <alignment wrapText="1"/>
      <protection locked="0"/>
    </xf>
    <xf numFmtId="0" fontId="105" fillId="5" borderId="0" xfId="0" applyFont="1" applyFill="1" applyProtection="1">
      <protection locked="0"/>
    </xf>
    <xf numFmtId="0" fontId="119" fillId="0" borderId="142" xfId="0" applyFont="1" applyBorder="1" applyProtection="1">
      <protection locked="0"/>
    </xf>
    <xf numFmtId="0" fontId="123" fillId="26" borderId="126" xfId="0" applyFont="1" applyFill="1" applyBorder="1" applyProtection="1">
      <protection locked="0"/>
    </xf>
    <xf numFmtId="0" fontId="122" fillId="2" borderId="0" xfId="5" applyFont="1" applyFill="1" applyAlignment="1" applyProtection="1">
      <alignment horizontal="center" vertical="center"/>
      <protection hidden="1"/>
    </xf>
    <xf numFmtId="0" fontId="105" fillId="2" borderId="0" xfId="5" applyFont="1" applyFill="1" applyAlignment="1" applyProtection="1">
      <alignment horizontal="left" vertical="center"/>
      <protection hidden="1"/>
    </xf>
    <xf numFmtId="0" fontId="102" fillId="2" borderId="0" xfId="5" applyFont="1" applyFill="1" applyProtection="1">
      <protection hidden="1"/>
    </xf>
    <xf numFmtId="0" fontId="105" fillId="2" borderId="0" xfId="5" applyFont="1" applyFill="1" applyProtection="1">
      <protection hidden="1"/>
    </xf>
    <xf numFmtId="0" fontId="102" fillId="2" borderId="0" xfId="5" applyFont="1" applyFill="1" applyAlignment="1" applyProtection="1">
      <alignment horizontal="left" vertical="center"/>
      <protection hidden="1"/>
    </xf>
    <xf numFmtId="0" fontId="140" fillId="26" borderId="209" xfId="5" applyFont="1" applyFill="1" applyBorder="1" applyProtection="1">
      <protection hidden="1"/>
    </xf>
    <xf numFmtId="0" fontId="140" fillId="26" borderId="210" xfId="5" applyFont="1" applyFill="1" applyBorder="1" applyProtection="1">
      <protection hidden="1"/>
    </xf>
    <xf numFmtId="0" fontId="140" fillId="26" borderId="211" xfId="5" applyFont="1" applyFill="1" applyBorder="1" applyProtection="1">
      <protection hidden="1"/>
    </xf>
    <xf numFmtId="0" fontId="140" fillId="26" borderId="220" xfId="5" applyFont="1" applyFill="1" applyBorder="1" applyAlignment="1" applyProtection="1">
      <alignment horizontal="left" vertical="center"/>
      <protection hidden="1"/>
    </xf>
    <xf numFmtId="0" fontId="140" fillId="26" borderId="236" xfId="5" applyFont="1" applyFill="1" applyBorder="1" applyAlignment="1" applyProtection="1">
      <alignment horizontal="center"/>
      <protection hidden="1"/>
    </xf>
    <xf numFmtId="0" fontId="140" fillId="26" borderId="236" xfId="5" applyFont="1" applyFill="1" applyBorder="1" applyProtection="1">
      <protection hidden="1"/>
    </xf>
    <xf numFmtId="0" fontId="140" fillId="26" borderId="221" xfId="5" applyFont="1" applyFill="1" applyBorder="1" applyProtection="1">
      <protection hidden="1"/>
    </xf>
    <xf numFmtId="0" fontId="102" fillId="26" borderId="216" xfId="5" applyFont="1" applyFill="1" applyBorder="1" applyAlignment="1" applyProtection="1">
      <alignment horizontal="left" vertical="center" wrapText="1"/>
      <protection hidden="1"/>
    </xf>
    <xf numFmtId="0" fontId="102" fillId="26" borderId="217" xfId="5" applyFont="1" applyFill="1" applyBorder="1" applyAlignment="1" applyProtection="1">
      <alignment horizontal="left" vertical="center" wrapText="1"/>
      <protection hidden="1"/>
    </xf>
    <xf numFmtId="0" fontId="102" fillId="26" borderId="217" xfId="5" applyFont="1" applyFill="1" applyBorder="1" applyAlignment="1" applyProtection="1">
      <alignment horizontal="center"/>
      <protection hidden="1"/>
    </xf>
    <xf numFmtId="0" fontId="102" fillId="26" borderId="218" xfId="5" applyFont="1" applyFill="1" applyBorder="1" applyAlignment="1" applyProtection="1">
      <alignment horizontal="center"/>
      <protection hidden="1"/>
    </xf>
    <xf numFmtId="0" fontId="102" fillId="5" borderId="0" xfId="5" applyFont="1" applyFill="1" applyAlignment="1" applyProtection="1">
      <alignment horizontal="left" vertical="center" wrapText="1"/>
      <protection hidden="1"/>
    </xf>
    <xf numFmtId="0" fontId="120" fillId="5" borderId="0" xfId="5" applyFont="1" applyFill="1" applyAlignment="1" applyProtection="1">
      <alignment horizontal="center" vertical="center" wrapText="1"/>
      <protection hidden="1"/>
    </xf>
    <xf numFmtId="0" fontId="102" fillId="5" borderId="0" xfId="5" applyFont="1" applyFill="1" applyAlignment="1" applyProtection="1">
      <alignment horizontal="center"/>
      <protection hidden="1"/>
    </xf>
    <xf numFmtId="0" fontId="102" fillId="2" borderId="0" xfId="5" applyFont="1" applyFill="1" applyAlignment="1" applyProtection="1">
      <alignment horizontal="left" vertical="center" wrapText="1"/>
      <protection hidden="1"/>
    </xf>
    <xf numFmtId="0" fontId="102" fillId="2" borderId="0" xfId="5" applyFont="1" applyFill="1" applyAlignment="1" applyProtection="1">
      <alignment horizontal="center"/>
      <protection hidden="1"/>
    </xf>
    <xf numFmtId="0" fontId="102" fillId="2" borderId="209" xfId="5" applyFont="1" applyFill="1" applyBorder="1" applyAlignment="1" applyProtection="1">
      <alignment horizontal="left" vertical="center" wrapText="1"/>
      <protection hidden="1"/>
    </xf>
    <xf numFmtId="0" fontId="102" fillId="2" borderId="210" xfId="5" applyFont="1" applyFill="1" applyBorder="1" applyAlignment="1" applyProtection="1">
      <alignment horizontal="left" vertical="center" wrapText="1"/>
      <protection hidden="1"/>
    </xf>
    <xf numFmtId="0" fontId="102" fillId="2" borderId="210" xfId="5" applyFont="1" applyFill="1" applyBorder="1" applyAlignment="1" applyProtection="1">
      <alignment horizontal="center"/>
      <protection hidden="1"/>
    </xf>
    <xf numFmtId="0" fontId="102" fillId="2" borderId="210" xfId="5" applyFont="1" applyFill="1" applyBorder="1" applyProtection="1">
      <protection hidden="1"/>
    </xf>
    <xf numFmtId="0" fontId="102" fillId="2" borderId="211" xfId="5" applyFont="1" applyFill="1" applyBorder="1" applyAlignment="1" applyProtection="1">
      <alignment horizontal="center"/>
      <protection hidden="1"/>
    </xf>
    <xf numFmtId="0" fontId="38" fillId="2" borderId="0" xfId="5" applyFont="1" applyFill="1" applyBorder="1" applyAlignment="1" applyProtection="1">
      <alignment horizontal="center"/>
      <protection hidden="1"/>
    </xf>
    <xf numFmtId="0" fontId="102" fillId="2" borderId="212" xfId="5" applyFont="1" applyFill="1" applyBorder="1" applyProtection="1">
      <protection hidden="1"/>
    </xf>
    <xf numFmtId="0" fontId="102" fillId="2" borderId="0" xfId="5" applyFont="1" applyFill="1" applyBorder="1" applyProtection="1">
      <protection hidden="1"/>
    </xf>
    <xf numFmtId="0" fontId="102" fillId="2" borderId="0" xfId="5" applyFont="1" applyFill="1" applyBorder="1" applyAlignment="1" applyProtection="1">
      <alignment horizontal="left"/>
      <protection hidden="1"/>
    </xf>
    <xf numFmtId="0" fontId="102" fillId="2" borderId="0" xfId="5" applyFont="1" applyFill="1" applyBorder="1" applyAlignment="1" applyProtection="1">
      <alignment horizontal="left" vertical="center" wrapText="1"/>
      <protection hidden="1"/>
    </xf>
    <xf numFmtId="0" fontId="142" fillId="2" borderId="206" xfId="5" applyFont="1" applyFill="1" applyBorder="1" applyAlignment="1" applyProtection="1">
      <alignment horizontal="center"/>
      <protection locked="0"/>
    </xf>
    <xf numFmtId="0" fontId="102" fillId="2" borderId="0" xfId="5" applyFont="1" applyFill="1" applyBorder="1" applyAlignment="1" applyProtection="1">
      <alignment horizontal="center"/>
      <protection hidden="1"/>
    </xf>
    <xf numFmtId="0" fontId="102" fillId="5" borderId="0" xfId="5" applyFont="1" applyFill="1" applyBorder="1" applyProtection="1">
      <protection hidden="1"/>
    </xf>
    <xf numFmtId="0" fontId="102" fillId="2" borderId="213" xfId="5" applyFont="1" applyFill="1" applyBorder="1" applyProtection="1">
      <protection hidden="1"/>
    </xf>
    <xf numFmtId="0" fontId="102" fillId="2" borderId="216" xfId="5" applyFont="1" applyFill="1" applyBorder="1" applyAlignment="1" applyProtection="1">
      <alignment horizontal="left"/>
      <protection hidden="1"/>
    </xf>
    <xf numFmtId="0" fontId="102" fillId="2" borderId="217" xfId="5" applyFont="1" applyFill="1" applyBorder="1" applyAlignment="1" applyProtection="1">
      <alignment horizontal="left" vertical="center" wrapText="1"/>
      <protection hidden="1"/>
    </xf>
    <xf numFmtId="0" fontId="102" fillId="2" borderId="217" xfId="5" applyFont="1" applyFill="1" applyBorder="1" applyProtection="1">
      <protection hidden="1"/>
    </xf>
    <xf numFmtId="0" fontId="102" fillId="2" borderId="217" xfId="5" applyFont="1" applyFill="1" applyBorder="1" applyAlignment="1" applyProtection="1">
      <alignment horizontal="center"/>
      <protection hidden="1"/>
    </xf>
    <xf numFmtId="0" fontId="102" fillId="5" borderId="217" xfId="5" applyFont="1" applyFill="1" applyBorder="1" applyAlignment="1" applyProtection="1">
      <alignment horizontal="center"/>
      <protection hidden="1"/>
    </xf>
    <xf numFmtId="0" fontId="102" fillId="2" borderId="218" xfId="5" applyFont="1" applyFill="1" applyBorder="1" applyProtection="1">
      <protection hidden="1"/>
    </xf>
    <xf numFmtId="0" fontId="102" fillId="2" borderId="0" xfId="5" applyFont="1" applyFill="1" applyAlignment="1" applyProtection="1">
      <alignment horizontal="left"/>
      <protection hidden="1"/>
    </xf>
    <xf numFmtId="0" fontId="102" fillId="5" borderId="210" xfId="5" applyFont="1" applyFill="1" applyBorder="1" applyAlignment="1" applyProtection="1">
      <alignment horizontal="center"/>
      <protection hidden="1"/>
    </xf>
    <xf numFmtId="0" fontId="102" fillId="2" borderId="211" xfId="5" applyFont="1" applyFill="1" applyBorder="1" applyProtection="1">
      <protection hidden="1"/>
    </xf>
    <xf numFmtId="0" fontId="38" fillId="2" borderId="0" xfId="5" applyFont="1" applyFill="1" applyBorder="1" applyProtection="1">
      <protection hidden="1"/>
    </xf>
    <xf numFmtId="0" fontId="102" fillId="2" borderId="213" xfId="5" applyFont="1" applyFill="1" applyBorder="1" applyAlignment="1" applyProtection="1">
      <alignment horizontal="center"/>
      <protection hidden="1"/>
    </xf>
    <xf numFmtId="0" fontId="102" fillId="2" borderId="216" xfId="5" applyFont="1" applyFill="1" applyBorder="1" applyProtection="1">
      <protection hidden="1"/>
    </xf>
    <xf numFmtId="0" fontId="102" fillId="2" borderId="209" xfId="5" applyFont="1" applyFill="1" applyBorder="1" applyProtection="1">
      <protection hidden="1"/>
    </xf>
    <xf numFmtId="0" fontId="102" fillId="2" borderId="212" xfId="5" applyFont="1" applyFill="1" applyBorder="1" applyAlignment="1" applyProtection="1">
      <alignment horizontal="left" vertical="center" wrapText="1"/>
      <protection hidden="1"/>
    </xf>
    <xf numFmtId="0" fontId="102" fillId="2" borderId="241" xfId="5" applyFont="1" applyFill="1" applyBorder="1" applyProtection="1">
      <protection hidden="1"/>
    </xf>
    <xf numFmtId="0" fontId="142" fillId="5" borderId="0" xfId="5" applyFont="1" applyFill="1" applyBorder="1"/>
    <xf numFmtId="0" fontId="102" fillId="5" borderId="0" xfId="5" applyFont="1" applyFill="1" applyBorder="1" applyAlignment="1" applyProtection="1">
      <alignment horizontal="center"/>
      <protection hidden="1"/>
    </xf>
    <xf numFmtId="0" fontId="102" fillId="2" borderId="216" xfId="5" applyFont="1" applyFill="1" applyBorder="1" applyAlignment="1" applyProtection="1">
      <alignment horizontal="left" vertical="center" wrapText="1"/>
      <protection hidden="1"/>
    </xf>
    <xf numFmtId="0" fontId="102" fillId="2" borderId="218" xfId="5" applyFont="1" applyFill="1" applyBorder="1" applyAlignment="1" applyProtection="1">
      <alignment horizontal="center"/>
      <protection hidden="1"/>
    </xf>
    <xf numFmtId="0" fontId="102" fillId="5" borderId="0" xfId="5" applyFont="1" applyFill="1" applyBorder="1" applyAlignment="1" applyProtection="1">
      <alignment horizontal="left"/>
      <protection hidden="1"/>
    </xf>
    <xf numFmtId="0" fontId="102" fillId="2" borderId="213" xfId="5" applyFont="1" applyFill="1" applyBorder="1" applyAlignment="1" applyProtection="1">
      <alignment horizontal="left"/>
      <protection hidden="1"/>
    </xf>
    <xf numFmtId="0" fontId="102" fillId="2" borderId="211" xfId="5" applyFont="1" applyFill="1" applyBorder="1" applyAlignment="1" applyProtection="1">
      <alignment horizontal="left" vertical="center" wrapText="1"/>
      <protection hidden="1"/>
    </xf>
    <xf numFmtId="0" fontId="102" fillId="2" borderId="209" xfId="5" applyFont="1" applyFill="1" applyBorder="1" applyAlignment="1" applyProtection="1">
      <alignment horizontal="center"/>
      <protection hidden="1"/>
    </xf>
    <xf numFmtId="0" fontId="102" fillId="2" borderId="213" xfId="5" applyFont="1" applyFill="1" applyBorder="1" applyAlignment="1" applyProtection="1">
      <alignment horizontal="left" vertical="center" wrapText="1"/>
      <protection hidden="1"/>
    </xf>
    <xf numFmtId="0" fontId="102" fillId="5" borderId="0" xfId="5" applyFont="1" applyFill="1" applyBorder="1" applyAlignment="1" applyProtection="1">
      <alignment wrapText="1"/>
      <protection hidden="1"/>
    </xf>
    <xf numFmtId="0" fontId="113" fillId="5" borderId="0" xfId="0" applyFont="1" applyFill="1" applyBorder="1" applyAlignment="1" applyProtection="1">
      <alignment wrapText="1"/>
      <protection hidden="1"/>
    </xf>
    <xf numFmtId="0" fontId="142" fillId="5" borderId="206" xfId="5" applyFont="1" applyFill="1" applyBorder="1" applyAlignment="1" applyProtection="1">
      <alignment horizontal="center"/>
      <protection locked="0"/>
    </xf>
    <xf numFmtId="0" fontId="113" fillId="0" borderId="0" xfId="0" applyFont="1" applyBorder="1" applyAlignment="1" applyProtection="1">
      <alignment vertical="center"/>
      <protection hidden="1"/>
    </xf>
    <xf numFmtId="0" fontId="113" fillId="5" borderId="0" xfId="0" applyFont="1" applyFill="1" applyBorder="1" applyAlignment="1" applyProtection="1">
      <alignment vertical="center"/>
      <protection hidden="1"/>
    </xf>
    <xf numFmtId="0" fontId="102" fillId="2" borderId="218" xfId="5" applyFont="1" applyFill="1" applyBorder="1" applyAlignment="1" applyProtection="1">
      <alignment horizontal="left" vertical="center" wrapText="1"/>
      <protection hidden="1"/>
    </xf>
    <xf numFmtId="0" fontId="102" fillId="2" borderId="216" xfId="5" applyFont="1" applyFill="1" applyBorder="1" applyAlignment="1" applyProtection="1">
      <alignment horizontal="center"/>
      <protection hidden="1"/>
    </xf>
    <xf numFmtId="0" fontId="142" fillId="2" borderId="0" xfId="5" applyFont="1" applyFill="1" applyBorder="1"/>
    <xf numFmtId="0" fontId="102" fillId="26" borderId="209" xfId="5" applyFont="1" applyFill="1" applyBorder="1" applyProtection="1">
      <protection hidden="1"/>
    </xf>
    <xf numFmtId="0" fontId="102" fillId="26" borderId="210" xfId="5" applyFont="1" applyFill="1" applyBorder="1" applyProtection="1">
      <protection hidden="1"/>
    </xf>
    <xf numFmtId="0" fontId="102" fillId="26" borderId="211" xfId="5" applyFont="1" applyFill="1" applyBorder="1" applyProtection="1">
      <protection hidden="1"/>
    </xf>
    <xf numFmtId="0" fontId="140" fillId="26" borderId="212" xfId="5" applyFont="1" applyFill="1" applyBorder="1" applyAlignment="1" applyProtection="1">
      <alignment horizontal="left" vertical="center"/>
      <protection hidden="1"/>
    </xf>
    <xf numFmtId="0" fontId="102" fillId="26" borderId="0" xfId="5" applyFont="1" applyFill="1" applyBorder="1" applyAlignment="1" applyProtection="1">
      <alignment horizontal="center"/>
      <protection hidden="1"/>
    </xf>
    <xf numFmtId="0" fontId="102" fillId="26" borderId="0" xfId="5" applyFont="1" applyFill="1" applyBorder="1" applyProtection="1">
      <protection hidden="1"/>
    </xf>
    <xf numFmtId="0" fontId="102" fillId="26" borderId="213" xfId="5" applyFont="1" applyFill="1" applyBorder="1" applyProtection="1">
      <protection hidden="1"/>
    </xf>
    <xf numFmtId="0" fontId="102" fillId="2" borderId="212" xfId="5" applyFont="1" applyFill="1" applyBorder="1" applyAlignment="1" applyProtection="1">
      <alignment horizontal="left"/>
      <protection hidden="1"/>
    </xf>
    <xf numFmtId="0" fontId="135" fillId="2" borderId="212" xfId="5" applyFont="1" applyFill="1" applyBorder="1" applyAlignment="1" applyProtection="1">
      <alignment horizontal="left"/>
      <protection hidden="1"/>
    </xf>
    <xf numFmtId="0" fontId="142" fillId="2" borderId="206" xfId="5" applyFont="1" applyFill="1" applyBorder="1" applyProtection="1">
      <protection locked="0"/>
    </xf>
    <xf numFmtId="0" fontId="102" fillId="0" borderId="0" xfId="5" applyFont="1" applyBorder="1" applyAlignment="1" applyProtection="1">
      <alignment horizontal="left"/>
      <protection hidden="1"/>
    </xf>
    <xf numFmtId="0" fontId="102" fillId="2" borderId="210" xfId="5" applyFont="1" applyFill="1" applyBorder="1" applyAlignment="1" applyProtection="1">
      <alignment wrapText="1"/>
      <protection hidden="1"/>
    </xf>
    <xf numFmtId="0" fontId="102" fillId="2" borderId="212" xfId="5" applyFont="1" applyFill="1" applyBorder="1" applyAlignment="1" applyProtection="1">
      <alignment wrapText="1"/>
      <protection hidden="1"/>
    </xf>
    <xf numFmtId="0" fontId="102" fillId="2" borderId="0" xfId="5" applyFont="1" applyFill="1" applyBorder="1" applyAlignment="1" applyProtection="1">
      <alignment wrapText="1"/>
      <protection hidden="1"/>
    </xf>
    <xf numFmtId="0" fontId="105" fillId="2" borderId="0" xfId="5" applyFont="1" applyFill="1" applyBorder="1" applyProtection="1">
      <protection hidden="1"/>
    </xf>
    <xf numFmtId="0" fontId="102" fillId="5" borderId="212" xfId="5" applyFont="1" applyFill="1" applyBorder="1" applyProtection="1">
      <protection hidden="1"/>
    </xf>
    <xf numFmtId="0" fontId="102" fillId="5" borderId="213" xfId="5" applyFont="1" applyFill="1" applyBorder="1" applyProtection="1">
      <protection hidden="1"/>
    </xf>
    <xf numFmtId="0" fontId="102" fillId="2" borderId="242" xfId="5" applyFont="1" applyFill="1" applyBorder="1" applyProtection="1">
      <protection hidden="1"/>
    </xf>
    <xf numFmtId="0" fontId="102" fillId="2" borderId="243" xfId="5" applyFont="1" applyFill="1" applyBorder="1" applyProtection="1">
      <protection hidden="1"/>
    </xf>
    <xf numFmtId="0" fontId="102" fillId="2" borderId="244" xfId="5" applyFont="1" applyFill="1" applyBorder="1" applyProtection="1">
      <protection hidden="1"/>
    </xf>
    <xf numFmtId="0" fontId="102" fillId="2" borderId="245" xfId="5" applyFont="1" applyFill="1" applyBorder="1" applyProtection="1">
      <protection hidden="1"/>
    </xf>
    <xf numFmtId="0" fontId="102" fillId="5" borderId="243" xfId="5" applyFont="1" applyFill="1" applyBorder="1" applyProtection="1">
      <protection hidden="1"/>
    </xf>
    <xf numFmtId="0" fontId="102" fillId="2" borderId="246" xfId="5" applyFont="1" applyFill="1" applyBorder="1" applyProtection="1">
      <protection hidden="1"/>
    </xf>
    <xf numFmtId="0" fontId="102" fillId="2" borderId="0" xfId="5" applyFont="1" applyFill="1" applyBorder="1" applyAlignment="1" applyProtection="1">
      <alignment vertical="center"/>
      <protection hidden="1"/>
    </xf>
    <xf numFmtId="0" fontId="102" fillId="5" borderId="248" xfId="5" applyFont="1" applyFill="1" applyBorder="1" applyAlignment="1" applyProtection="1">
      <alignment vertical="center"/>
      <protection hidden="1"/>
    </xf>
    <xf numFmtId="0" fontId="102" fillId="5" borderId="247" xfId="5" applyFont="1" applyFill="1" applyBorder="1" applyProtection="1">
      <protection hidden="1"/>
    </xf>
    <xf numFmtId="0" fontId="102" fillId="5" borderId="248" xfId="5" applyFont="1" applyFill="1" applyBorder="1" applyProtection="1">
      <protection hidden="1"/>
    </xf>
    <xf numFmtId="0" fontId="135" fillId="5" borderId="0" xfId="5" applyFont="1" applyFill="1" applyBorder="1"/>
    <xf numFmtId="0" fontId="102" fillId="5" borderId="64" xfId="5" applyFont="1" applyFill="1" applyBorder="1"/>
    <xf numFmtId="0" fontId="102" fillId="5" borderId="0" xfId="5" applyFont="1" applyFill="1" applyBorder="1"/>
    <xf numFmtId="0" fontId="102" fillId="5" borderId="248" xfId="5" applyFont="1" applyFill="1" applyBorder="1" applyAlignment="1" applyProtection="1">
      <alignment horizontal="left"/>
      <protection hidden="1"/>
    </xf>
    <xf numFmtId="0" fontId="102" fillId="5" borderId="213" xfId="5" applyFont="1" applyFill="1" applyBorder="1" applyAlignment="1" applyProtection="1">
      <alignment horizontal="left"/>
      <protection hidden="1"/>
    </xf>
    <xf numFmtId="0" fontId="102" fillId="5" borderId="247" xfId="5" applyFont="1" applyFill="1" applyBorder="1" applyAlignment="1" applyProtection="1">
      <alignment horizontal="center"/>
      <protection hidden="1"/>
    </xf>
    <xf numFmtId="0" fontId="105" fillId="5" borderId="0" xfId="5" applyFont="1" applyFill="1" applyProtection="1">
      <protection hidden="1"/>
    </xf>
    <xf numFmtId="0" fontId="105" fillId="5" borderId="0" xfId="5" applyFont="1" applyFill="1" applyBorder="1" applyProtection="1">
      <protection hidden="1"/>
    </xf>
    <xf numFmtId="0" fontId="142" fillId="2" borderId="0" xfId="5" applyFont="1" applyFill="1" applyBorder="1" applyAlignment="1">
      <alignment horizontal="center"/>
    </xf>
    <xf numFmtId="0" fontId="102" fillId="2" borderId="212" xfId="5" applyFont="1" applyFill="1" applyBorder="1" applyAlignment="1" applyProtection="1">
      <alignment horizontal="left" wrapText="1"/>
      <protection hidden="1"/>
    </xf>
    <xf numFmtId="0" fontId="102" fillId="2" borderId="0" xfId="5" applyFont="1" applyFill="1" applyBorder="1" applyAlignment="1" applyProtection="1">
      <alignment horizontal="left" wrapText="1"/>
      <protection hidden="1"/>
    </xf>
    <xf numFmtId="0" fontId="142" fillId="5" borderId="0" xfId="5" applyFont="1" applyFill="1" applyBorder="1" applyAlignment="1">
      <alignment horizontal="center"/>
    </xf>
    <xf numFmtId="0" fontId="102" fillId="5" borderId="250" xfId="5" applyFont="1" applyFill="1" applyBorder="1" applyAlignment="1" applyProtection="1">
      <alignment horizontal="center"/>
      <protection hidden="1"/>
    </xf>
    <xf numFmtId="0" fontId="102" fillId="5" borderId="0" xfId="5" applyFont="1" applyFill="1" applyBorder="1" applyAlignment="1">
      <alignment horizontal="left"/>
    </xf>
    <xf numFmtId="0" fontId="102" fillId="5" borderId="248" xfId="5" applyFont="1" applyFill="1" applyBorder="1" applyAlignment="1" applyProtection="1">
      <alignment horizontal="center"/>
      <protection hidden="1"/>
    </xf>
    <xf numFmtId="0" fontId="102" fillId="5" borderId="213" xfId="5" applyFont="1" applyFill="1" applyBorder="1" applyAlignment="1" applyProtection="1">
      <alignment horizontal="center"/>
      <protection hidden="1"/>
    </xf>
    <xf numFmtId="0" fontId="102" fillId="2" borderId="251" xfId="5" applyFont="1" applyFill="1" applyBorder="1" applyAlignment="1" applyProtection="1">
      <alignment horizontal="center"/>
      <protection hidden="1"/>
    </xf>
    <xf numFmtId="0" fontId="102" fillId="2" borderId="252" xfId="5" applyFont="1" applyFill="1" applyBorder="1" applyProtection="1">
      <protection hidden="1"/>
    </xf>
    <xf numFmtId="0" fontId="102" fillId="2" borderId="251" xfId="5" applyFont="1" applyFill="1" applyBorder="1" applyProtection="1">
      <protection hidden="1"/>
    </xf>
    <xf numFmtId="0" fontId="102" fillId="5" borderId="212" xfId="5" applyFont="1" applyFill="1" applyBorder="1" applyAlignment="1" applyProtection="1">
      <alignment horizontal="left" vertical="center" wrapText="1"/>
      <protection hidden="1"/>
    </xf>
    <xf numFmtId="0" fontId="102" fillId="5" borderId="0" xfId="5" applyFont="1" applyFill="1" applyBorder="1" applyAlignment="1" applyProtection="1">
      <alignment horizontal="left" vertical="center" wrapText="1"/>
      <protection hidden="1"/>
    </xf>
    <xf numFmtId="0" fontId="102" fillId="5" borderId="216" xfId="5" applyFont="1" applyFill="1" applyBorder="1" applyAlignment="1" applyProtection="1">
      <alignment horizontal="left" vertical="center" wrapText="1"/>
      <protection hidden="1"/>
    </xf>
    <xf numFmtId="0" fontId="102" fillId="5" borderId="217" xfId="5" applyFont="1" applyFill="1" applyBorder="1" applyAlignment="1" applyProtection="1">
      <alignment horizontal="left" vertical="center" wrapText="1"/>
      <protection hidden="1"/>
    </xf>
    <xf numFmtId="0" fontId="102" fillId="5" borderId="217" xfId="5" applyFont="1" applyFill="1" applyBorder="1" applyProtection="1">
      <protection hidden="1"/>
    </xf>
    <xf numFmtId="0" fontId="102" fillId="5" borderId="218" xfId="5" applyFont="1" applyFill="1" applyBorder="1" applyAlignment="1" applyProtection="1">
      <alignment horizontal="center"/>
      <protection hidden="1"/>
    </xf>
    <xf numFmtId="0" fontId="102" fillId="5" borderId="0" xfId="5" applyFont="1" applyFill="1" applyAlignment="1" applyProtection="1">
      <alignment horizontal="left" vertical="center"/>
      <protection hidden="1"/>
    </xf>
    <xf numFmtId="0" fontId="143" fillId="2" borderId="0" xfId="5" applyFont="1" applyFill="1" applyAlignment="1" applyProtection="1">
      <alignment horizontal="left"/>
      <protection hidden="1"/>
    </xf>
    <xf numFmtId="0" fontId="135" fillId="2" borderId="0" xfId="5" applyFont="1" applyFill="1" applyProtection="1">
      <protection hidden="1"/>
    </xf>
    <xf numFmtId="0" fontId="143" fillId="2" borderId="0" xfId="5" applyFont="1" applyFill="1" applyProtection="1">
      <protection hidden="1"/>
    </xf>
    <xf numFmtId="0" fontId="122" fillId="2" borderId="0" xfId="5" applyFont="1" applyFill="1" applyAlignment="1">
      <alignment horizontal="center" vertical="center"/>
    </xf>
    <xf numFmtId="0" fontId="105" fillId="2" borderId="0" xfId="5" applyFont="1" applyFill="1" applyAlignment="1">
      <alignment horizontal="left" vertical="center"/>
    </xf>
    <xf numFmtId="0" fontId="102" fillId="2" borderId="0" xfId="5" applyFont="1" applyFill="1"/>
    <xf numFmtId="0" fontId="105" fillId="2" borderId="0" xfId="5" applyFont="1" applyFill="1"/>
    <xf numFmtId="0" fontId="102" fillId="2" borderId="0" xfId="5" applyFont="1" applyFill="1" applyAlignment="1">
      <alignment horizontal="left" vertical="center"/>
    </xf>
    <xf numFmtId="0" fontId="140" fillId="26" borderId="209" xfId="5" applyFont="1" applyFill="1" applyBorder="1"/>
    <xf numFmtId="0" fontId="140" fillId="26" borderId="210" xfId="5" applyFont="1" applyFill="1" applyBorder="1"/>
    <xf numFmtId="0" fontId="140" fillId="26" borderId="211" xfId="5" applyFont="1" applyFill="1" applyBorder="1"/>
    <xf numFmtId="0" fontId="140" fillId="26" borderId="212" xfId="5" applyFont="1" applyFill="1" applyBorder="1" applyAlignment="1">
      <alignment horizontal="left" vertical="center"/>
    </xf>
    <xf numFmtId="0" fontId="140" fillId="26" borderId="0" xfId="5" applyFont="1" applyFill="1" applyBorder="1" applyAlignment="1">
      <alignment horizontal="center"/>
    </xf>
    <xf numFmtId="0" fontId="140" fillId="26" borderId="0" xfId="5" applyFont="1" applyFill="1" applyBorder="1"/>
    <xf numFmtId="0" fontId="140" fillId="26" borderId="213" xfId="5" applyFont="1" applyFill="1" applyBorder="1"/>
    <xf numFmtId="0" fontId="140" fillId="26" borderId="216" xfId="5" applyFont="1" applyFill="1" applyBorder="1" applyAlignment="1">
      <alignment horizontal="left" vertical="center" wrapText="1"/>
    </xf>
    <xf numFmtId="0" fontId="140" fillId="26" borderId="217" xfId="5" applyFont="1" applyFill="1" applyBorder="1" applyAlignment="1">
      <alignment horizontal="left" vertical="center" wrapText="1"/>
    </xf>
    <xf numFmtId="0" fontId="140" fillId="26" borderId="217" xfId="5" applyFont="1" applyFill="1" applyBorder="1" applyAlignment="1">
      <alignment horizontal="center"/>
    </xf>
    <xf numFmtId="0" fontId="140" fillId="26" borderId="218" xfId="5" applyFont="1" applyFill="1" applyBorder="1" applyAlignment="1">
      <alignment horizontal="center"/>
    </xf>
    <xf numFmtId="0" fontId="102" fillId="5" borderId="0" xfId="5" applyFont="1" applyFill="1"/>
    <xf numFmtId="0" fontId="102" fillId="5" borderId="0" xfId="5" applyFont="1" applyFill="1" applyAlignment="1">
      <alignment horizontal="left" vertical="center" wrapText="1"/>
    </xf>
    <xf numFmtId="0" fontId="120" fillId="5" borderId="0" xfId="5" applyFont="1" applyFill="1" applyAlignment="1">
      <alignment horizontal="center" vertical="center" wrapText="1"/>
    </xf>
    <xf numFmtId="0" fontId="120" fillId="5" borderId="0" xfId="0" applyFont="1" applyFill="1" applyAlignment="1">
      <alignment horizontal="center"/>
    </xf>
    <xf numFmtId="0" fontId="102" fillId="5" borderId="0" xfId="5" applyFont="1" applyFill="1" applyAlignment="1">
      <alignment horizontal="center"/>
    </xf>
    <xf numFmtId="0" fontId="102" fillId="2" borderId="0" xfId="5" applyFont="1" applyFill="1" applyAlignment="1">
      <alignment horizontal="left" vertical="center" wrapText="1"/>
    </xf>
    <xf numFmtId="0" fontId="102" fillId="2" borderId="0" xfId="5" applyFont="1" applyFill="1" applyAlignment="1">
      <alignment horizontal="center"/>
    </xf>
    <xf numFmtId="0" fontId="102" fillId="2" borderId="209" xfId="5" applyFont="1" applyFill="1" applyBorder="1" applyAlignment="1">
      <alignment horizontal="left" vertical="center" wrapText="1"/>
    </xf>
    <xf numFmtId="0" fontId="102" fillId="2" borderId="210" xfId="5" applyFont="1" applyFill="1" applyBorder="1" applyAlignment="1">
      <alignment horizontal="left" vertical="center" wrapText="1"/>
    </xf>
    <xf numFmtId="0" fontId="102" fillId="2" borderId="210" xfId="5" applyFont="1" applyFill="1" applyBorder="1" applyAlignment="1">
      <alignment horizontal="center"/>
    </xf>
    <xf numFmtId="0" fontId="102" fillId="2" borderId="210" xfId="5" applyFont="1" applyFill="1" applyBorder="1"/>
    <xf numFmtId="0" fontId="102" fillId="2" borderId="211" xfId="5" applyFont="1" applyFill="1" applyBorder="1" applyAlignment="1">
      <alignment horizontal="center"/>
    </xf>
    <xf numFmtId="0" fontId="102" fillId="2" borderId="212" xfId="5" applyFont="1" applyFill="1" applyBorder="1"/>
    <xf numFmtId="0" fontId="102" fillId="2" borderId="0" xfId="5" applyFont="1" applyFill="1" applyBorder="1" applyAlignment="1">
      <alignment horizontal="left" vertical="center" wrapText="1"/>
    </xf>
    <xf numFmtId="0" fontId="102" fillId="2" borderId="0" xfId="5" applyFont="1" applyFill="1" applyBorder="1" applyAlignment="1">
      <alignment horizontal="center"/>
    </xf>
    <xf numFmtId="0" fontId="102" fillId="2" borderId="0" xfId="5" applyFont="1" applyFill="1" applyBorder="1" applyAlignment="1">
      <alignment horizontal="left"/>
    </xf>
    <xf numFmtId="0" fontId="102" fillId="2" borderId="0" xfId="5" applyFont="1" applyFill="1" applyBorder="1"/>
    <xf numFmtId="0" fontId="102" fillId="2" borderId="213" xfId="5" applyFont="1" applyFill="1" applyBorder="1" applyAlignment="1">
      <alignment horizontal="center"/>
    </xf>
    <xf numFmtId="0" fontId="102" fillId="2" borderId="212" xfId="5" applyFont="1" applyFill="1" applyBorder="1" applyAlignment="1">
      <alignment horizontal="left" vertical="center" wrapText="1"/>
    </xf>
    <xf numFmtId="0" fontId="113" fillId="5" borderId="0" xfId="0" applyFont="1" applyFill="1" applyBorder="1"/>
    <xf numFmtId="0" fontId="102" fillId="5" borderId="0" xfId="5" applyFont="1" applyFill="1" applyBorder="1" applyAlignment="1">
      <alignment horizontal="center"/>
    </xf>
    <xf numFmtId="0" fontId="102" fillId="2" borderId="213" xfId="5" applyFont="1" applyFill="1" applyBorder="1"/>
    <xf numFmtId="0" fontId="102" fillId="2" borderId="213" xfId="5" applyFont="1" applyFill="1" applyBorder="1" applyAlignment="1">
      <alignment horizontal="left"/>
    </xf>
    <xf numFmtId="0" fontId="102" fillId="5" borderId="213" xfId="5" applyFont="1" applyFill="1" applyBorder="1" applyAlignment="1">
      <alignment horizontal="center"/>
    </xf>
    <xf numFmtId="0" fontId="102" fillId="5" borderId="213" xfId="5" applyFont="1" applyFill="1" applyBorder="1"/>
    <xf numFmtId="0" fontId="113" fillId="5" borderId="213" xfId="0" applyFont="1" applyFill="1" applyBorder="1"/>
    <xf numFmtId="0" fontId="142" fillId="2" borderId="0" xfId="5" applyFont="1" applyFill="1" applyBorder="1" applyAlignment="1" applyProtection="1">
      <alignment horizontal="center"/>
      <protection locked="0"/>
    </xf>
    <xf numFmtId="0" fontId="142" fillId="5" borderId="0" xfId="5" applyFont="1" applyFill="1" applyBorder="1" applyAlignment="1" applyProtection="1">
      <alignment horizontal="center"/>
      <protection locked="0"/>
    </xf>
    <xf numFmtId="0" fontId="102" fillId="2" borderId="216" xfId="5" applyFont="1" applyFill="1" applyBorder="1" applyAlignment="1">
      <alignment horizontal="left" vertical="center" wrapText="1"/>
    </xf>
    <xf numFmtId="0" fontId="102" fillId="2" borderId="217" xfId="5" applyFont="1" applyFill="1" applyBorder="1" applyAlignment="1">
      <alignment horizontal="left" vertical="center" wrapText="1"/>
    </xf>
    <xf numFmtId="0" fontId="102" fillId="2" borderId="217" xfId="5" applyFont="1" applyFill="1" applyBorder="1" applyAlignment="1">
      <alignment horizontal="center"/>
    </xf>
    <xf numFmtId="0" fontId="102" fillId="2" borderId="217" xfId="5" applyFont="1" applyFill="1" applyBorder="1"/>
    <xf numFmtId="0" fontId="102" fillId="2" borderId="218" xfId="5" applyFont="1" applyFill="1" applyBorder="1" applyAlignment="1">
      <alignment horizontal="center"/>
    </xf>
    <xf numFmtId="0" fontId="135" fillId="2" borderId="0" xfId="5" applyFont="1" applyFill="1" applyBorder="1"/>
    <xf numFmtId="0" fontId="102" fillId="5" borderId="0" xfId="0" applyFont="1" applyFill="1" applyBorder="1"/>
    <xf numFmtId="0" fontId="102" fillId="2" borderId="253" xfId="5" applyFont="1" applyFill="1" applyBorder="1"/>
    <xf numFmtId="0" fontId="102" fillId="2" borderId="254" xfId="5" applyFont="1" applyFill="1" applyBorder="1"/>
    <xf numFmtId="0" fontId="102" fillId="2" borderId="255" xfId="5" applyFont="1" applyFill="1" applyBorder="1"/>
    <xf numFmtId="0" fontId="102" fillId="2" borderId="239" xfId="5" applyFont="1" applyFill="1" applyBorder="1"/>
    <xf numFmtId="0" fontId="102" fillId="2" borderId="240" xfId="5" applyFont="1" applyFill="1" applyBorder="1"/>
    <xf numFmtId="0" fontId="102" fillId="2" borderId="225" xfId="5" applyFont="1" applyFill="1" applyBorder="1"/>
    <xf numFmtId="0" fontId="102" fillId="2" borderId="226" xfId="5" applyFont="1" applyFill="1" applyBorder="1"/>
    <xf numFmtId="0" fontId="102" fillId="2" borderId="227" xfId="5" applyFont="1" applyFill="1" applyBorder="1"/>
    <xf numFmtId="0" fontId="102" fillId="2" borderId="0" xfId="5" applyFont="1" applyFill="1" applyAlignment="1" applyProtection="1">
      <alignment horizontal="center" vertical="center"/>
      <protection hidden="1"/>
    </xf>
    <xf numFmtId="0" fontId="102" fillId="0" borderId="0" xfId="0" applyFont="1" applyProtection="1">
      <protection hidden="1"/>
    </xf>
    <xf numFmtId="0" fontId="108" fillId="0" borderId="209" xfId="0" applyFont="1" applyBorder="1" applyProtection="1">
      <protection hidden="1"/>
    </xf>
    <xf numFmtId="0" fontId="108" fillId="0" borderId="210" xfId="0" applyFont="1" applyBorder="1" applyProtection="1">
      <protection hidden="1"/>
    </xf>
    <xf numFmtId="0" fontId="102" fillId="0" borderId="210" xfId="0" applyFont="1" applyBorder="1" applyProtection="1">
      <protection hidden="1"/>
    </xf>
    <xf numFmtId="0" fontId="102" fillId="0" borderId="211" xfId="0" applyFont="1" applyBorder="1" applyProtection="1">
      <protection hidden="1"/>
    </xf>
    <xf numFmtId="0" fontId="102" fillId="0" borderId="212" xfId="0" applyFont="1" applyBorder="1" applyProtection="1">
      <protection hidden="1"/>
    </xf>
    <xf numFmtId="0" fontId="102" fillId="0" borderId="0" xfId="0" applyFont="1" applyBorder="1" applyProtection="1">
      <protection hidden="1"/>
    </xf>
    <xf numFmtId="0" fontId="113" fillId="0" borderId="0" xfId="0" applyFont="1" applyBorder="1" applyProtection="1">
      <protection hidden="1"/>
    </xf>
    <xf numFmtId="0" fontId="102" fillId="0" borderId="213" xfId="0" applyFont="1" applyBorder="1" applyProtection="1">
      <protection hidden="1"/>
    </xf>
    <xf numFmtId="0" fontId="102" fillId="0" borderId="0" xfId="0" applyFont="1" applyBorder="1" applyAlignment="1" applyProtection="1">
      <alignment horizontal="center"/>
      <protection hidden="1"/>
    </xf>
    <xf numFmtId="0" fontId="142" fillId="0" borderId="206" xfId="0" applyFont="1" applyBorder="1" applyAlignment="1" applyProtection="1">
      <alignment horizontal="center"/>
      <protection locked="0"/>
    </xf>
    <xf numFmtId="0" fontId="105" fillId="0" borderId="0" xfId="0" applyFont="1" applyBorder="1" applyProtection="1">
      <protection hidden="1"/>
    </xf>
    <xf numFmtId="0" fontId="102" fillId="0" borderId="0" xfId="0" applyFont="1" applyBorder="1" applyAlignment="1" applyProtection="1">
      <alignment horizontal="left"/>
      <protection hidden="1"/>
    </xf>
    <xf numFmtId="0" fontId="102" fillId="0" borderId="216" xfId="0" applyFont="1" applyBorder="1" applyProtection="1">
      <protection hidden="1"/>
    </xf>
    <xf numFmtId="0" fontId="102" fillId="0" borderId="217" xfId="0" applyFont="1" applyBorder="1" applyProtection="1">
      <protection hidden="1"/>
    </xf>
    <xf numFmtId="0" fontId="102" fillId="0" borderId="217" xfId="0" applyFont="1" applyBorder="1" applyAlignment="1" applyProtection="1">
      <alignment horizontal="left"/>
      <protection hidden="1"/>
    </xf>
    <xf numFmtId="0" fontId="102" fillId="0" borderId="218" xfId="0" applyFont="1" applyBorder="1" applyProtection="1">
      <protection hidden="1"/>
    </xf>
    <xf numFmtId="0" fontId="102" fillId="0" borderId="0" xfId="0" applyFont="1" applyAlignment="1" applyProtection="1">
      <alignment horizontal="left"/>
      <protection hidden="1"/>
    </xf>
    <xf numFmtId="0" fontId="102" fillId="0" borderId="209" xfId="0" applyFont="1" applyBorder="1" applyProtection="1">
      <protection hidden="1"/>
    </xf>
    <xf numFmtId="0" fontId="102" fillId="0" borderId="210" xfId="0" applyFont="1" applyBorder="1" applyAlignment="1" applyProtection="1">
      <alignment horizontal="left"/>
      <protection hidden="1"/>
    </xf>
    <xf numFmtId="0" fontId="108" fillId="0" borderId="0" xfId="0" applyFont="1" applyProtection="1">
      <protection hidden="1"/>
    </xf>
    <xf numFmtId="0" fontId="113" fillId="0" borderId="0" xfId="0" applyFont="1" applyProtection="1">
      <protection hidden="1"/>
    </xf>
    <xf numFmtId="0" fontId="105" fillId="0" borderId="209" xfId="0" applyFont="1" applyBorder="1" applyProtection="1">
      <protection hidden="1"/>
    </xf>
    <xf numFmtId="0" fontId="105" fillId="0" borderId="212" xfId="0" applyFont="1" applyBorder="1" applyProtection="1">
      <protection hidden="1"/>
    </xf>
    <xf numFmtId="0" fontId="113" fillId="0" borderId="212" xfId="0" applyFont="1" applyBorder="1" applyAlignment="1" applyProtection="1">
      <alignment wrapText="1"/>
      <protection hidden="1"/>
    </xf>
    <xf numFmtId="0" fontId="113" fillId="0" borderId="0" xfId="0" applyFont="1" applyBorder="1" applyAlignment="1" applyProtection="1">
      <alignment wrapText="1"/>
      <protection hidden="1"/>
    </xf>
    <xf numFmtId="0" fontId="142" fillId="0" borderId="0" xfId="0" applyFont="1" applyBorder="1" applyAlignment="1" applyProtection="1">
      <alignment horizontal="center"/>
      <protection locked="0"/>
    </xf>
    <xf numFmtId="0" fontId="102" fillId="0" borderId="212" xfId="0" applyFont="1" applyBorder="1" applyAlignment="1" applyProtection="1">
      <alignment horizontal="left" wrapText="1"/>
      <protection hidden="1"/>
    </xf>
    <xf numFmtId="0" fontId="113" fillId="0" borderId="0" xfId="0" applyFont="1" applyBorder="1" applyAlignment="1" applyProtection="1">
      <alignment horizontal="left" wrapText="1"/>
      <protection hidden="1"/>
    </xf>
    <xf numFmtId="0" fontId="142" fillId="0" borderId="64" xfId="0" applyFont="1" applyBorder="1" applyAlignment="1" applyProtection="1">
      <alignment horizontal="center"/>
      <protection locked="0"/>
    </xf>
    <xf numFmtId="0" fontId="142" fillId="0" borderId="59" xfId="0" applyFont="1" applyBorder="1" applyAlignment="1" applyProtection="1">
      <alignment horizontal="center"/>
      <protection locked="0"/>
    </xf>
    <xf numFmtId="0" fontId="102" fillId="0" borderId="0" xfId="0" applyFont="1" applyBorder="1" applyAlignment="1" applyProtection="1">
      <alignment wrapText="1"/>
      <protection hidden="1"/>
    </xf>
    <xf numFmtId="0" fontId="102" fillId="0" borderId="0" xfId="0" applyFont="1" applyBorder="1" applyAlignment="1" applyProtection="1">
      <alignment vertical="top" wrapText="1"/>
      <protection hidden="1"/>
    </xf>
    <xf numFmtId="0" fontId="104" fillId="0" borderId="0" xfId="0" applyFont="1" applyBorder="1" applyAlignment="1" applyProtection="1">
      <alignment wrapText="1"/>
      <protection hidden="1"/>
    </xf>
    <xf numFmtId="0" fontId="102" fillId="0" borderId="0" xfId="0" applyFont="1" applyAlignment="1" applyProtection="1">
      <alignment wrapText="1"/>
      <protection hidden="1"/>
    </xf>
    <xf numFmtId="0" fontId="105" fillId="0" borderId="0" xfId="0" applyFont="1" applyAlignment="1" applyProtection="1">
      <alignment wrapText="1"/>
      <protection hidden="1"/>
    </xf>
    <xf numFmtId="0" fontId="102" fillId="0" borderId="0" xfId="0" applyFont="1" applyAlignment="1" applyProtection="1">
      <alignment horizontal="justify"/>
      <protection hidden="1"/>
    </xf>
    <xf numFmtId="0" fontId="102" fillId="26" borderId="0" xfId="0" applyFont="1" applyFill="1" applyAlignment="1" applyProtection="1">
      <alignment horizontal="justify"/>
      <protection hidden="1"/>
    </xf>
    <xf numFmtId="0" fontId="113" fillId="26" borderId="0" xfId="0" applyFont="1" applyFill="1" applyProtection="1">
      <protection hidden="1"/>
    </xf>
    <xf numFmtId="0" fontId="140" fillId="26" borderId="0" xfId="0" applyFont="1" applyFill="1" applyProtection="1">
      <protection hidden="1"/>
    </xf>
    <xf numFmtId="0" fontId="102" fillId="26" borderId="0" xfId="0" applyFont="1" applyFill="1" applyProtection="1">
      <protection hidden="1"/>
    </xf>
    <xf numFmtId="0" fontId="142" fillId="2" borderId="0" xfId="5" applyFont="1" applyFill="1" applyBorder="1" applyProtection="1">
      <protection locked="0"/>
    </xf>
    <xf numFmtId="0" fontId="128" fillId="0" borderId="74" xfId="0" applyFont="1" applyBorder="1" applyAlignment="1" applyProtection="1">
      <alignment horizontal="justify" vertical="top" wrapText="1"/>
      <protection hidden="1"/>
    </xf>
    <xf numFmtId="0" fontId="128" fillId="0" borderId="89" xfId="0" applyFont="1" applyBorder="1" applyAlignment="1" applyProtection="1">
      <alignment horizontal="justify" vertical="top" wrapText="1"/>
      <protection hidden="1"/>
    </xf>
    <xf numFmtId="0" fontId="119" fillId="0" borderId="80" xfId="0" applyFont="1" applyBorder="1" applyAlignment="1" applyProtection="1">
      <alignment horizontal="justify" vertical="top" wrapText="1"/>
      <protection hidden="1"/>
    </xf>
    <xf numFmtId="0" fontId="119" fillId="0" borderId="81" xfId="0" applyFont="1" applyBorder="1" applyAlignment="1" applyProtection="1">
      <alignment horizontal="justify" vertical="top" wrapText="1"/>
      <protection hidden="1"/>
    </xf>
    <xf numFmtId="0" fontId="119" fillId="0" borderId="77" xfId="0" applyFont="1" applyBorder="1" applyAlignment="1" applyProtection="1">
      <alignment horizontal="justify" vertical="top" wrapText="1"/>
      <protection hidden="1"/>
    </xf>
    <xf numFmtId="0" fontId="119" fillId="0" borderId="57" xfId="0" applyFont="1" applyBorder="1" applyAlignment="1">
      <alignment vertical="top" wrapText="1"/>
    </xf>
    <xf numFmtId="0" fontId="119" fillId="0" borderId="83" xfId="0" applyFont="1" applyBorder="1" applyAlignment="1">
      <alignment vertical="top" wrapText="1"/>
    </xf>
    <xf numFmtId="0" fontId="119" fillId="0" borderId="83" xfId="0" applyFont="1" applyBorder="1" applyAlignment="1" applyProtection="1">
      <alignment horizontal="justify" vertical="top" wrapText="1"/>
      <protection hidden="1"/>
    </xf>
    <xf numFmtId="0" fontId="119" fillId="0" borderId="76" xfId="0" applyFont="1" applyBorder="1" applyAlignment="1" applyProtection="1">
      <alignment horizontal="justify" vertical="top" wrapText="1"/>
      <protection hidden="1"/>
    </xf>
    <xf numFmtId="0" fontId="119" fillId="0" borderId="57" xfId="0" applyFont="1" applyBorder="1" applyAlignment="1" applyProtection="1">
      <alignment horizontal="justify" vertical="top" wrapText="1"/>
      <protection hidden="1"/>
    </xf>
    <xf numFmtId="0" fontId="119" fillId="0" borderId="57" xfId="0" applyFont="1" applyBorder="1" applyAlignment="1" applyProtection="1">
      <alignment horizontal="left" vertical="top" wrapText="1"/>
      <protection hidden="1"/>
    </xf>
    <xf numFmtId="0" fontId="119" fillId="0" borderId="80" xfId="0" applyFont="1" applyBorder="1" applyAlignment="1" applyProtection="1">
      <alignment horizontal="left" vertical="top" wrapText="1"/>
      <protection hidden="1"/>
    </xf>
    <xf numFmtId="0" fontId="132" fillId="0" borderId="4" xfId="0" applyFont="1" applyBorder="1" applyAlignment="1">
      <alignment vertical="center"/>
    </xf>
    <xf numFmtId="0" fontId="132" fillId="0" borderId="4" xfId="0" applyFont="1" applyBorder="1" applyAlignment="1">
      <alignment horizontal="justify" vertical="center"/>
    </xf>
    <xf numFmtId="0" fontId="132" fillId="0" borderId="133" xfId="0" applyFont="1" applyBorder="1" applyAlignment="1">
      <alignment vertical="center"/>
    </xf>
    <xf numFmtId="0" fontId="145" fillId="0" borderId="4" xfId="0" applyFont="1" applyBorder="1" applyAlignment="1">
      <alignment horizontal="left" vertical="center"/>
    </xf>
    <xf numFmtId="0" fontId="132" fillId="0" borderId="0" xfId="0" applyFont="1" applyAlignment="1">
      <alignment vertical="center"/>
    </xf>
    <xf numFmtId="0" fontId="132" fillId="0" borderId="0" xfId="0" applyFont="1"/>
    <xf numFmtId="0" fontId="132" fillId="0" borderId="0" xfId="0" applyFont="1" applyAlignment="1">
      <alignment horizontal="justify" vertical="center"/>
    </xf>
    <xf numFmtId="0" fontId="119" fillId="0" borderId="0" xfId="0" applyFont="1" applyAlignment="1">
      <alignment vertical="center"/>
    </xf>
    <xf numFmtId="0" fontId="145" fillId="0" borderId="0" xfId="0" applyFont="1" applyAlignment="1">
      <alignment horizontal="left" vertical="center"/>
    </xf>
    <xf numFmtId="0" fontId="147" fillId="0" borderId="0" xfId="0" applyFont="1" applyProtection="1">
      <protection hidden="1"/>
    </xf>
    <xf numFmtId="0" fontId="102" fillId="0" borderId="0" xfId="0" applyFont="1" applyAlignment="1">
      <alignment horizontal="left" vertical="center" wrapText="1"/>
    </xf>
    <xf numFmtId="0" fontId="102" fillId="0" borderId="0" xfId="0" applyFont="1" applyAlignment="1">
      <alignment horizontal="justify" vertical="center" wrapText="1"/>
    </xf>
    <xf numFmtId="0" fontId="114" fillId="0" borderId="0" xfId="0" applyFont="1" applyAlignment="1">
      <alignment horizontal="justify" vertical="center" wrapText="1"/>
    </xf>
    <xf numFmtId="0" fontId="105" fillId="0" borderId="1" xfId="0" applyFont="1" applyBorder="1" applyAlignment="1" applyProtection="1">
      <alignment horizontal="center" vertical="center" wrapText="1"/>
      <protection locked="0"/>
    </xf>
    <xf numFmtId="0" fontId="105" fillId="0" borderId="1" xfId="0" applyFont="1" applyBorder="1" applyAlignment="1" applyProtection="1">
      <alignment horizontal="center" vertical="center"/>
      <protection locked="0"/>
    </xf>
    <xf numFmtId="0" fontId="105" fillId="0" borderId="1" xfId="0" applyFont="1" applyBorder="1" applyAlignment="1">
      <alignment horizontal="justify" vertical="center" wrapText="1"/>
    </xf>
    <xf numFmtId="0" fontId="149" fillId="0" borderId="133" xfId="0" applyFont="1" applyBorder="1" applyAlignment="1">
      <alignment horizontal="justify" vertical="center" wrapText="1"/>
    </xf>
    <xf numFmtId="0" fontId="105" fillId="0" borderId="4" xfId="0" applyFont="1" applyBorder="1" applyAlignment="1" applyProtection="1">
      <alignment horizontal="center" vertical="center" wrapText="1"/>
      <protection locked="0"/>
    </xf>
    <xf numFmtId="0" fontId="105" fillId="0" borderId="4" xfId="0" applyFont="1" applyBorder="1" applyAlignment="1" applyProtection="1">
      <alignment horizontal="center" vertical="center"/>
      <protection locked="0"/>
    </xf>
    <xf numFmtId="0" fontId="102" fillId="0" borderId="133" xfId="0" applyFont="1" applyBorder="1" applyAlignment="1">
      <alignment horizontal="justify" vertical="center" wrapText="1"/>
    </xf>
    <xf numFmtId="0" fontId="102" fillId="0" borderId="1" xfId="0" applyFont="1" applyBorder="1" applyAlignment="1">
      <alignment horizontal="justify" vertical="center" wrapText="1"/>
    </xf>
    <xf numFmtId="0" fontId="149" fillId="0" borderId="20" xfId="0" applyFont="1" applyBorder="1" applyAlignment="1">
      <alignment horizontal="left" vertical="center" wrapText="1"/>
    </xf>
    <xf numFmtId="0" fontId="149" fillId="0" borderId="149" xfId="0" applyFont="1" applyBorder="1" applyAlignment="1">
      <alignment horizontal="justify" vertical="center" wrapText="1"/>
    </xf>
    <xf numFmtId="0" fontId="105" fillId="0" borderId="150" xfId="0" applyFont="1" applyBorder="1" applyAlignment="1">
      <alignment horizontal="justify" vertical="center" wrapText="1"/>
    </xf>
    <xf numFmtId="0" fontId="105" fillId="0" borderId="133" xfId="0" applyFont="1" applyBorder="1" applyAlignment="1" applyProtection="1">
      <alignment horizontal="center" vertical="center" wrapText="1"/>
      <protection locked="0"/>
    </xf>
    <xf numFmtId="0" fontId="102" fillId="0" borderId="133" xfId="0" applyFont="1" applyBorder="1" applyAlignment="1">
      <alignment vertical="center" wrapText="1"/>
    </xf>
    <xf numFmtId="0" fontId="149" fillId="0" borderId="0" xfId="0" applyFont="1" applyAlignment="1">
      <alignment horizontal="left" vertical="center" wrapText="1"/>
    </xf>
    <xf numFmtId="0" fontId="149" fillId="0" borderId="0" xfId="0" applyFont="1" applyAlignment="1">
      <alignment horizontal="justify" vertical="center" wrapText="1"/>
    </xf>
    <xf numFmtId="0" fontId="105" fillId="0" borderId="0" xfId="0" applyFont="1" applyAlignment="1">
      <alignment horizontal="justify" vertical="center" wrapText="1"/>
    </xf>
    <xf numFmtId="0" fontId="105" fillId="0" borderId="2" xfId="0" applyFont="1" applyBorder="1" applyAlignment="1">
      <alignment horizontal="center" vertical="center" wrapText="1"/>
    </xf>
    <xf numFmtId="0" fontId="105" fillId="0" borderId="2" xfId="0" applyFont="1" applyBorder="1" applyAlignment="1">
      <alignment horizontal="center" vertical="center"/>
    </xf>
    <xf numFmtId="0" fontId="105" fillId="0" borderId="3" xfId="0" applyFont="1" applyBorder="1" applyAlignment="1">
      <alignment horizontal="center" vertical="center" wrapText="1"/>
    </xf>
    <xf numFmtId="0" fontId="105" fillId="0" borderId="3" xfId="0" applyFont="1" applyBorder="1" applyAlignment="1">
      <alignment horizontal="center" vertical="center"/>
    </xf>
    <xf numFmtId="0" fontId="122" fillId="6" borderId="1" xfId="0" applyFont="1" applyFill="1" applyBorder="1" applyAlignment="1">
      <alignment vertical="center" wrapText="1"/>
    </xf>
    <xf numFmtId="0" fontId="122" fillId="0" borderId="151" xfId="0" applyFont="1" applyBorder="1" applyAlignment="1">
      <alignment vertical="center" wrapText="1"/>
    </xf>
    <xf numFmtId="0" fontId="122" fillId="0" borderId="0" xfId="0" applyFont="1" applyAlignment="1">
      <alignment vertical="center" wrapText="1"/>
    </xf>
    <xf numFmtId="0" fontId="151" fillId="0" borderId="0" xfId="0" applyFont="1" applyProtection="1">
      <protection hidden="1"/>
    </xf>
    <xf numFmtId="0" fontId="122" fillId="0" borderId="0" xfId="0" applyFont="1" applyAlignment="1">
      <alignment vertical="center"/>
    </xf>
    <xf numFmtId="0" fontId="105" fillId="0" borderId="0" xfId="0" applyFont="1" applyAlignment="1">
      <alignment horizontal="left" vertical="center" wrapText="1"/>
    </xf>
    <xf numFmtId="0" fontId="105" fillId="0" borderId="2" xfId="0" applyFont="1" applyBorder="1" applyAlignment="1" applyProtection="1">
      <alignment horizontal="center" vertical="center" wrapText="1"/>
      <protection locked="0"/>
    </xf>
    <xf numFmtId="0" fontId="105" fillId="0" borderId="2" xfId="0" applyFont="1" applyBorder="1" applyAlignment="1" applyProtection="1">
      <alignment horizontal="center" vertical="center"/>
      <protection locked="0"/>
    </xf>
    <xf numFmtId="0" fontId="102" fillId="0" borderId="1" xfId="0" applyFont="1" applyBorder="1" applyAlignment="1">
      <alignment vertical="center" wrapText="1"/>
    </xf>
    <xf numFmtId="0" fontId="105" fillId="0" borderId="1" xfId="0" applyFont="1" applyBorder="1" applyAlignment="1">
      <alignment vertical="center" wrapText="1"/>
    </xf>
    <xf numFmtId="0" fontId="150" fillId="0" borderId="33" xfId="0" applyFont="1" applyBorder="1" applyAlignment="1">
      <alignment horizontal="justify" vertical="center" wrapText="1"/>
    </xf>
    <xf numFmtId="0" fontId="102" fillId="0" borderId="0" xfId="0" applyFont="1" applyAlignment="1">
      <alignment horizontal="center" vertical="center" wrapText="1"/>
    </xf>
    <xf numFmtId="0" fontId="102" fillId="0" borderId="0" xfId="0" applyFont="1" applyAlignment="1">
      <alignment horizontal="center" vertical="center"/>
    </xf>
    <xf numFmtId="0" fontId="150" fillId="0" borderId="33" xfId="0" applyFont="1" applyBorder="1" applyAlignment="1">
      <alignment vertical="center" wrapText="1"/>
    </xf>
    <xf numFmtId="0" fontId="150" fillId="0" borderId="33" xfId="0" applyFont="1" applyBorder="1" applyAlignment="1">
      <alignment horizontal="left" vertical="center" wrapText="1"/>
    </xf>
    <xf numFmtId="0" fontId="148" fillId="0" borderId="33" xfId="0" applyFont="1" applyBorder="1" applyAlignment="1">
      <alignment horizontal="justify" vertical="center" wrapText="1"/>
    </xf>
    <xf numFmtId="0" fontId="102" fillId="0" borderId="133" xfId="0" applyFont="1" applyBorder="1" applyAlignment="1">
      <alignment horizontal="left" vertical="center" wrapText="1"/>
    </xf>
    <xf numFmtId="0" fontId="105"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center" vertical="center"/>
      <protection locked="0"/>
    </xf>
    <xf numFmtId="0" fontId="105" fillId="0" borderId="133" xfId="0" applyFont="1" applyBorder="1" applyAlignment="1">
      <alignment horizontal="justify" vertical="center" wrapText="1"/>
    </xf>
    <xf numFmtId="0" fontId="105" fillId="0" borderId="2" xfId="0" applyFont="1" applyBorder="1" applyAlignment="1">
      <alignment horizontal="left" vertical="center" wrapText="1"/>
    </xf>
    <xf numFmtId="0" fontId="105" fillId="0" borderId="2" xfId="0" applyFont="1" applyBorder="1" applyAlignment="1">
      <alignment horizontal="justify" vertical="center" wrapText="1"/>
    </xf>
    <xf numFmtId="0" fontId="102" fillId="0" borderId="2" xfId="0" applyFont="1" applyBorder="1" applyAlignment="1">
      <alignment horizontal="justify" vertical="center" wrapText="1"/>
    </xf>
    <xf numFmtId="0" fontId="105" fillId="0" borderId="0" xfId="0" applyFont="1" applyAlignment="1" applyProtection="1">
      <alignment horizontal="center" vertical="center" wrapText="1"/>
      <protection locked="0"/>
    </xf>
    <xf numFmtId="0" fontId="105" fillId="0" borderId="0" xfId="0" applyFont="1" applyAlignment="1" applyProtection="1">
      <alignment horizontal="center" vertical="center"/>
      <protection locked="0"/>
    </xf>
    <xf numFmtId="0" fontId="122" fillId="14" borderId="1" xfId="0" applyFont="1" applyFill="1" applyBorder="1" applyAlignment="1">
      <alignment horizontal="justify" vertical="center" wrapText="1"/>
    </xf>
    <xf numFmtId="0" fontId="105" fillId="0" borderId="1" xfId="0" applyFont="1" applyBorder="1" applyAlignment="1">
      <alignment horizontal="left" vertical="center" wrapText="1"/>
    </xf>
    <xf numFmtId="0" fontId="119" fillId="0" borderId="2" xfId="0" applyFont="1" applyBorder="1" applyProtection="1">
      <protection hidden="1"/>
    </xf>
    <xf numFmtId="0" fontId="105" fillId="0" borderId="0" xfId="0" applyFont="1" applyAlignment="1">
      <alignment horizontal="center" vertical="center" wrapText="1"/>
    </xf>
    <xf numFmtId="0" fontId="105" fillId="0" borderId="0" xfId="0" applyFont="1" applyAlignment="1">
      <alignment horizontal="center" vertical="center"/>
    </xf>
    <xf numFmtId="0" fontId="113" fillId="0" borderId="0" xfId="0" applyFont="1" applyAlignment="1">
      <alignment horizontal="left" vertical="center"/>
    </xf>
    <xf numFmtId="0" fontId="113" fillId="0" borderId="0" xfId="0" applyFont="1" applyAlignment="1">
      <alignment vertical="center"/>
    </xf>
    <xf numFmtId="0" fontId="114" fillId="0" borderId="0" xfId="0" applyFont="1" applyAlignment="1">
      <alignment horizontal="left" vertical="center"/>
    </xf>
    <xf numFmtId="0" fontId="102" fillId="0" borderId="0" xfId="0" applyFont="1" applyAlignment="1">
      <alignment vertical="center"/>
    </xf>
    <xf numFmtId="0" fontId="122" fillId="6" borderId="4" xfId="0" applyFont="1" applyFill="1" applyBorder="1" applyAlignment="1">
      <alignment horizontal="left" vertical="center" wrapText="1"/>
    </xf>
    <xf numFmtId="0" fontId="102" fillId="0" borderId="2" xfId="0" applyFont="1" applyBorder="1" applyAlignment="1">
      <alignment vertical="center"/>
    </xf>
    <xf numFmtId="0" fontId="113" fillId="0" borderId="151" xfId="0" applyFont="1" applyBorder="1" applyAlignment="1">
      <alignment vertical="center"/>
    </xf>
    <xf numFmtId="0" fontId="102" fillId="0" borderId="149" xfId="0" applyFont="1" applyBorder="1" applyAlignment="1">
      <alignment vertical="center"/>
    </xf>
    <xf numFmtId="0" fontId="121" fillId="0" borderId="151" xfId="0" applyFont="1" applyBorder="1" applyAlignment="1">
      <alignment horizontal="left" vertical="center"/>
    </xf>
    <xf numFmtId="0" fontId="121" fillId="0" borderId="0" xfId="0" applyFont="1" applyAlignment="1">
      <alignment vertical="center"/>
    </xf>
    <xf numFmtId="0" fontId="149" fillId="0" borderId="0" xfId="0" applyFont="1" applyAlignment="1">
      <alignment horizontal="left" vertical="center"/>
    </xf>
    <xf numFmtId="0" fontId="113" fillId="0" borderId="151" xfId="0" applyFont="1" applyBorder="1" applyAlignment="1">
      <alignment horizontal="left" vertical="center"/>
    </xf>
    <xf numFmtId="0" fontId="121" fillId="0" borderId="152" xfId="0" applyFont="1" applyBorder="1" applyAlignment="1">
      <alignment horizontal="left" vertical="center"/>
    </xf>
    <xf numFmtId="0" fontId="121" fillId="0" borderId="2" xfId="0" applyFont="1" applyBorder="1" applyAlignment="1">
      <alignment vertical="center"/>
    </xf>
    <xf numFmtId="0" fontId="149" fillId="0" borderId="2" xfId="0" applyFont="1" applyBorder="1" applyAlignment="1">
      <alignment horizontal="left" vertical="center"/>
    </xf>
    <xf numFmtId="0" fontId="139" fillId="0" borderId="2" xfId="0" applyFont="1" applyBorder="1" applyAlignment="1" applyProtection="1">
      <alignment vertical="center"/>
      <protection hidden="1"/>
    </xf>
    <xf numFmtId="0" fontId="139" fillId="0" borderId="150" xfId="0" applyFont="1" applyBorder="1" applyAlignment="1" applyProtection="1">
      <alignment vertical="center"/>
      <protection hidden="1"/>
    </xf>
    <xf numFmtId="0" fontId="139" fillId="0" borderId="0" xfId="0" applyFont="1" applyAlignment="1" applyProtection="1">
      <alignment vertical="center"/>
      <protection hidden="1"/>
    </xf>
    <xf numFmtId="0" fontId="139" fillId="0" borderId="149" xfId="0" applyFont="1" applyBorder="1" applyAlignment="1" applyProtection="1">
      <alignment vertical="center"/>
      <protection hidden="1"/>
    </xf>
    <xf numFmtId="0" fontId="113" fillId="0" borderId="152" xfId="0" applyFont="1" applyBorder="1" applyAlignment="1">
      <alignment horizontal="left" vertical="center"/>
    </xf>
    <xf numFmtId="0" fontId="113" fillId="0" borderId="2" xfId="0" applyFont="1" applyBorder="1" applyAlignment="1">
      <alignment vertical="center"/>
    </xf>
    <xf numFmtId="0" fontId="114" fillId="0" borderId="2" xfId="0" applyFont="1" applyBorder="1" applyAlignment="1">
      <alignment horizontal="left" vertical="center"/>
    </xf>
    <xf numFmtId="0" fontId="102" fillId="0" borderId="150" xfId="0" applyFont="1" applyBorder="1" applyAlignment="1">
      <alignment vertical="center"/>
    </xf>
    <xf numFmtId="10" fontId="122" fillId="5" borderId="218" xfId="0" applyNumberFormat="1" applyFont="1" applyFill="1" applyBorder="1" applyAlignment="1" applyProtection="1">
      <alignment horizontal="right" wrapText="1"/>
      <protection hidden="1"/>
    </xf>
    <xf numFmtId="1" fontId="61" fillId="18" borderId="27" xfId="1" applyNumberFormat="1" applyFont="1" applyFill="1" applyBorder="1" applyAlignment="1" applyProtection="1">
      <alignment horizontal="right" vertical="center" wrapText="1"/>
      <protection hidden="1"/>
    </xf>
    <xf numFmtId="0" fontId="102" fillId="5" borderId="0" xfId="5" applyFont="1" applyFill="1" applyAlignment="1" applyProtection="1">
      <alignment horizontal="left" wrapText="1"/>
      <protection hidden="1"/>
    </xf>
    <xf numFmtId="10" fontId="102" fillId="5" borderId="4" xfId="6" applyNumberFormat="1" applyFont="1" applyFill="1" applyBorder="1" applyAlignment="1" applyProtection="1">
      <alignment horizontal="center" wrapText="1"/>
      <protection hidden="1"/>
    </xf>
    <xf numFmtId="10" fontId="102" fillId="5" borderId="4" xfId="6" applyNumberFormat="1" applyFont="1" applyFill="1" applyBorder="1" applyAlignment="1" applyProtection="1">
      <alignment horizontal="center" wrapText="1"/>
      <protection hidden="1"/>
    </xf>
    <xf numFmtId="0" fontId="120" fillId="0" borderId="4" xfId="0" applyFont="1" applyBorder="1" applyAlignment="1">
      <alignment vertical="center" wrapText="1"/>
    </xf>
    <xf numFmtId="0" fontId="120" fillId="0" borderId="4" xfId="0" applyFont="1" applyBorder="1" applyAlignment="1">
      <alignment vertical="top" wrapText="1"/>
    </xf>
    <xf numFmtId="0" fontId="113" fillId="0" borderId="4" xfId="0" applyFont="1" applyBorder="1" applyAlignment="1">
      <alignment vertical="center"/>
    </xf>
    <xf numFmtId="0" fontId="113" fillId="0" borderId="4" xfId="0" applyFont="1" applyBorder="1" applyAlignment="1">
      <alignment wrapText="1"/>
    </xf>
    <xf numFmtId="6" fontId="113" fillId="0" borderId="4" xfId="0" applyNumberFormat="1" applyFont="1" applyBorder="1" applyAlignment="1">
      <alignment vertical="center"/>
    </xf>
    <xf numFmtId="10" fontId="106" fillId="5" borderId="4" xfId="6" applyNumberFormat="1" applyFont="1" applyFill="1" applyBorder="1" applyAlignment="1" applyProtection="1">
      <alignment horizontal="center" vertical="center"/>
      <protection hidden="1"/>
    </xf>
    <xf numFmtId="0" fontId="113" fillId="0" borderId="0" xfId="0" applyFont="1" applyProtection="1">
      <protection hidden="1"/>
    </xf>
    <xf numFmtId="0" fontId="122" fillId="6" borderId="33" xfId="0" applyFont="1" applyFill="1" applyBorder="1" applyAlignment="1">
      <alignment horizontal="left" vertical="center" wrapText="1"/>
    </xf>
    <xf numFmtId="0" fontId="148" fillId="0" borderId="33" xfId="0" applyFont="1" applyBorder="1" applyAlignment="1">
      <alignment horizontal="left" vertical="center" wrapText="1"/>
    </xf>
    <xf numFmtId="10" fontId="102" fillId="5" borderId="4" xfId="6" applyNumberFormat="1" applyFont="1" applyFill="1" applyBorder="1" applyAlignment="1" applyProtection="1">
      <alignment horizontal="center" wrapText="1"/>
      <protection hidden="1"/>
    </xf>
    <xf numFmtId="0" fontId="146" fillId="25" borderId="133" xfId="0" applyFont="1" applyFill="1" applyBorder="1" applyAlignment="1">
      <alignment vertical="center" wrapText="1"/>
    </xf>
    <xf numFmtId="0" fontId="105" fillId="25" borderId="4" xfId="0" applyFont="1" applyFill="1" applyBorder="1" applyAlignment="1">
      <alignment horizontal="center" vertical="center" wrapText="1"/>
    </xf>
    <xf numFmtId="0" fontId="105" fillId="25" borderId="4" xfId="0" applyFont="1" applyFill="1" applyBorder="1" applyAlignment="1">
      <alignment horizontal="center" vertical="center"/>
    </xf>
    <xf numFmtId="0" fontId="122" fillId="25" borderId="33" xfId="0" applyFont="1" applyFill="1" applyBorder="1" applyAlignment="1">
      <alignment horizontal="left" vertical="center" wrapText="1"/>
    </xf>
    <xf numFmtId="0" fontId="122" fillId="25" borderId="1" xfId="0" applyFont="1" applyFill="1" applyBorder="1" applyAlignment="1">
      <alignment vertical="center" wrapText="1"/>
    </xf>
    <xf numFmtId="0" fontId="122" fillId="25" borderId="133" xfId="0" applyFont="1" applyFill="1" applyBorder="1" applyAlignment="1">
      <alignment vertical="center" wrapText="1"/>
    </xf>
    <xf numFmtId="0" fontId="148" fillId="0" borderId="33" xfId="0" applyFont="1" applyFill="1" applyBorder="1" applyAlignment="1">
      <alignment horizontal="left" vertical="center" wrapText="1"/>
    </xf>
    <xf numFmtId="0" fontId="149" fillId="0" borderId="1" xfId="0" applyFont="1" applyFill="1" applyBorder="1" applyAlignment="1">
      <alignment horizontal="justify" vertical="center" wrapText="1"/>
    </xf>
    <xf numFmtId="0" fontId="102" fillId="0" borderId="133" xfId="0" applyFont="1" applyFill="1" applyBorder="1" applyAlignment="1">
      <alignment horizontal="left" vertical="center" wrapText="1"/>
    </xf>
    <xf numFmtId="0" fontId="105" fillId="0" borderId="4" xfId="0" applyFont="1" applyBorder="1" applyAlignment="1">
      <alignment horizontal="center" vertical="center" wrapText="1"/>
    </xf>
    <xf numFmtId="0" fontId="150" fillId="0" borderId="33" xfId="0" applyFont="1" applyFill="1" applyBorder="1" applyAlignment="1">
      <alignment horizontal="left" vertical="center" wrapText="1"/>
    </xf>
    <xf numFmtId="0" fontId="105" fillId="0" borderId="1" xfId="0" applyFont="1" applyFill="1" applyBorder="1" applyAlignment="1">
      <alignment horizontal="justify" vertical="center" wrapText="1"/>
    </xf>
    <xf numFmtId="0" fontId="102" fillId="0" borderId="133" xfId="0" applyFont="1" applyFill="1" applyBorder="1" applyAlignment="1">
      <alignment horizontal="justify" vertical="center" wrapText="1"/>
    </xf>
    <xf numFmtId="0" fontId="148" fillId="0" borderId="33" xfId="0" applyFont="1" applyFill="1" applyBorder="1" applyAlignment="1">
      <alignment horizontal="justify" vertical="center" wrapText="1"/>
    </xf>
    <xf numFmtId="0" fontId="105" fillId="0" borderId="1" xfId="0" applyFont="1" applyFill="1" applyBorder="1" applyAlignment="1">
      <alignment vertical="center" wrapText="1"/>
    </xf>
    <xf numFmtId="0" fontId="105" fillId="25" borderId="4" xfId="0" applyFont="1" applyFill="1" applyBorder="1" applyAlignment="1">
      <alignment vertical="center" wrapText="1"/>
    </xf>
    <xf numFmtId="0" fontId="102" fillId="0" borderId="133" xfId="0" applyFont="1" applyFill="1" applyBorder="1" applyAlignment="1">
      <alignment vertical="center" wrapText="1"/>
    </xf>
    <xf numFmtId="0" fontId="148" fillId="0" borderId="33" xfId="0" applyFont="1" applyBorder="1" applyAlignment="1">
      <alignment vertical="center" wrapText="1"/>
    </xf>
    <xf numFmtId="0" fontId="148" fillId="0" borderId="33" xfId="0" applyFont="1" applyFill="1" applyBorder="1" applyAlignment="1" applyProtection="1">
      <alignment horizontal="left" vertical="center" wrapText="1"/>
    </xf>
    <xf numFmtId="0" fontId="105" fillId="0" borderId="1" xfId="0" applyFont="1" applyFill="1" applyBorder="1" applyAlignment="1" applyProtection="1">
      <alignment horizontal="justify" vertical="center" wrapText="1"/>
    </xf>
    <xf numFmtId="0" fontId="102" fillId="0" borderId="133" xfId="0" applyFont="1" applyFill="1" applyBorder="1" applyAlignment="1" applyProtection="1">
      <alignment horizontal="justify" vertical="center" wrapText="1"/>
    </xf>
    <xf numFmtId="0" fontId="122" fillId="0" borderId="0" xfId="0" applyFont="1" applyBorder="1" applyAlignment="1">
      <alignment vertical="center" wrapText="1"/>
    </xf>
    <xf numFmtId="0" fontId="122" fillId="25" borderId="1" xfId="0" applyFont="1" applyFill="1" applyBorder="1" applyAlignment="1">
      <alignment horizontal="justify" vertical="center" wrapText="1"/>
    </xf>
    <xf numFmtId="0" fontId="148" fillId="0" borderId="33" xfId="0" applyFont="1" applyBorder="1" applyAlignment="1" applyProtection="1">
      <alignment horizontal="left" vertical="center" wrapText="1"/>
    </xf>
    <xf numFmtId="0" fontId="105" fillId="25" borderId="4" xfId="0" applyFont="1" applyFill="1" applyBorder="1" applyAlignment="1">
      <alignment vertical="center"/>
    </xf>
    <xf numFmtId="0" fontId="146" fillId="25" borderId="33" xfId="0" applyFont="1" applyFill="1" applyBorder="1" applyAlignment="1">
      <alignment horizontal="left" vertical="center" wrapText="1"/>
    </xf>
    <xf numFmtId="0" fontId="152" fillId="25" borderId="1" xfId="0" applyFont="1" applyFill="1" applyBorder="1" applyAlignment="1">
      <alignment vertical="center" wrapText="1"/>
    </xf>
    <xf numFmtId="0" fontId="152" fillId="25" borderId="133" xfId="0" applyFont="1" applyFill="1" applyBorder="1" applyAlignment="1">
      <alignment vertical="center" wrapText="1"/>
    </xf>
    <xf numFmtId="0" fontId="114" fillId="0" borderId="0" xfId="0" applyFont="1" applyAlignment="1">
      <alignment vertical="center"/>
    </xf>
    <xf numFmtId="10" fontId="102" fillId="5" borderId="4" xfId="6" applyNumberFormat="1" applyFont="1" applyFill="1" applyBorder="1" applyAlignment="1" applyProtection="1">
      <alignment horizontal="center" wrapText="1"/>
      <protection hidden="1"/>
    </xf>
    <xf numFmtId="0" fontId="102" fillId="5" borderId="2" xfId="8" applyFont="1" applyFill="1" applyBorder="1" applyAlignment="1" applyProtection="1">
      <alignment horizontal="left" vertical="center"/>
      <protection hidden="1"/>
    </xf>
    <xf numFmtId="0" fontId="102" fillId="5" borderId="2" xfId="8" quotePrefix="1" applyFont="1" applyFill="1" applyBorder="1" applyAlignment="1" applyProtection="1">
      <alignment horizontal="left" vertical="center"/>
      <protection hidden="1"/>
    </xf>
    <xf numFmtId="0" fontId="102" fillId="5" borderId="1" xfId="8" applyFont="1" applyFill="1" applyBorder="1" applyAlignment="1" applyProtection="1">
      <alignment horizontal="center" vertical="center" wrapText="1"/>
      <protection hidden="1"/>
    </xf>
    <xf numFmtId="0" fontId="105" fillId="14" borderId="1" xfId="6" applyFont="1" applyFill="1" applyBorder="1" applyAlignment="1" applyProtection="1">
      <alignment horizontal="left" vertical="center" wrapText="1"/>
      <protection hidden="1"/>
    </xf>
    <xf numFmtId="0" fontId="105" fillId="14" borderId="2" xfId="6" applyFont="1" applyFill="1" applyBorder="1" applyAlignment="1" applyProtection="1">
      <alignment horizontal="left" vertical="center" wrapText="1"/>
      <protection hidden="1"/>
    </xf>
    <xf numFmtId="0" fontId="108" fillId="14" borderId="2" xfId="6" applyFont="1" applyFill="1" applyBorder="1" applyAlignment="1" applyProtection="1">
      <alignment horizontal="center" vertical="center" wrapText="1"/>
      <protection hidden="1"/>
    </xf>
    <xf numFmtId="0" fontId="102" fillId="5" borderId="4" xfId="6" applyFont="1" applyFill="1" applyBorder="1" applyAlignment="1" applyProtection="1">
      <alignment horizontal="left"/>
      <protection hidden="1"/>
    </xf>
    <xf numFmtId="10" fontId="102" fillId="5" borderId="4" xfId="6" applyNumberFormat="1" applyFont="1" applyFill="1" applyBorder="1" applyAlignment="1" applyProtection="1">
      <alignment horizontal="center" wrapText="1"/>
      <protection hidden="1"/>
    </xf>
    <xf numFmtId="14" fontId="102" fillId="5" borderId="4" xfId="6" applyNumberFormat="1" applyFont="1" applyFill="1" applyBorder="1" applyAlignment="1" applyProtection="1">
      <alignment horizontal="center"/>
      <protection hidden="1"/>
    </xf>
    <xf numFmtId="14" fontId="102" fillId="5" borderId="33" xfId="6" applyNumberFormat="1" applyFont="1" applyFill="1" applyBorder="1" applyAlignment="1" applyProtection="1">
      <alignment horizontal="center"/>
      <protection hidden="1"/>
    </xf>
    <xf numFmtId="0" fontId="102" fillId="5" borderId="1" xfId="6" applyFont="1" applyFill="1" applyBorder="1" applyAlignment="1" applyProtection="1">
      <alignment horizontal="center"/>
      <protection hidden="1"/>
    </xf>
    <xf numFmtId="0" fontId="102" fillId="5" borderId="133" xfId="6" applyFont="1" applyFill="1" applyBorder="1" applyAlignment="1" applyProtection="1">
      <alignment horizontal="center"/>
      <protection hidden="1"/>
    </xf>
    <xf numFmtId="14" fontId="102" fillId="5" borderId="1" xfId="6" applyNumberFormat="1" applyFont="1" applyFill="1" applyBorder="1" applyAlignment="1" applyProtection="1">
      <alignment horizontal="center"/>
      <protection hidden="1"/>
    </xf>
    <xf numFmtId="14" fontId="102" fillId="5" borderId="133" xfId="6" applyNumberFormat="1" applyFont="1" applyFill="1" applyBorder="1" applyAlignment="1" applyProtection="1">
      <alignment horizontal="center"/>
      <protection hidden="1"/>
    </xf>
    <xf numFmtId="0" fontId="102" fillId="5" borderId="0" xfId="0" applyFont="1" applyFill="1" applyAlignment="1">
      <alignment horizontal="left" wrapText="1"/>
    </xf>
    <xf numFmtId="0" fontId="102" fillId="5" borderId="0" xfId="6" applyFont="1" applyFill="1" applyAlignment="1" applyProtection="1">
      <alignment horizontal="left" vertical="top" wrapText="1"/>
      <protection hidden="1"/>
    </xf>
    <xf numFmtId="0" fontId="102" fillId="5" borderId="0" xfId="7" applyFont="1" applyFill="1" applyAlignment="1" applyProtection="1">
      <alignment horizontal="left" vertical="top" wrapText="1"/>
      <protection hidden="1"/>
    </xf>
    <xf numFmtId="0" fontId="102" fillId="5" borderId="0" xfId="0" applyFont="1" applyFill="1" applyAlignment="1">
      <alignment horizontal="left" vertical="top" wrapText="1"/>
    </xf>
    <xf numFmtId="0" fontId="102" fillId="5" borderId="0" xfId="0" applyFont="1" applyFill="1" applyAlignment="1">
      <alignment vertical="top" wrapText="1"/>
    </xf>
    <xf numFmtId="0" fontId="113" fillId="5" borderId="0" xfId="0" applyFont="1" applyFill="1" applyAlignment="1">
      <alignment vertical="top"/>
    </xf>
    <xf numFmtId="0" fontId="102" fillId="5" borderId="0" xfId="5" applyFont="1" applyFill="1" applyAlignment="1" applyProtection="1">
      <alignment horizontal="left" wrapText="1"/>
      <protection hidden="1"/>
    </xf>
    <xf numFmtId="0" fontId="102" fillId="5" borderId="33" xfId="6" applyFont="1" applyFill="1" applyBorder="1" applyAlignment="1" applyProtection="1">
      <alignment horizontal="center"/>
      <protection hidden="1"/>
    </xf>
    <xf numFmtId="0" fontId="102" fillId="5" borderId="0" xfId="5" applyFont="1" applyFill="1" applyAlignment="1" applyProtection="1">
      <alignment horizontal="left" vertical="top" wrapText="1"/>
      <protection hidden="1"/>
    </xf>
    <xf numFmtId="0" fontId="102" fillId="5" borderId="0" xfId="6" applyFont="1" applyFill="1" applyAlignment="1" applyProtection="1">
      <alignment horizontal="left" vertical="center" wrapText="1"/>
      <protection hidden="1"/>
    </xf>
    <xf numFmtId="0" fontId="115" fillId="5" borderId="0" xfId="15" applyFont="1" applyFill="1" applyBorder="1" applyAlignment="1" applyProtection="1">
      <alignment horizontal="left" vertical="center" wrapText="1"/>
      <protection hidden="1"/>
    </xf>
    <xf numFmtId="0" fontId="102" fillId="5" borderId="152" xfId="6" applyFont="1" applyFill="1" applyBorder="1" applyAlignment="1" applyProtection="1">
      <alignment horizontal="center"/>
      <protection hidden="1"/>
    </xf>
    <xf numFmtId="0" fontId="113" fillId="0" borderId="2" xfId="0" applyFont="1" applyBorder="1" applyAlignment="1">
      <alignment horizontal="center"/>
    </xf>
    <xf numFmtId="0" fontId="113" fillId="0" borderId="150" xfId="0" applyFont="1" applyBorder="1" applyAlignment="1">
      <alignment horizontal="center"/>
    </xf>
    <xf numFmtId="0" fontId="108" fillId="5" borderId="4" xfId="6" applyFont="1" applyFill="1" applyBorder="1" applyAlignment="1" applyProtection="1">
      <alignment horizontal="center" vertical="center"/>
      <protection hidden="1"/>
    </xf>
    <xf numFmtId="0" fontId="108" fillId="5" borderId="3" xfId="6" applyFont="1" applyFill="1" applyBorder="1" applyAlignment="1" applyProtection="1">
      <alignment horizontal="left" vertical="center"/>
      <protection hidden="1"/>
    </xf>
    <xf numFmtId="0" fontId="108" fillId="5" borderId="2" xfId="6" applyFont="1" applyFill="1" applyBorder="1" applyAlignment="1" applyProtection="1">
      <alignment horizontal="left" vertical="center"/>
      <protection hidden="1"/>
    </xf>
    <xf numFmtId="0" fontId="108" fillId="5" borderId="3" xfId="6" applyFont="1" applyFill="1" applyBorder="1" applyAlignment="1" applyProtection="1">
      <alignment horizontal="center" vertical="center" wrapText="1"/>
      <protection hidden="1"/>
    </xf>
    <xf numFmtId="0" fontId="108" fillId="5" borderId="2" xfId="6" applyFont="1" applyFill="1" applyBorder="1" applyAlignment="1" applyProtection="1">
      <alignment horizontal="center" vertical="center" wrapText="1"/>
      <protection hidden="1"/>
    </xf>
    <xf numFmtId="0" fontId="108" fillId="5" borderId="3" xfId="6" applyFont="1" applyFill="1" applyBorder="1" applyAlignment="1" applyProtection="1">
      <alignment horizontal="center"/>
      <protection hidden="1"/>
    </xf>
    <xf numFmtId="0" fontId="108" fillId="5" borderId="3" xfId="6" applyFont="1" applyFill="1" applyBorder="1" applyAlignment="1" applyProtection="1">
      <alignment horizontal="center" vertical="center"/>
      <protection hidden="1"/>
    </xf>
    <xf numFmtId="0" fontId="108" fillId="5" borderId="2" xfId="6" applyFont="1" applyFill="1" applyBorder="1" applyAlignment="1" applyProtection="1">
      <alignment horizontal="center" vertical="center"/>
      <protection hidden="1"/>
    </xf>
    <xf numFmtId="6" fontId="102" fillId="5" borderId="1" xfId="8" applyNumberFormat="1" applyFont="1" applyFill="1" applyBorder="1" applyAlignment="1" applyProtection="1">
      <alignment horizontal="center" vertical="center" wrapText="1"/>
      <protection hidden="1"/>
    </xf>
    <xf numFmtId="10" fontId="102" fillId="5" borderId="1" xfId="8" applyNumberFormat="1" applyFont="1" applyFill="1" applyBorder="1" applyAlignment="1" applyProtection="1">
      <alignment horizontal="center" vertical="center" wrapText="1"/>
      <protection hidden="1"/>
    </xf>
    <xf numFmtId="0" fontId="102" fillId="0" borderId="1" xfId="8" applyFont="1" applyBorder="1" applyAlignment="1" applyProtection="1">
      <alignment horizontal="center" vertical="center"/>
      <protection hidden="1"/>
    </xf>
    <xf numFmtId="0" fontId="102" fillId="5" borderId="3" xfId="8" applyFont="1" applyFill="1" applyBorder="1" applyAlignment="1" applyProtection="1">
      <alignment horizontal="left" vertical="center"/>
      <protection hidden="1"/>
    </xf>
    <xf numFmtId="0" fontId="102" fillId="5" borderId="2" xfId="8" applyFont="1" applyFill="1" applyBorder="1" applyAlignment="1" applyProtection="1">
      <alignment horizontal="left" vertical="center"/>
      <protection hidden="1"/>
    </xf>
    <xf numFmtId="0" fontId="102" fillId="5" borderId="1" xfId="6" applyFont="1" applyFill="1" applyBorder="1" applyAlignment="1" applyProtection="1">
      <alignment horizontal="left" wrapText="1"/>
      <protection hidden="1"/>
    </xf>
    <xf numFmtId="0" fontId="102" fillId="5" borderId="1" xfId="6" applyFont="1" applyFill="1" applyBorder="1" applyAlignment="1" applyProtection="1">
      <alignment horizontal="left"/>
      <protection hidden="1"/>
    </xf>
    <xf numFmtId="0" fontId="102" fillId="5" borderId="3" xfId="8" quotePrefix="1" applyFont="1" applyFill="1" applyBorder="1" applyAlignment="1" applyProtection="1">
      <alignment horizontal="left" vertical="center"/>
      <protection hidden="1"/>
    </xf>
    <xf numFmtId="0" fontId="102" fillId="5" borderId="2" xfId="8" quotePrefix="1" applyFont="1" applyFill="1" applyBorder="1" applyAlignment="1" applyProtection="1">
      <alignment horizontal="left" vertical="center"/>
      <protection hidden="1"/>
    </xf>
    <xf numFmtId="165" fontId="102" fillId="5" borderId="1" xfId="5" applyNumberFormat="1" applyFont="1" applyFill="1" applyBorder="1" applyAlignment="1" applyProtection="1">
      <alignment horizontal="center" vertical="center" wrapText="1"/>
      <protection hidden="1"/>
    </xf>
    <xf numFmtId="0" fontId="108" fillId="5" borderId="182" xfId="6" applyFont="1" applyFill="1" applyBorder="1" applyAlignment="1" applyProtection="1">
      <alignment horizontal="center"/>
      <protection hidden="1"/>
    </xf>
    <xf numFmtId="0" fontId="102" fillId="0" borderId="0" xfId="6" applyFont="1" applyAlignment="1" applyProtection="1">
      <alignment horizontal="left" wrapText="1"/>
      <protection hidden="1"/>
    </xf>
    <xf numFmtId="0" fontId="105" fillId="5" borderId="2" xfId="6" applyFont="1" applyFill="1" applyBorder="1" applyAlignment="1" applyProtection="1">
      <alignment horizontal="left" vertical="center"/>
      <protection hidden="1"/>
    </xf>
    <xf numFmtId="0" fontId="108" fillId="6" borderId="3" xfId="6" applyFont="1" applyFill="1" applyBorder="1" applyAlignment="1" applyProtection="1">
      <alignment horizontal="center"/>
      <protection hidden="1"/>
    </xf>
    <xf numFmtId="0" fontId="108" fillId="6" borderId="3" xfId="6" applyFont="1" applyFill="1" applyBorder="1" applyAlignment="1" applyProtection="1">
      <alignment horizontal="center" vertical="center" wrapText="1"/>
      <protection hidden="1"/>
    </xf>
    <xf numFmtId="0" fontId="108" fillId="6" borderId="2" xfId="6" applyFont="1" applyFill="1" applyBorder="1" applyAlignment="1" applyProtection="1">
      <alignment horizontal="center" vertical="center" wrapText="1"/>
      <protection hidden="1"/>
    </xf>
    <xf numFmtId="0" fontId="108" fillId="6" borderId="3" xfId="6" applyFont="1" applyFill="1" applyBorder="1" applyAlignment="1" applyProtection="1">
      <alignment horizontal="center" vertical="center"/>
      <protection hidden="1"/>
    </xf>
    <xf numFmtId="0" fontId="108" fillId="6" borderId="2" xfId="6" applyFont="1" applyFill="1" applyBorder="1" applyAlignment="1" applyProtection="1">
      <alignment horizontal="center" vertical="center"/>
      <protection hidden="1"/>
    </xf>
    <xf numFmtId="0" fontId="102" fillId="5" borderId="3" xfId="6" applyFont="1" applyFill="1" applyBorder="1" applyAlignment="1" applyProtection="1">
      <alignment horizontal="left" wrapText="1"/>
      <protection hidden="1"/>
    </xf>
    <xf numFmtId="0" fontId="102" fillId="5" borderId="4" xfId="6" applyFont="1" applyFill="1" applyBorder="1" applyAlignment="1" applyProtection="1">
      <alignment horizontal="left" wrapText="1"/>
      <protection hidden="1"/>
    </xf>
    <xf numFmtId="0" fontId="102" fillId="5" borderId="33" xfId="6" applyFont="1" applyFill="1" applyBorder="1" applyAlignment="1" applyProtection="1">
      <alignment horizontal="left" wrapText="1"/>
      <protection hidden="1"/>
    </xf>
    <xf numFmtId="0" fontId="102" fillId="5" borderId="33" xfId="6" applyFont="1" applyFill="1" applyBorder="1" applyAlignment="1" applyProtection="1">
      <alignment horizontal="center" wrapText="1"/>
      <protection hidden="1"/>
    </xf>
    <xf numFmtId="0" fontId="102" fillId="5" borderId="1" xfId="6" applyFont="1" applyFill="1" applyBorder="1" applyAlignment="1" applyProtection="1">
      <alignment horizontal="center" wrapText="1"/>
      <protection hidden="1"/>
    </xf>
    <xf numFmtId="0" fontId="102" fillId="5" borderId="133" xfId="6" applyFont="1" applyFill="1" applyBorder="1" applyAlignment="1" applyProtection="1">
      <alignment horizontal="center" wrapText="1"/>
      <protection hidden="1"/>
    </xf>
    <xf numFmtId="0" fontId="97" fillId="5" borderId="2" xfId="6" applyFont="1" applyFill="1" applyBorder="1" applyAlignment="1" applyProtection="1">
      <alignment horizontal="left" vertical="top" wrapText="1"/>
      <protection hidden="1"/>
    </xf>
    <xf numFmtId="0" fontId="102" fillId="5" borderId="2" xfId="6" applyFont="1" applyFill="1" applyBorder="1" applyAlignment="1" applyProtection="1">
      <alignment horizontal="left" vertical="top" wrapText="1"/>
      <protection hidden="1"/>
    </xf>
    <xf numFmtId="0" fontId="102" fillId="5" borderId="1" xfId="8" applyFont="1" applyFill="1" applyBorder="1" applyAlignment="1" applyProtection="1">
      <alignment horizontal="center" vertical="center" wrapText="1"/>
      <protection hidden="1"/>
    </xf>
    <xf numFmtId="0" fontId="102" fillId="5" borderId="1" xfId="8" applyFont="1" applyFill="1" applyBorder="1" applyAlignment="1" applyProtection="1">
      <alignment horizontal="left" vertical="center" wrapText="1"/>
      <protection hidden="1"/>
    </xf>
    <xf numFmtId="0" fontId="102" fillId="5" borderId="1" xfId="5" applyFont="1" applyFill="1" applyBorder="1" applyAlignment="1" applyProtection="1">
      <alignment horizontal="left" vertical="center" wrapText="1"/>
      <protection hidden="1"/>
    </xf>
    <xf numFmtId="0" fontId="102" fillId="0" borderId="3" xfId="5" applyFont="1" applyBorder="1" applyAlignment="1" applyProtection="1">
      <alignment horizontal="left" vertical="center" wrapText="1"/>
      <protection hidden="1"/>
    </xf>
    <xf numFmtId="0" fontId="102" fillId="0" borderId="3" xfId="5" applyFont="1" applyBorder="1" applyAlignment="1" applyProtection="1">
      <alignment horizontal="left" vertical="center"/>
      <protection hidden="1"/>
    </xf>
    <xf numFmtId="0" fontId="102" fillId="6" borderId="1" xfId="8" applyFont="1" applyFill="1" applyBorder="1" applyAlignment="1" applyProtection="1">
      <alignment horizontal="center" vertical="center"/>
      <protection hidden="1"/>
    </xf>
    <xf numFmtId="10" fontId="102" fillId="5" borderId="3" xfId="8" applyNumberFormat="1" applyFont="1" applyFill="1" applyBorder="1" applyAlignment="1" applyProtection="1">
      <alignment horizontal="center" vertical="center" wrapText="1"/>
      <protection hidden="1"/>
    </xf>
    <xf numFmtId="10" fontId="102" fillId="5" borderId="2" xfId="8" applyNumberFormat="1" applyFont="1" applyFill="1" applyBorder="1" applyAlignment="1" applyProtection="1">
      <alignment horizontal="center" vertical="center" wrapText="1"/>
      <protection hidden="1"/>
    </xf>
    <xf numFmtId="10" fontId="105" fillId="5" borderId="1" xfId="8" applyNumberFormat="1" applyFont="1" applyFill="1" applyBorder="1" applyAlignment="1" applyProtection="1">
      <alignment horizontal="center" vertical="center" wrapText="1"/>
      <protection hidden="1"/>
    </xf>
    <xf numFmtId="0" fontId="102" fillId="5" borderId="4" xfId="6" applyFont="1" applyFill="1" applyBorder="1" applyAlignment="1" applyProtection="1">
      <alignment horizontal="center"/>
      <protection hidden="1"/>
    </xf>
    <xf numFmtId="0" fontId="102" fillId="5" borderId="3" xfId="8" applyFont="1" applyFill="1" applyBorder="1" applyAlignment="1" applyProtection="1">
      <alignment horizontal="center" vertical="center"/>
      <protection hidden="1"/>
    </xf>
    <xf numFmtId="0" fontId="102" fillId="5" borderId="2" xfId="8" applyFont="1" applyFill="1" applyBorder="1" applyAlignment="1" applyProtection="1">
      <alignment horizontal="center" vertical="center"/>
      <protection hidden="1"/>
    </xf>
    <xf numFmtId="0" fontId="102" fillId="5" borderId="3" xfId="5" applyFont="1" applyFill="1" applyBorder="1" applyAlignment="1" applyProtection="1">
      <alignment horizontal="left" vertical="center"/>
      <protection hidden="1"/>
    </xf>
    <xf numFmtId="0" fontId="102" fillId="5" borderId="2" xfId="5" applyFont="1" applyFill="1" applyBorder="1" applyAlignment="1" applyProtection="1">
      <alignment horizontal="left" vertical="center"/>
      <protection hidden="1"/>
    </xf>
    <xf numFmtId="165" fontId="102" fillId="5" borderId="3" xfId="5" applyNumberFormat="1" applyFont="1" applyFill="1" applyBorder="1" applyAlignment="1" applyProtection="1">
      <alignment horizontal="center" vertical="center" wrapText="1"/>
      <protection hidden="1"/>
    </xf>
    <xf numFmtId="0" fontId="102" fillId="5" borderId="3" xfId="6" applyFont="1" applyFill="1" applyBorder="1" applyAlignment="1" applyProtection="1">
      <alignment horizontal="center" wrapText="1"/>
      <protection hidden="1"/>
    </xf>
    <xf numFmtId="0" fontId="108" fillId="6" borderId="1" xfId="6" applyFont="1" applyFill="1" applyBorder="1" applyAlignment="1" applyProtection="1">
      <alignment horizontal="left" vertical="center"/>
      <protection hidden="1"/>
    </xf>
    <xf numFmtId="0" fontId="102" fillId="5" borderId="1" xfId="6" applyFont="1" applyFill="1" applyBorder="1" applyAlignment="1" applyProtection="1">
      <alignment horizontal="center" vertical="center"/>
      <protection hidden="1"/>
    </xf>
    <xf numFmtId="0" fontId="102" fillId="5" borderId="152" xfId="6" applyFont="1" applyFill="1" applyBorder="1" applyAlignment="1" applyProtection="1">
      <alignment horizontal="center" vertical="center"/>
      <protection hidden="1"/>
    </xf>
    <xf numFmtId="0" fontId="102" fillId="5" borderId="2" xfId="6" applyFont="1" applyFill="1" applyBorder="1" applyAlignment="1" applyProtection="1">
      <alignment horizontal="center" vertical="center"/>
      <protection hidden="1"/>
    </xf>
    <xf numFmtId="0" fontId="102" fillId="5" borderId="1" xfId="6" applyFont="1" applyFill="1" applyBorder="1" applyAlignment="1" applyProtection="1">
      <alignment horizontal="left" vertical="center"/>
      <protection hidden="1"/>
    </xf>
    <xf numFmtId="10" fontId="102" fillId="5" borderId="1" xfId="6" applyNumberFormat="1" applyFont="1" applyFill="1" applyBorder="1" applyAlignment="1" applyProtection="1">
      <alignment horizontal="center" vertical="center" wrapText="1"/>
      <protection hidden="1"/>
    </xf>
    <xf numFmtId="0" fontId="102" fillId="5" borderId="1" xfId="6" applyFont="1" applyFill="1" applyBorder="1" applyAlignment="1" applyProtection="1">
      <alignment horizontal="center" vertical="center" wrapText="1"/>
      <protection hidden="1"/>
    </xf>
    <xf numFmtId="0" fontId="108" fillId="6" borderId="3" xfId="6" applyFont="1" applyFill="1" applyBorder="1" applyAlignment="1" applyProtection="1">
      <alignment horizontal="left" vertical="center" wrapText="1"/>
      <protection hidden="1"/>
    </xf>
    <xf numFmtId="0" fontId="108" fillId="6" borderId="2" xfId="6" applyFont="1" applyFill="1" applyBorder="1" applyAlignment="1" applyProtection="1">
      <alignment horizontal="left" vertical="center" wrapText="1"/>
      <protection hidden="1"/>
    </xf>
    <xf numFmtId="0" fontId="105" fillId="5" borderId="0" xfId="0" applyFont="1" applyFill="1" applyAlignment="1" applyProtection="1">
      <alignment horizontal="left" vertical="center" wrapText="1"/>
      <protection hidden="1"/>
    </xf>
    <xf numFmtId="166" fontId="113" fillId="25" borderId="207" xfId="0" applyNumberFormat="1" applyFont="1" applyFill="1" applyBorder="1" applyAlignment="1" applyProtection="1">
      <alignment horizontal="center" vertical="center"/>
      <protection locked="0"/>
    </xf>
    <xf numFmtId="166" fontId="113" fillId="25" borderId="215" xfId="0" applyNumberFormat="1" applyFont="1" applyFill="1" applyBorder="1" applyAlignment="1" applyProtection="1">
      <alignment horizontal="center" vertical="center"/>
      <protection locked="0"/>
    </xf>
    <xf numFmtId="0" fontId="113" fillId="25" borderId="207" xfId="0" applyFont="1" applyFill="1" applyBorder="1" applyAlignment="1" applyProtection="1">
      <alignment horizontal="center" vertical="center"/>
      <protection locked="0"/>
    </xf>
    <xf numFmtId="0" fontId="113" fillId="25" borderId="215" xfId="0" applyFont="1" applyFill="1" applyBorder="1" applyAlignment="1" applyProtection="1">
      <alignment horizontal="center" vertical="center"/>
      <protection locked="0"/>
    </xf>
    <xf numFmtId="10" fontId="113" fillId="5" borderId="0" xfId="0" applyNumberFormat="1" applyFont="1" applyFill="1" applyBorder="1" applyAlignment="1" applyProtection="1">
      <alignment horizontal="center" vertical="center"/>
      <protection hidden="1"/>
    </xf>
    <xf numFmtId="10" fontId="113" fillId="5" borderId="213" xfId="0" applyNumberFormat="1" applyFont="1" applyFill="1" applyBorder="1" applyAlignment="1" applyProtection="1">
      <alignment horizontal="center" vertical="center"/>
      <protection hidden="1"/>
    </xf>
    <xf numFmtId="49" fontId="113" fillId="25" borderId="207" xfId="0" applyNumberFormat="1" applyFont="1" applyFill="1" applyBorder="1" applyAlignment="1" applyProtection="1">
      <alignment horizontal="center"/>
      <protection locked="0"/>
    </xf>
    <xf numFmtId="49" fontId="113" fillId="25" borderId="215" xfId="0" applyNumberFormat="1" applyFont="1" applyFill="1" applyBorder="1" applyAlignment="1" applyProtection="1">
      <alignment horizontal="center"/>
      <protection locked="0"/>
    </xf>
    <xf numFmtId="165" fontId="113" fillId="0" borderId="207" xfId="0" applyNumberFormat="1" applyFont="1" applyBorder="1" applyAlignment="1" applyProtection="1">
      <alignment horizontal="right" vertical="center"/>
      <protection hidden="1"/>
    </xf>
    <xf numFmtId="165" fontId="113" fillId="0" borderId="215" xfId="0" applyNumberFormat="1" applyFont="1" applyBorder="1" applyAlignment="1" applyProtection="1">
      <alignment horizontal="right" vertical="center"/>
      <protection hidden="1"/>
    </xf>
    <xf numFmtId="10" fontId="113" fillId="0" borderId="207" xfId="0" applyNumberFormat="1" applyFont="1" applyBorder="1" applyAlignment="1" applyProtection="1">
      <alignment horizontal="right" vertical="center"/>
      <protection hidden="1"/>
    </xf>
    <xf numFmtId="10" fontId="113" fillId="0" borderId="215" xfId="0" applyNumberFormat="1" applyFont="1" applyBorder="1" applyAlignment="1" applyProtection="1">
      <alignment horizontal="right" vertical="center"/>
      <protection hidden="1"/>
    </xf>
    <xf numFmtId="14" fontId="113" fillId="25" borderId="239" xfId="0" applyNumberFormat="1" applyFont="1" applyFill="1" applyBorder="1" applyAlignment="1" applyProtection="1">
      <alignment horizontal="center"/>
      <protection locked="0"/>
    </xf>
    <xf numFmtId="14" fontId="113" fillId="25" borderId="240" xfId="0" applyNumberFormat="1" applyFont="1" applyFill="1" applyBorder="1" applyAlignment="1" applyProtection="1">
      <alignment horizontal="center"/>
      <protection locked="0"/>
    </xf>
    <xf numFmtId="10" fontId="113" fillId="0" borderId="64" xfId="0" applyNumberFormat="1" applyFont="1" applyBorder="1" applyAlignment="1" applyProtection="1">
      <alignment horizontal="right" vertical="center"/>
      <protection hidden="1"/>
    </xf>
    <xf numFmtId="10" fontId="113" fillId="0" borderId="213" xfId="0" applyNumberFormat="1" applyFont="1" applyBorder="1" applyAlignment="1" applyProtection="1">
      <alignment horizontal="right" vertical="center"/>
      <protection hidden="1"/>
    </xf>
    <xf numFmtId="0" fontId="120" fillId="5" borderId="0" xfId="0" applyFont="1" applyFill="1" applyBorder="1" applyAlignment="1" applyProtection="1">
      <alignment horizontal="center" vertical="center"/>
      <protection hidden="1"/>
    </xf>
    <xf numFmtId="0" fontId="120" fillId="5" borderId="0" xfId="0" applyFont="1" applyFill="1" applyAlignment="1" applyProtection="1">
      <alignment horizontal="center" vertical="center"/>
      <protection hidden="1"/>
    </xf>
    <xf numFmtId="0" fontId="123" fillId="5" borderId="0" xfId="0" applyFont="1" applyFill="1" applyAlignment="1" applyProtection="1">
      <alignment horizontal="center" vertical="center"/>
      <protection hidden="1"/>
    </xf>
    <xf numFmtId="0" fontId="120" fillId="5" borderId="0" xfId="0" applyFont="1" applyFill="1" applyBorder="1" applyAlignment="1" applyProtection="1">
      <alignment horizontal="left" vertical="center"/>
      <protection hidden="1"/>
    </xf>
    <xf numFmtId="0" fontId="120" fillId="5" borderId="213" xfId="0" applyFont="1" applyFill="1" applyBorder="1" applyAlignment="1" applyProtection="1">
      <alignment horizontal="left" vertical="center"/>
      <protection hidden="1"/>
    </xf>
    <xf numFmtId="0" fontId="120" fillId="5" borderId="209" xfId="0" applyFont="1" applyFill="1" applyBorder="1" applyAlignment="1" applyProtection="1">
      <alignment horizontal="left" vertical="top" wrapText="1"/>
      <protection hidden="1"/>
    </xf>
    <xf numFmtId="0" fontId="120" fillId="5" borderId="210" xfId="0" applyFont="1" applyFill="1" applyBorder="1" applyAlignment="1" applyProtection="1">
      <alignment horizontal="left" vertical="top" wrapText="1"/>
      <protection hidden="1"/>
    </xf>
    <xf numFmtId="0" fontId="120" fillId="5" borderId="211" xfId="0" applyFont="1" applyFill="1" applyBorder="1" applyAlignment="1" applyProtection="1">
      <alignment horizontal="left" vertical="top" wrapText="1"/>
      <protection hidden="1"/>
    </xf>
    <xf numFmtId="0" fontId="113" fillId="8" borderId="104" xfId="0" applyFont="1" applyFill="1" applyBorder="1" applyAlignment="1" applyProtection="1">
      <alignment horizontal="center" vertical="center"/>
      <protection locked="0"/>
    </xf>
    <xf numFmtId="0" fontId="113" fillId="8" borderId="214" xfId="0" applyFont="1" applyFill="1" applyBorder="1" applyAlignment="1" applyProtection="1">
      <alignment horizontal="center" vertical="center"/>
      <protection locked="0"/>
    </xf>
    <xf numFmtId="166" fontId="113" fillId="5" borderId="0" xfId="0" applyNumberFormat="1" applyFont="1" applyFill="1" applyBorder="1" applyAlignment="1" applyProtection="1">
      <alignment horizontal="center" vertical="center"/>
      <protection hidden="1"/>
    </xf>
    <xf numFmtId="166" fontId="113" fillId="5" borderId="213" xfId="0" applyNumberFormat="1" applyFont="1" applyFill="1" applyBorder="1" applyAlignment="1" applyProtection="1">
      <alignment horizontal="center" vertical="center"/>
      <protection hidden="1"/>
    </xf>
    <xf numFmtId="0" fontId="113" fillId="25" borderId="237" xfId="0" applyFont="1" applyFill="1" applyBorder="1" applyAlignment="1" applyProtection="1">
      <alignment horizontal="center" vertical="center"/>
      <protection locked="0"/>
    </xf>
    <xf numFmtId="0" fontId="113" fillId="25" borderId="238" xfId="0" applyFont="1" applyFill="1" applyBorder="1" applyAlignment="1" applyProtection="1">
      <alignment horizontal="center" vertical="center"/>
      <protection locked="0"/>
    </xf>
    <xf numFmtId="0" fontId="120" fillId="5" borderId="0" xfId="0" applyFont="1" applyFill="1" applyBorder="1" applyAlignment="1" applyProtection="1">
      <alignment horizontal="center"/>
      <protection hidden="1"/>
    </xf>
    <xf numFmtId="0" fontId="120" fillId="5" borderId="213" xfId="0" applyFont="1" applyFill="1" applyBorder="1" applyAlignment="1" applyProtection="1">
      <alignment horizontal="center"/>
      <protection hidden="1"/>
    </xf>
    <xf numFmtId="0" fontId="120" fillId="25" borderId="207" xfId="0" applyFont="1" applyFill="1" applyBorder="1" applyAlignment="1" applyProtection="1">
      <alignment horizontal="center" vertical="center"/>
      <protection locked="0"/>
    </xf>
    <xf numFmtId="0" fontId="75" fillId="8" borderId="0" xfId="0" applyFont="1" applyFill="1" applyAlignment="1" applyProtection="1">
      <alignment horizontal="center" vertical="center" textRotation="90"/>
      <protection hidden="1"/>
    </xf>
    <xf numFmtId="0" fontId="76" fillId="16" borderId="10" xfId="0" applyFont="1" applyFill="1" applyBorder="1" applyAlignment="1" applyProtection="1">
      <alignment horizontal="center" vertical="center" textRotation="90"/>
      <protection hidden="1"/>
    </xf>
    <xf numFmtId="0" fontId="72" fillId="15" borderId="10" xfId="0" applyFont="1" applyFill="1" applyBorder="1" applyAlignment="1" applyProtection="1">
      <alignment horizontal="center" vertical="center" textRotation="90"/>
      <protection hidden="1"/>
    </xf>
    <xf numFmtId="0" fontId="72" fillId="22" borderId="0" xfId="0" applyFont="1" applyFill="1" applyAlignment="1" applyProtection="1">
      <alignment horizontal="center" vertical="center" textRotation="90"/>
      <protection hidden="1"/>
    </xf>
    <xf numFmtId="0" fontId="79" fillId="19" borderId="0" xfId="0" applyFont="1" applyFill="1" applyAlignment="1" applyProtection="1">
      <alignment horizontal="center"/>
      <protection hidden="1"/>
    </xf>
    <xf numFmtId="0" fontId="37" fillId="19" borderId="0" xfId="0" applyFont="1" applyFill="1" applyAlignment="1" applyProtection="1">
      <alignment horizontal="center"/>
      <protection hidden="1"/>
    </xf>
    <xf numFmtId="0" fontId="32" fillId="10" borderId="35" xfId="0" applyFont="1" applyFill="1" applyBorder="1" applyAlignment="1" applyProtection="1">
      <alignment horizontal="center" vertical="center" textRotation="90"/>
      <protection hidden="1"/>
    </xf>
    <xf numFmtId="0" fontId="32" fillId="10" borderId="36" xfId="0" applyFont="1" applyFill="1" applyBorder="1" applyAlignment="1" applyProtection="1">
      <alignment horizontal="center" vertical="center" textRotation="90"/>
      <protection hidden="1"/>
    </xf>
    <xf numFmtId="0" fontId="32" fillId="10" borderId="144" xfId="0" applyFont="1" applyFill="1" applyBorder="1" applyAlignment="1" applyProtection="1">
      <alignment horizontal="center" vertical="center" textRotation="90"/>
      <protection hidden="1"/>
    </xf>
    <xf numFmtId="0" fontId="32" fillId="10" borderId="30" xfId="0" applyFont="1" applyFill="1" applyBorder="1" applyAlignment="1" applyProtection="1">
      <alignment horizontal="center" vertical="center" textRotation="90"/>
      <protection hidden="1"/>
    </xf>
    <xf numFmtId="0" fontId="26" fillId="0" borderId="0" xfId="0" applyFont="1" applyAlignment="1" applyProtection="1">
      <alignment horizontal="left" wrapText="1"/>
      <protection hidden="1"/>
    </xf>
    <xf numFmtId="0" fontId="27" fillId="8" borderId="108" xfId="0" applyFont="1" applyFill="1" applyBorder="1" applyAlignment="1" applyProtection="1">
      <alignment horizontal="center" vertical="center"/>
      <protection locked="0"/>
    </xf>
    <xf numFmtId="0" fontId="27" fillId="8" borderId="189" xfId="0" applyFont="1" applyFill="1" applyBorder="1" applyAlignment="1" applyProtection="1">
      <alignment horizontal="center" vertical="center"/>
      <protection locked="0"/>
    </xf>
    <xf numFmtId="0" fontId="34" fillId="10" borderId="0" xfId="0" applyFont="1" applyFill="1" applyAlignment="1" applyProtection="1">
      <alignment horizontal="right"/>
      <protection hidden="1"/>
    </xf>
    <xf numFmtId="0" fontId="32" fillId="18" borderId="35" xfId="0" applyFont="1" applyFill="1" applyBorder="1" applyAlignment="1" applyProtection="1">
      <alignment horizontal="center" vertical="center" textRotation="90"/>
      <protection hidden="1"/>
    </xf>
    <xf numFmtId="0" fontId="32" fillId="18" borderId="36" xfId="0" applyFont="1" applyFill="1" applyBorder="1" applyAlignment="1" applyProtection="1">
      <alignment horizontal="center" vertical="center" textRotation="90"/>
      <protection hidden="1"/>
    </xf>
    <xf numFmtId="0" fontId="32" fillId="18" borderId="30" xfId="0" applyFont="1" applyFill="1" applyBorder="1" applyAlignment="1" applyProtection="1">
      <alignment horizontal="center" vertical="center" textRotation="90"/>
      <protection hidden="1"/>
    </xf>
    <xf numFmtId="0" fontId="38" fillId="10" borderId="0" xfId="0" applyFont="1" applyFill="1" applyAlignment="1" applyProtection="1">
      <alignment horizontal="left" vertical="center" wrapText="1"/>
      <protection hidden="1"/>
    </xf>
    <xf numFmtId="0" fontId="19" fillId="0" borderId="0" xfId="0" applyFont="1" applyAlignment="1" applyProtection="1">
      <alignment vertical="center"/>
      <protection hidden="1"/>
    </xf>
    <xf numFmtId="0" fontId="38" fillId="10" borderId="0" xfId="0" applyFont="1" applyFill="1" applyAlignment="1" applyProtection="1">
      <alignment horizontal="left" vertical="center"/>
      <protection hidden="1"/>
    </xf>
    <xf numFmtId="0" fontId="19" fillId="0" borderId="0" xfId="0" applyFont="1" applyAlignment="1" applyProtection="1">
      <alignment horizontal="left" vertical="center"/>
      <protection hidden="1"/>
    </xf>
    <xf numFmtId="0" fontId="63" fillId="16" borderId="37" xfId="0" applyFont="1" applyFill="1" applyBorder="1" applyAlignment="1" applyProtection="1">
      <alignment horizontal="center" vertical="center"/>
      <protection hidden="1"/>
    </xf>
    <xf numFmtId="0" fontId="63" fillId="16" borderId="38" xfId="0" applyFont="1" applyFill="1" applyBorder="1" applyAlignment="1" applyProtection="1">
      <alignment horizontal="center" vertical="center"/>
      <protection hidden="1"/>
    </xf>
    <xf numFmtId="0" fontId="63" fillId="16" borderId="39" xfId="0" applyFont="1" applyFill="1" applyBorder="1" applyAlignment="1" applyProtection="1">
      <alignment horizontal="center" vertical="center"/>
      <protection hidden="1"/>
    </xf>
    <xf numFmtId="0" fontId="39" fillId="8" borderId="105" xfId="0" applyFont="1" applyFill="1" applyBorder="1" applyAlignment="1" applyProtection="1">
      <alignment horizontal="left" vertical="center" wrapText="1"/>
      <protection hidden="1"/>
    </xf>
    <xf numFmtId="0" fontId="39" fillId="8" borderId="106" xfId="0" applyFont="1" applyFill="1" applyBorder="1" applyAlignment="1" applyProtection="1">
      <alignment horizontal="left" vertical="center" wrapText="1"/>
      <protection hidden="1"/>
    </xf>
    <xf numFmtId="0" fontId="39" fillId="8" borderId="107" xfId="0" applyFont="1" applyFill="1" applyBorder="1" applyAlignment="1" applyProtection="1">
      <alignment horizontal="left" vertical="center" wrapText="1"/>
      <protection hidden="1"/>
    </xf>
    <xf numFmtId="0" fontId="40" fillId="8" borderId="58" xfId="0" applyFont="1" applyFill="1" applyBorder="1" applyAlignment="1" applyProtection="1">
      <alignment horizontal="left" vertical="center" wrapText="1"/>
      <protection hidden="1"/>
    </xf>
    <xf numFmtId="0" fontId="39" fillId="8" borderId="58" xfId="0" applyFont="1" applyFill="1" applyBorder="1" applyAlignment="1" applyProtection="1">
      <alignment horizontal="left" vertical="center" wrapText="1"/>
      <protection hidden="1"/>
    </xf>
    <xf numFmtId="0" fontId="63" fillId="8" borderId="197" xfId="0" applyFont="1" applyFill="1" applyBorder="1" applyAlignment="1" applyProtection="1">
      <alignment horizontal="center" vertical="center"/>
      <protection hidden="1"/>
    </xf>
    <xf numFmtId="0" fontId="63" fillId="8" borderId="106" xfId="0" applyFont="1" applyFill="1" applyBorder="1" applyAlignment="1" applyProtection="1">
      <alignment horizontal="center" vertical="center"/>
      <protection hidden="1"/>
    </xf>
    <xf numFmtId="0" fontId="63" fillId="8" borderId="107" xfId="0" applyFont="1" applyFill="1" applyBorder="1" applyAlignment="1" applyProtection="1">
      <alignment horizontal="center" vertical="center"/>
      <protection hidden="1"/>
    </xf>
    <xf numFmtId="0" fontId="8" fillId="8" borderId="35" xfId="0" applyFont="1" applyFill="1" applyBorder="1" applyAlignment="1" applyProtection="1">
      <alignment horizontal="center" vertical="center" textRotation="90"/>
      <protection hidden="1"/>
    </xf>
    <xf numFmtId="0" fontId="8" fillId="8" borderId="36" xfId="0" applyFont="1" applyFill="1" applyBorder="1" applyAlignment="1" applyProtection="1">
      <alignment horizontal="center" vertical="center" textRotation="90"/>
      <protection hidden="1"/>
    </xf>
    <xf numFmtId="0" fontId="8" fillId="8" borderId="30" xfId="0" applyFont="1" applyFill="1" applyBorder="1" applyAlignment="1" applyProtection="1">
      <alignment horizontal="center" vertical="center" textRotation="90"/>
      <protection hidden="1"/>
    </xf>
    <xf numFmtId="0" fontId="64" fillId="20" borderId="0" xfId="0" applyFont="1" applyFill="1" applyAlignment="1" applyProtection="1">
      <alignment horizontal="center"/>
      <protection locked="0"/>
    </xf>
    <xf numFmtId="0" fontId="33" fillId="21" borderId="0" xfId="0" applyFont="1" applyFill="1" applyAlignment="1" applyProtection="1">
      <alignment horizontal="center" vertical="center" textRotation="90"/>
      <protection hidden="1"/>
    </xf>
    <xf numFmtId="0" fontId="26" fillId="0" borderId="0" xfId="0" applyFont="1" applyAlignment="1" applyProtection="1">
      <alignment wrapText="1"/>
      <protection hidden="1"/>
    </xf>
    <xf numFmtId="0" fontId="33" fillId="17" borderId="0" xfId="0" applyFont="1" applyFill="1" applyAlignment="1" applyProtection="1">
      <alignment horizontal="center" vertical="center" textRotation="90"/>
      <protection hidden="1"/>
    </xf>
    <xf numFmtId="0" fontId="33" fillId="8" borderId="0" xfId="0" applyFont="1" applyFill="1" applyAlignment="1" applyProtection="1">
      <alignment horizontal="center" vertical="center" textRotation="90"/>
      <protection hidden="1"/>
    </xf>
    <xf numFmtId="0" fontId="39" fillId="23" borderId="58" xfId="0" applyFont="1" applyFill="1" applyBorder="1" applyAlignment="1" applyProtection="1">
      <alignment horizontal="left" vertical="center" wrapText="1"/>
      <protection hidden="1"/>
    </xf>
    <xf numFmtId="0" fontId="8" fillId="16" borderId="35" xfId="0" applyFont="1" applyFill="1" applyBorder="1" applyAlignment="1" applyProtection="1">
      <alignment horizontal="center" vertical="center" textRotation="90"/>
      <protection hidden="1"/>
    </xf>
    <xf numFmtId="0" fontId="8" fillId="16" borderId="36" xfId="0" applyFont="1" applyFill="1" applyBorder="1" applyAlignment="1" applyProtection="1">
      <alignment horizontal="center" vertical="center" textRotation="90"/>
      <protection hidden="1"/>
    </xf>
    <xf numFmtId="0" fontId="8" fillId="16" borderId="30" xfId="0" applyFont="1" applyFill="1" applyBorder="1" applyAlignment="1" applyProtection="1">
      <alignment horizontal="center" vertical="center" textRotation="90"/>
      <protection hidden="1"/>
    </xf>
    <xf numFmtId="0" fontId="33" fillId="18" borderId="35" xfId="0" applyFont="1" applyFill="1" applyBorder="1" applyAlignment="1" applyProtection="1">
      <alignment horizontal="center" vertical="center" textRotation="90"/>
      <protection hidden="1"/>
    </xf>
    <xf numFmtId="0" fontId="33" fillId="18" borderId="36" xfId="0" applyFont="1" applyFill="1" applyBorder="1" applyAlignment="1" applyProtection="1">
      <alignment horizontal="center" vertical="center" textRotation="90"/>
      <protection hidden="1"/>
    </xf>
    <xf numFmtId="0" fontId="33" fillId="18" borderId="30" xfId="0" applyFont="1" applyFill="1" applyBorder="1" applyAlignment="1" applyProtection="1">
      <alignment horizontal="center" vertical="center" textRotation="90"/>
      <protection hidden="1"/>
    </xf>
    <xf numFmtId="0" fontId="21" fillId="0" borderId="0" xfId="0" applyFont="1" applyAlignment="1" applyProtection="1">
      <alignment horizontal="center"/>
      <protection hidden="1"/>
    </xf>
    <xf numFmtId="0" fontId="21" fillId="0" borderId="0" xfId="0" applyFont="1" applyProtection="1">
      <protection hidden="1"/>
    </xf>
    <xf numFmtId="14" fontId="22" fillId="8" borderId="193" xfId="0" applyNumberFormat="1" applyFont="1" applyFill="1" applyBorder="1" applyAlignment="1" applyProtection="1">
      <alignment horizontal="center"/>
      <protection locked="0"/>
    </xf>
    <xf numFmtId="14" fontId="22" fillId="8" borderId="194" xfId="0" applyNumberFormat="1" applyFont="1" applyFill="1" applyBorder="1" applyAlignment="1" applyProtection="1">
      <alignment horizontal="center"/>
      <protection locked="0"/>
    </xf>
    <xf numFmtId="0" fontId="36" fillId="8" borderId="35" xfId="0" applyFont="1" applyFill="1" applyBorder="1" applyAlignment="1" applyProtection="1">
      <alignment horizontal="center" vertical="center" textRotation="90"/>
      <protection hidden="1"/>
    </xf>
    <xf numFmtId="0" fontId="36" fillId="8" borderId="36" xfId="0" applyFont="1" applyFill="1" applyBorder="1" applyAlignment="1" applyProtection="1">
      <alignment horizontal="center" vertical="center" textRotation="90"/>
      <protection hidden="1"/>
    </xf>
    <xf numFmtId="0" fontId="36" fillId="8" borderId="30" xfId="0" applyFont="1" applyFill="1" applyBorder="1" applyAlignment="1" applyProtection="1">
      <alignment horizontal="center" vertical="center" textRotation="90"/>
      <protection hidden="1"/>
    </xf>
    <xf numFmtId="0" fontId="31" fillId="22" borderId="0" xfId="0" applyFont="1" applyFill="1" applyAlignment="1" applyProtection="1">
      <alignment horizontal="center" vertical="center" textRotation="90"/>
      <protection hidden="1"/>
    </xf>
    <xf numFmtId="0" fontId="30" fillId="0" borderId="0" xfId="0" applyFont="1" applyAlignment="1" applyProtection="1">
      <alignment horizontal="center" wrapText="1"/>
      <protection hidden="1"/>
    </xf>
    <xf numFmtId="0" fontId="20" fillId="0" borderId="0" xfId="0" applyFont="1" applyAlignment="1" applyProtection="1">
      <alignment wrapText="1"/>
      <protection hidden="1"/>
    </xf>
    <xf numFmtId="0" fontId="30" fillId="0" borderId="0" xfId="0" applyFont="1" applyAlignment="1" applyProtection="1">
      <alignment horizontal="left" vertical="top" wrapText="1"/>
      <protection hidden="1"/>
    </xf>
    <xf numFmtId="0" fontId="46" fillId="7" borderId="0" xfId="0" applyFont="1" applyFill="1" applyAlignment="1">
      <alignment horizontal="center"/>
    </xf>
    <xf numFmtId="0" fontId="48" fillId="0" borderId="0" xfId="0" applyFont="1" applyAlignment="1">
      <alignment horizontal="justify"/>
    </xf>
    <xf numFmtId="0" fontId="65" fillId="0" borderId="0" xfId="0" applyFont="1" applyAlignment="1">
      <alignment horizontal="left" wrapText="1"/>
    </xf>
    <xf numFmtId="0" fontId="19" fillId="5" borderId="78" xfId="0" applyFont="1" applyFill="1" applyBorder="1" applyAlignment="1" applyProtection="1">
      <alignment horizontal="left" wrapText="1"/>
      <protection hidden="1"/>
    </xf>
    <xf numFmtId="0" fontId="119" fillId="0" borderId="84" xfId="0" applyFont="1" applyBorder="1" applyAlignment="1" applyProtection="1">
      <alignment horizontal="justify" vertical="top" wrapText="1"/>
      <protection hidden="1"/>
    </xf>
    <xf numFmtId="0" fontId="119" fillId="0" borderId="86" xfId="0" applyFont="1" applyBorder="1" applyAlignment="1" applyProtection="1">
      <alignment horizontal="justify" vertical="top" wrapText="1"/>
      <protection hidden="1"/>
    </xf>
    <xf numFmtId="0" fontId="119" fillId="0" borderId="153" xfId="0" applyFont="1" applyBorder="1" applyAlignment="1" applyProtection="1">
      <alignment horizontal="left" vertical="top" wrapText="1"/>
      <protection hidden="1"/>
    </xf>
    <xf numFmtId="0" fontId="119" fillId="0" borderId="154" xfId="0" applyFont="1" applyBorder="1" applyAlignment="1" applyProtection="1">
      <alignment horizontal="left" vertical="top" wrapText="1"/>
      <protection hidden="1"/>
    </xf>
    <xf numFmtId="0" fontId="128" fillId="5" borderId="0" xfId="0" applyFont="1" applyFill="1" applyAlignment="1" applyProtection="1">
      <alignment wrapText="1"/>
      <protection hidden="1"/>
    </xf>
    <xf numFmtId="0" fontId="119" fillId="5" borderId="0" xfId="0" applyFont="1" applyFill="1" applyAlignment="1" applyProtection="1">
      <alignment wrapText="1"/>
      <protection hidden="1"/>
    </xf>
    <xf numFmtId="0" fontId="119" fillId="0" borderId="155" xfId="0" applyFont="1" applyBorder="1" applyAlignment="1" applyProtection="1">
      <alignment horizontal="left" vertical="top" wrapText="1"/>
      <protection hidden="1"/>
    </xf>
    <xf numFmtId="0" fontId="119" fillId="0" borderId="157" xfId="0" applyFont="1" applyBorder="1" applyAlignment="1" applyProtection="1">
      <alignment horizontal="left" vertical="top" wrapText="1"/>
      <protection hidden="1"/>
    </xf>
    <xf numFmtId="0" fontId="113" fillId="0" borderId="156" xfId="0" quotePrefix="1" applyFont="1" applyBorder="1" applyAlignment="1" applyProtection="1">
      <alignment horizontal="left" vertical="top" wrapText="1"/>
      <protection hidden="1"/>
    </xf>
    <xf numFmtId="0" fontId="113" fillId="0" borderId="158" xfId="0" quotePrefix="1" applyFont="1" applyBorder="1" applyAlignment="1" applyProtection="1">
      <alignment horizontal="left" vertical="top" wrapText="1"/>
      <protection hidden="1"/>
    </xf>
    <xf numFmtId="0" fontId="7" fillId="5" borderId="0" xfId="0" applyFont="1" applyFill="1" applyAlignment="1" applyProtection="1">
      <alignment horizontal="center" vertical="top" wrapText="1"/>
      <protection hidden="1"/>
    </xf>
    <xf numFmtId="0" fontId="6" fillId="5" borderId="0" xfId="0" applyFont="1" applyFill="1" applyProtection="1">
      <protection hidden="1"/>
    </xf>
    <xf numFmtId="0" fontId="6" fillId="5" borderId="57" xfId="0" applyFont="1" applyFill="1" applyBorder="1" applyAlignment="1" applyProtection="1">
      <alignment horizontal="left" vertical="top" wrapText="1"/>
      <protection hidden="1"/>
    </xf>
    <xf numFmtId="0" fontId="6" fillId="5" borderId="83" xfId="0" applyFont="1" applyFill="1" applyBorder="1" applyAlignment="1" applyProtection="1">
      <alignment horizontal="left" vertical="top" wrapText="1"/>
      <protection hidden="1"/>
    </xf>
    <xf numFmtId="0" fontId="120" fillId="25" borderId="111" xfId="0" applyFont="1" applyFill="1" applyBorder="1" applyAlignment="1" applyProtection="1">
      <alignment horizontal="justify" vertical="top" wrapText="1"/>
      <protection locked="0"/>
    </xf>
    <xf numFmtId="0" fontId="113" fillId="25" borderId="112" xfId="0" applyFont="1" applyFill="1" applyBorder="1" applyProtection="1">
      <protection locked="0"/>
    </xf>
    <xf numFmtId="0" fontId="113" fillId="25" borderId="89" xfId="0" applyFont="1" applyFill="1" applyBorder="1" applyProtection="1">
      <protection locked="0"/>
    </xf>
    <xf numFmtId="0" fontId="6" fillId="5" borderId="80" xfId="0" applyFont="1" applyFill="1" applyBorder="1" applyAlignment="1" applyProtection="1">
      <alignment horizontal="left" vertical="top" wrapText="1"/>
      <protection hidden="1"/>
    </xf>
    <xf numFmtId="0" fontId="113" fillId="5" borderId="78" xfId="0" applyFont="1" applyFill="1" applyBorder="1" applyAlignment="1" applyProtection="1">
      <alignment horizontal="left" vertical="center" wrapText="1"/>
      <protection hidden="1"/>
    </xf>
    <xf numFmtId="0" fontId="113" fillId="5" borderId="0" xfId="0" applyFont="1" applyFill="1" applyAlignment="1" applyProtection="1">
      <alignment horizontal="left" vertical="center" wrapText="1"/>
      <protection hidden="1"/>
    </xf>
    <xf numFmtId="0" fontId="120" fillId="5" borderId="78" xfId="0" applyFont="1" applyFill="1" applyBorder="1" applyAlignment="1" applyProtection="1">
      <alignment horizontal="left" vertical="top" wrapText="1"/>
      <protection hidden="1"/>
    </xf>
    <xf numFmtId="0" fontId="120" fillId="5" borderId="0" xfId="0" applyFont="1" applyFill="1" applyAlignment="1" applyProtection="1">
      <alignment horizontal="left" vertical="top" wrapText="1"/>
      <protection hidden="1"/>
    </xf>
    <xf numFmtId="0" fontId="120" fillId="5" borderId="77" xfId="0" applyFont="1" applyFill="1" applyBorder="1" applyAlignment="1" applyProtection="1">
      <alignment horizontal="left" vertical="top" wrapText="1"/>
      <protection hidden="1"/>
    </xf>
    <xf numFmtId="0" fontId="120" fillId="5" borderId="78" xfId="0" applyFont="1" applyFill="1" applyBorder="1" applyAlignment="1" applyProtection="1">
      <alignment horizontal="justify" vertical="top" wrapText="1"/>
      <protection hidden="1"/>
    </xf>
    <xf numFmtId="0" fontId="120" fillId="5" borderId="0" xfId="0" applyFont="1" applyFill="1" applyAlignment="1" applyProtection="1">
      <alignment vertical="top"/>
      <protection hidden="1"/>
    </xf>
    <xf numFmtId="0" fontId="120" fillId="5" borderId="77" xfId="0" applyFont="1" applyFill="1" applyBorder="1" applyAlignment="1" applyProtection="1">
      <alignment vertical="top"/>
      <protection hidden="1"/>
    </xf>
    <xf numFmtId="49" fontId="113" fillId="5" borderId="0" xfId="0" quotePrefix="1" applyNumberFormat="1" applyFont="1" applyFill="1" applyAlignment="1" applyProtection="1">
      <alignment horizontal="left" vertical="center" wrapText="1"/>
      <protection hidden="1"/>
    </xf>
    <xf numFmtId="49" fontId="113" fillId="5" borderId="77" xfId="0" quotePrefix="1" applyNumberFormat="1" applyFont="1" applyFill="1" applyBorder="1" applyAlignment="1" applyProtection="1">
      <alignment horizontal="left" vertical="center" wrapText="1"/>
      <protection hidden="1"/>
    </xf>
    <xf numFmtId="0" fontId="113" fillId="5" borderId="78" xfId="0" applyFont="1" applyFill="1" applyBorder="1" applyAlignment="1" applyProtection="1">
      <alignment horizontal="left" vertical="top" wrapText="1"/>
      <protection hidden="1"/>
    </xf>
    <xf numFmtId="0" fontId="113" fillId="5" borderId="0" xfId="0" applyFont="1" applyFill="1" applyAlignment="1" applyProtection="1">
      <alignment horizontal="left" vertical="top" wrapText="1"/>
      <protection hidden="1"/>
    </xf>
    <xf numFmtId="0" fontId="113" fillId="5" borderId="82" xfId="0" applyFont="1" applyFill="1" applyBorder="1" applyAlignment="1" applyProtection="1">
      <alignment horizontal="left" vertical="top" wrapText="1"/>
      <protection hidden="1"/>
    </xf>
    <xf numFmtId="0" fontId="113" fillId="5" borderId="73" xfId="0" applyFont="1" applyFill="1" applyBorder="1" applyAlignment="1" applyProtection="1">
      <alignment horizontal="left" vertical="top" wrapText="1"/>
      <protection hidden="1"/>
    </xf>
    <xf numFmtId="0" fontId="113" fillId="5" borderId="81" xfId="0" applyFont="1" applyFill="1" applyBorder="1" applyAlignment="1" applyProtection="1">
      <alignment horizontal="left" vertical="top" wrapText="1"/>
      <protection hidden="1"/>
    </xf>
    <xf numFmtId="0" fontId="113" fillId="5" borderId="77" xfId="0" applyFont="1" applyFill="1" applyBorder="1" applyAlignment="1" applyProtection="1">
      <alignment horizontal="left" vertical="top" wrapText="1"/>
      <protection hidden="1"/>
    </xf>
    <xf numFmtId="0" fontId="113" fillId="8" borderId="161" xfId="0" applyFont="1" applyFill="1" applyBorder="1" applyAlignment="1" applyProtection="1">
      <alignment horizontal="left" vertical="top" wrapText="1"/>
      <protection locked="0"/>
    </xf>
    <xf numFmtId="0" fontId="113" fillId="8" borderId="162" xfId="0" applyFont="1" applyFill="1" applyBorder="1" applyAlignment="1" applyProtection="1">
      <alignment horizontal="left" vertical="top" wrapText="1"/>
      <protection locked="0"/>
    </xf>
    <xf numFmtId="0" fontId="113" fillId="8" borderId="163" xfId="0" applyFont="1" applyFill="1" applyBorder="1" applyAlignment="1" applyProtection="1">
      <alignment horizontal="left" vertical="top" wrapText="1"/>
      <protection locked="0"/>
    </xf>
    <xf numFmtId="0" fontId="120" fillId="8" borderId="104" xfId="0" applyFont="1" applyFill="1" applyBorder="1" applyAlignment="1" applyProtection="1">
      <alignment horizontal="left" vertical="top" wrapText="1"/>
      <protection locked="0"/>
    </xf>
    <xf numFmtId="0" fontId="120" fillId="8" borderId="56" xfId="0" applyFont="1" applyFill="1" applyBorder="1" applyAlignment="1" applyProtection="1">
      <alignment horizontal="left" vertical="top" wrapText="1"/>
      <protection locked="0"/>
    </xf>
    <xf numFmtId="0" fontId="120" fillId="8" borderId="164" xfId="0" applyFont="1" applyFill="1" applyBorder="1" applyAlignment="1" applyProtection="1">
      <alignment horizontal="left" vertical="top" wrapText="1"/>
      <protection locked="0"/>
    </xf>
    <xf numFmtId="0" fontId="120" fillId="8" borderId="165" xfId="0" applyFont="1" applyFill="1" applyBorder="1" applyAlignment="1" applyProtection="1">
      <alignment horizontal="left" vertical="top" wrapText="1"/>
      <protection locked="0"/>
    </xf>
    <xf numFmtId="0" fontId="120" fillId="8" borderId="49" xfId="0" applyFont="1" applyFill="1" applyBorder="1" applyAlignment="1" applyProtection="1">
      <alignment horizontal="left" vertical="top" wrapText="1"/>
      <protection locked="0"/>
    </xf>
    <xf numFmtId="0" fontId="120" fillId="8" borderId="166" xfId="0" applyFont="1" applyFill="1" applyBorder="1" applyAlignment="1" applyProtection="1">
      <alignment horizontal="left" vertical="top" wrapText="1"/>
      <protection locked="0"/>
    </xf>
    <xf numFmtId="0" fontId="113" fillId="8" borderId="167" xfId="0" applyFont="1" applyFill="1" applyBorder="1" applyAlignment="1" applyProtection="1">
      <alignment horizontal="left" vertical="top" wrapText="1"/>
      <protection locked="0" hidden="1"/>
    </xf>
    <xf numFmtId="0" fontId="113" fillId="8" borderId="56" xfId="0" applyFont="1" applyFill="1" applyBorder="1" applyAlignment="1" applyProtection="1">
      <alignment horizontal="left" vertical="top" wrapText="1"/>
      <protection locked="0" hidden="1"/>
    </xf>
    <xf numFmtId="0" fontId="113" fillId="8" borderId="168" xfId="0" applyFont="1" applyFill="1" applyBorder="1" applyAlignment="1" applyProtection="1">
      <alignment horizontal="left" vertical="top" wrapText="1"/>
      <protection locked="0" hidden="1"/>
    </xf>
    <xf numFmtId="0" fontId="120" fillId="5" borderId="82" xfId="0" applyFont="1" applyFill="1" applyBorder="1" applyAlignment="1" applyProtection="1">
      <alignment horizontal="left" vertical="top" wrapText="1"/>
      <protection hidden="1"/>
    </xf>
    <xf numFmtId="0" fontId="120" fillId="5" borderId="73" xfId="0" applyFont="1" applyFill="1" applyBorder="1" applyAlignment="1">
      <alignment wrapText="1"/>
    </xf>
    <xf numFmtId="0" fontId="120" fillId="5" borderId="81" xfId="0" applyFont="1" applyFill="1" applyBorder="1" applyAlignment="1">
      <alignment wrapText="1"/>
    </xf>
    <xf numFmtId="0" fontId="6" fillId="5" borderId="57" xfId="0" applyFont="1" applyFill="1" applyBorder="1" applyAlignment="1" applyProtection="1">
      <alignment horizontal="center" vertical="top" wrapText="1"/>
      <protection hidden="1"/>
    </xf>
    <xf numFmtId="0" fontId="6" fillId="5" borderId="83" xfId="0" applyFont="1" applyFill="1" applyBorder="1" applyAlignment="1" applyProtection="1">
      <alignment horizontal="center" vertical="top" wrapText="1"/>
      <protection hidden="1"/>
    </xf>
    <xf numFmtId="0" fontId="6" fillId="5" borderId="80" xfId="0" applyFont="1" applyFill="1" applyBorder="1" applyAlignment="1" applyProtection="1">
      <alignment horizontal="center" vertical="top" wrapText="1"/>
      <protection hidden="1"/>
    </xf>
    <xf numFmtId="0" fontId="120" fillId="5" borderId="79" xfId="0" applyFont="1" applyFill="1" applyBorder="1" applyAlignment="1" applyProtection="1">
      <alignment horizontal="left" vertical="top" wrapText="1"/>
      <protection hidden="1"/>
    </xf>
    <xf numFmtId="0" fontId="120" fillId="5" borderId="75" xfId="0" applyFont="1" applyFill="1" applyBorder="1" applyAlignment="1" applyProtection="1">
      <alignment horizontal="left" vertical="top" wrapText="1"/>
      <protection hidden="1"/>
    </xf>
    <xf numFmtId="0" fontId="120" fillId="5" borderId="76" xfId="0" applyFont="1" applyFill="1" applyBorder="1" applyAlignment="1" applyProtection="1">
      <alignment horizontal="left" vertical="top" wrapText="1"/>
      <protection hidden="1"/>
    </xf>
    <xf numFmtId="49" fontId="120" fillId="20" borderId="190" xfId="0" applyNumberFormat="1" applyFont="1" applyFill="1" applyBorder="1" applyAlignment="1" applyProtection="1">
      <alignment horizontal="center" vertical="center" wrapText="1"/>
      <protection hidden="1"/>
    </xf>
    <xf numFmtId="49" fontId="120" fillId="20" borderId="191" xfId="0" applyNumberFormat="1" applyFont="1" applyFill="1" applyBorder="1" applyAlignment="1" applyProtection="1">
      <alignment horizontal="center" vertical="center" wrapText="1"/>
      <protection hidden="1"/>
    </xf>
    <xf numFmtId="49" fontId="120" fillId="20" borderId="192" xfId="0" applyNumberFormat="1" applyFont="1" applyFill="1" applyBorder="1" applyAlignment="1" applyProtection="1">
      <alignment horizontal="center" vertical="center" wrapText="1"/>
      <protection hidden="1"/>
    </xf>
    <xf numFmtId="49" fontId="120" fillId="14" borderId="153" xfId="0" applyNumberFormat="1" applyFont="1" applyFill="1" applyBorder="1" applyAlignment="1" applyProtection="1">
      <alignment horizontal="left" vertical="center" wrapText="1"/>
      <protection hidden="1"/>
    </xf>
    <xf numFmtId="49" fontId="120" fillId="14" borderId="169" xfId="0" applyNumberFormat="1" applyFont="1" applyFill="1" applyBorder="1" applyAlignment="1" applyProtection="1">
      <alignment horizontal="left" vertical="center" wrapText="1"/>
      <protection hidden="1"/>
    </xf>
    <xf numFmtId="49" fontId="120" fillId="14" borderId="154" xfId="0" applyNumberFormat="1" applyFont="1" applyFill="1" applyBorder="1" applyAlignment="1" applyProtection="1">
      <alignment horizontal="left" vertical="center" wrapText="1"/>
      <protection hidden="1"/>
    </xf>
    <xf numFmtId="49" fontId="113" fillId="5" borderId="153" xfId="0" applyNumberFormat="1" applyFont="1" applyFill="1" applyBorder="1" applyAlignment="1" applyProtection="1">
      <alignment horizontal="left" vertical="center" wrapText="1"/>
      <protection hidden="1"/>
    </xf>
    <xf numFmtId="49" fontId="113" fillId="5" borderId="169" xfId="0" applyNumberFormat="1" applyFont="1" applyFill="1" applyBorder="1" applyAlignment="1" applyProtection="1">
      <alignment horizontal="left" vertical="center" wrapText="1"/>
      <protection hidden="1"/>
    </xf>
    <xf numFmtId="49" fontId="113" fillId="5" borderId="170" xfId="0" applyNumberFormat="1" applyFont="1" applyFill="1" applyBorder="1" applyAlignment="1" applyProtection="1">
      <alignment horizontal="left" vertical="center" wrapText="1"/>
      <protection hidden="1"/>
    </xf>
    <xf numFmtId="6" fontId="113" fillId="5" borderId="169" xfId="0" quotePrefix="1" applyNumberFormat="1" applyFont="1" applyFill="1" applyBorder="1" applyAlignment="1" applyProtection="1">
      <alignment horizontal="center" vertical="center" wrapText="1"/>
      <protection hidden="1"/>
    </xf>
    <xf numFmtId="0" fontId="113" fillId="5" borderId="154" xfId="0" applyFont="1" applyFill="1" applyBorder="1" applyAlignment="1" applyProtection="1">
      <alignment horizontal="center" vertical="center" wrapText="1"/>
      <protection hidden="1"/>
    </xf>
    <xf numFmtId="0" fontId="113" fillId="5" borderId="153" xfId="0" applyFont="1" applyFill="1" applyBorder="1" applyAlignment="1" applyProtection="1">
      <alignment horizontal="left" vertical="center"/>
      <protection hidden="1"/>
    </xf>
    <xf numFmtId="0" fontId="113" fillId="5" borderId="169" xfId="0" applyFont="1" applyFill="1" applyBorder="1" applyAlignment="1" applyProtection="1">
      <alignment horizontal="left" vertical="center"/>
      <protection hidden="1"/>
    </xf>
    <xf numFmtId="10" fontId="113" fillId="5" borderId="169" xfId="11" quotePrefix="1" applyNumberFormat="1" applyFont="1" applyFill="1" applyBorder="1" applyAlignment="1" applyProtection="1">
      <alignment horizontal="center" vertical="center" wrapText="1"/>
      <protection hidden="1"/>
    </xf>
    <xf numFmtId="10" fontId="113" fillId="5" borderId="154" xfId="11" applyNumberFormat="1" applyFont="1" applyFill="1" applyBorder="1" applyAlignment="1" applyProtection="1">
      <alignment horizontal="center" vertical="center" wrapText="1"/>
      <protection hidden="1"/>
    </xf>
    <xf numFmtId="49" fontId="133" fillId="5" borderId="172" xfId="0" applyNumberFormat="1" applyFont="1" applyFill="1" applyBorder="1" applyAlignment="1" applyProtection="1">
      <alignment horizontal="left" vertical="center" wrapText="1"/>
      <protection hidden="1"/>
    </xf>
    <xf numFmtId="49" fontId="133" fillId="5" borderId="173" xfId="0" applyNumberFormat="1" applyFont="1" applyFill="1" applyBorder="1" applyAlignment="1" applyProtection="1">
      <alignment horizontal="left" vertical="center" wrapText="1"/>
      <protection hidden="1"/>
    </xf>
    <xf numFmtId="49" fontId="133" fillId="5" borderId="174" xfId="0" applyNumberFormat="1" applyFont="1" applyFill="1" applyBorder="1" applyAlignment="1" applyProtection="1">
      <alignment horizontal="left" vertical="center" wrapText="1"/>
      <protection hidden="1"/>
    </xf>
    <xf numFmtId="165" fontId="113" fillId="5" borderId="169" xfId="0" quotePrefix="1" applyNumberFormat="1" applyFont="1" applyFill="1" applyBorder="1" applyAlignment="1" applyProtection="1">
      <alignment horizontal="center" vertical="center" wrapText="1"/>
      <protection hidden="1"/>
    </xf>
    <xf numFmtId="165" fontId="113" fillId="5" borderId="154" xfId="0" applyNumberFormat="1" applyFont="1" applyFill="1" applyBorder="1" applyAlignment="1" applyProtection="1">
      <alignment horizontal="center" vertical="center" wrapText="1"/>
      <protection hidden="1"/>
    </xf>
    <xf numFmtId="165" fontId="113" fillId="5" borderId="171" xfId="0" quotePrefix="1" applyNumberFormat="1" applyFont="1" applyFill="1" applyBorder="1" applyAlignment="1" applyProtection="1">
      <alignment horizontal="center" vertical="center" wrapText="1"/>
      <protection hidden="1"/>
    </xf>
    <xf numFmtId="0" fontId="113" fillId="5" borderId="170" xfId="0" applyFont="1" applyFill="1" applyBorder="1" applyAlignment="1" applyProtection="1">
      <alignment horizontal="left" vertical="center"/>
      <protection hidden="1"/>
    </xf>
    <xf numFmtId="49" fontId="113" fillId="5" borderId="78" xfId="0" applyNumberFormat="1" applyFont="1" applyFill="1" applyBorder="1" applyAlignment="1" applyProtection="1">
      <alignment horizontal="left" vertical="top" wrapText="1"/>
      <protection hidden="1"/>
    </xf>
    <xf numFmtId="49" fontId="113" fillId="5" borderId="0" xfId="0" applyNumberFormat="1" applyFont="1" applyFill="1" applyAlignment="1" applyProtection="1">
      <alignment horizontal="left" vertical="top" wrapText="1"/>
      <protection hidden="1"/>
    </xf>
    <xf numFmtId="49" fontId="113" fillId="5" borderId="77" xfId="0" applyNumberFormat="1" applyFont="1" applyFill="1" applyBorder="1" applyAlignment="1" applyProtection="1">
      <alignment horizontal="left" vertical="top" wrapText="1"/>
      <protection hidden="1"/>
    </xf>
    <xf numFmtId="49" fontId="120" fillId="5" borderId="78" xfId="0" applyNumberFormat="1" applyFont="1" applyFill="1" applyBorder="1" applyAlignment="1" applyProtection="1">
      <alignment horizontal="left" vertical="center" wrapText="1"/>
      <protection hidden="1"/>
    </xf>
    <xf numFmtId="49" fontId="120" fillId="5" borderId="0" xfId="0" applyNumberFormat="1" applyFont="1" applyFill="1" applyAlignment="1" applyProtection="1">
      <alignment horizontal="left" vertical="center" wrapText="1"/>
      <protection hidden="1"/>
    </xf>
    <xf numFmtId="49" fontId="120" fillId="5" borderId="77" xfId="0" applyNumberFormat="1" applyFont="1" applyFill="1" applyBorder="1" applyAlignment="1" applyProtection="1">
      <alignment horizontal="left" vertical="center" wrapText="1"/>
      <protection hidden="1"/>
    </xf>
    <xf numFmtId="0" fontId="113" fillId="5" borderId="79" xfId="0" applyFont="1" applyFill="1" applyBorder="1" applyAlignment="1" applyProtection="1">
      <alignment horizontal="justify" vertical="top" wrapText="1"/>
      <protection hidden="1"/>
    </xf>
    <xf numFmtId="0" fontId="113" fillId="5" borderId="75" xfId="0" applyFont="1" applyFill="1" applyBorder="1" applyProtection="1">
      <protection hidden="1"/>
    </xf>
    <xf numFmtId="0" fontId="113" fillId="5" borderId="82" xfId="0" applyFont="1" applyFill="1" applyBorder="1" applyAlignment="1" applyProtection="1">
      <alignment horizontal="justify" vertical="top" wrapText="1"/>
      <protection hidden="1"/>
    </xf>
    <xf numFmtId="0" fontId="113" fillId="5" borderId="73" xfId="0" applyFont="1" applyFill="1" applyBorder="1" applyProtection="1">
      <protection hidden="1"/>
    </xf>
    <xf numFmtId="49" fontId="113" fillId="5" borderId="169" xfId="0" applyNumberFormat="1" applyFont="1" applyFill="1" applyBorder="1" applyAlignment="1" applyProtection="1">
      <alignment horizontal="center" vertical="center" wrapText="1"/>
      <protection hidden="1"/>
    </xf>
    <xf numFmtId="49" fontId="113" fillId="5" borderId="154" xfId="0" applyNumberFormat="1" applyFont="1" applyFill="1" applyBorder="1" applyAlignment="1" applyProtection="1">
      <alignment horizontal="center" vertical="center" wrapText="1"/>
      <protection hidden="1"/>
    </xf>
    <xf numFmtId="0" fontId="120" fillId="5" borderId="78" xfId="0" applyFont="1" applyFill="1" applyBorder="1" applyAlignment="1" applyProtection="1">
      <alignment horizontal="left" vertical="center" wrapText="1"/>
      <protection hidden="1"/>
    </xf>
    <xf numFmtId="0" fontId="113" fillId="5" borderId="77" xfId="0" applyFont="1" applyFill="1" applyBorder="1" applyAlignment="1" applyProtection="1">
      <alignment horizontal="left" vertical="center" wrapText="1"/>
      <protection hidden="1"/>
    </xf>
    <xf numFmtId="165" fontId="113" fillId="5" borderId="82" xfId="0" applyNumberFormat="1" applyFont="1" applyFill="1" applyBorder="1" applyAlignment="1" applyProtection="1">
      <alignment horizontal="left" vertical="top" wrapText="1"/>
      <protection hidden="1"/>
    </xf>
    <xf numFmtId="165" fontId="113" fillId="5" borderId="73" xfId="0" applyNumberFormat="1" applyFont="1" applyFill="1" applyBorder="1" applyAlignment="1" applyProtection="1">
      <alignment horizontal="left" vertical="top" wrapText="1"/>
      <protection hidden="1"/>
    </xf>
    <xf numFmtId="165" fontId="113" fillId="5" borderId="81" xfId="0" applyNumberFormat="1" applyFont="1" applyFill="1" applyBorder="1" applyAlignment="1" applyProtection="1">
      <alignment horizontal="left" vertical="top" wrapText="1"/>
      <protection hidden="1"/>
    </xf>
    <xf numFmtId="0" fontId="113" fillId="5" borderId="82" xfId="0" applyFont="1" applyFill="1" applyBorder="1" applyAlignment="1" applyProtection="1">
      <alignment vertical="top" wrapText="1"/>
      <protection hidden="1"/>
    </xf>
    <xf numFmtId="0" fontId="113" fillId="5" borderId="81" xfId="0" applyFont="1" applyFill="1" applyBorder="1" applyProtection="1">
      <protection hidden="1"/>
    </xf>
    <xf numFmtId="0" fontId="6" fillId="5" borderId="79" xfId="0" applyFont="1" applyFill="1" applyBorder="1" applyAlignment="1" applyProtection="1">
      <alignment horizontal="center" vertical="top"/>
      <protection hidden="1"/>
    </xf>
    <xf numFmtId="0" fontId="6" fillId="5" borderId="78" xfId="0" applyFont="1" applyFill="1" applyBorder="1" applyAlignment="1" applyProtection="1">
      <alignment horizontal="center" vertical="top"/>
      <protection hidden="1"/>
    </xf>
    <xf numFmtId="0" fontId="6" fillId="5" borderId="82" xfId="0" applyFont="1" applyFill="1" applyBorder="1" applyAlignment="1" applyProtection="1">
      <alignment horizontal="center" vertical="top"/>
      <protection hidden="1"/>
    </xf>
    <xf numFmtId="0" fontId="113" fillId="5" borderId="79" xfId="0" applyFont="1" applyFill="1" applyBorder="1" applyAlignment="1" applyProtection="1">
      <alignment horizontal="left" vertical="top" wrapText="1"/>
      <protection hidden="1"/>
    </xf>
    <xf numFmtId="0" fontId="113" fillId="5" borderId="75" xfId="0" applyFont="1" applyFill="1" applyBorder="1" applyAlignment="1" applyProtection="1">
      <alignment horizontal="left" vertical="top" wrapText="1"/>
      <protection hidden="1"/>
    </xf>
    <xf numFmtId="0" fontId="113" fillId="5" borderId="76" xfId="0" applyFont="1" applyFill="1" applyBorder="1" applyAlignment="1" applyProtection="1">
      <alignment horizontal="left" vertical="top" wrapText="1"/>
      <protection hidden="1"/>
    </xf>
    <xf numFmtId="0" fontId="113" fillId="5" borderId="128" xfId="0" applyFont="1" applyFill="1" applyBorder="1" applyAlignment="1" applyProtection="1">
      <alignment horizontal="left" vertical="top" wrapText="1"/>
      <protection hidden="1"/>
    </xf>
    <xf numFmtId="0" fontId="113" fillId="5" borderId="10" xfId="0" applyFont="1" applyFill="1" applyBorder="1" applyAlignment="1" applyProtection="1">
      <alignment horizontal="left" vertical="top" wrapText="1"/>
      <protection hidden="1"/>
    </xf>
    <xf numFmtId="0" fontId="120" fillId="5" borderId="178" xfId="0" applyFont="1" applyFill="1" applyBorder="1" applyAlignment="1" applyProtection="1">
      <alignment horizontal="left" vertical="top" wrapText="1"/>
      <protection hidden="1"/>
    </xf>
    <xf numFmtId="0" fontId="113" fillId="5" borderId="2" xfId="0" applyFont="1" applyFill="1" applyBorder="1" applyAlignment="1" applyProtection="1">
      <alignment horizontal="left" vertical="top" wrapText="1"/>
      <protection hidden="1"/>
    </xf>
    <xf numFmtId="0" fontId="113" fillId="5" borderId="179" xfId="0" applyFont="1" applyFill="1" applyBorder="1" applyAlignment="1" applyProtection="1">
      <alignment horizontal="left" vertical="top" wrapText="1"/>
      <protection hidden="1"/>
    </xf>
    <xf numFmtId="0" fontId="120" fillId="14" borderId="180" xfId="0" applyFont="1" applyFill="1" applyBorder="1" applyAlignment="1" applyProtection="1">
      <alignment horizontal="left" vertical="center" wrapText="1"/>
      <protection hidden="1"/>
    </xf>
    <xf numFmtId="0" fontId="120" fillId="14" borderId="1" xfId="0" applyFont="1" applyFill="1" applyBorder="1" applyAlignment="1" applyProtection="1">
      <alignment horizontal="left" vertical="center" wrapText="1"/>
      <protection hidden="1"/>
    </xf>
    <xf numFmtId="0" fontId="120" fillId="14" borderId="133" xfId="0" applyFont="1" applyFill="1" applyBorder="1" applyAlignment="1" applyProtection="1">
      <alignment horizontal="left" vertical="center" wrapText="1"/>
      <protection hidden="1"/>
    </xf>
    <xf numFmtId="165" fontId="113" fillId="5" borderId="78" xfId="0" applyNumberFormat="1" applyFont="1" applyFill="1" applyBorder="1" applyAlignment="1" applyProtection="1">
      <alignment horizontal="left" vertical="center" wrapText="1"/>
      <protection hidden="1"/>
    </xf>
    <xf numFmtId="165" fontId="113" fillId="5" borderId="0" xfId="0" applyNumberFormat="1" applyFont="1" applyFill="1" applyAlignment="1" applyProtection="1">
      <alignment horizontal="left" vertical="center" wrapText="1"/>
      <protection hidden="1"/>
    </xf>
    <xf numFmtId="165" fontId="113" fillId="5" borderId="77" xfId="0" applyNumberFormat="1" applyFont="1" applyFill="1" applyBorder="1" applyAlignment="1" applyProtection="1">
      <alignment horizontal="left" vertical="center" wrapText="1"/>
      <protection hidden="1"/>
    </xf>
    <xf numFmtId="165" fontId="120" fillId="5" borderId="78" xfId="0" applyNumberFormat="1" applyFont="1" applyFill="1" applyBorder="1" applyAlignment="1" applyProtection="1">
      <alignment horizontal="left" vertical="center" wrapText="1"/>
      <protection hidden="1"/>
    </xf>
    <xf numFmtId="165" fontId="120" fillId="5" borderId="0" xfId="0" applyNumberFormat="1" applyFont="1" applyFill="1" applyAlignment="1" applyProtection="1">
      <alignment horizontal="left" vertical="center" wrapText="1"/>
      <protection hidden="1"/>
    </xf>
    <xf numFmtId="165" fontId="120" fillId="5" borderId="77" xfId="0" applyNumberFormat="1" applyFont="1" applyFill="1" applyBorder="1" applyAlignment="1" applyProtection="1">
      <alignment horizontal="left" vertical="center" wrapText="1"/>
      <protection hidden="1"/>
    </xf>
    <xf numFmtId="165" fontId="120" fillId="5" borderId="82" xfId="0" applyNumberFormat="1" applyFont="1" applyFill="1" applyBorder="1" applyAlignment="1" applyProtection="1">
      <alignment horizontal="left" vertical="top" wrapText="1"/>
      <protection hidden="1"/>
    </xf>
    <xf numFmtId="165" fontId="113" fillId="5" borderId="79" xfId="0" applyNumberFormat="1" applyFont="1" applyFill="1" applyBorder="1" applyAlignment="1" applyProtection="1">
      <alignment horizontal="left" vertical="top" wrapText="1"/>
      <protection hidden="1"/>
    </xf>
    <xf numFmtId="165" fontId="113" fillId="5" borderId="75" xfId="0" applyNumberFormat="1" applyFont="1" applyFill="1" applyBorder="1" applyAlignment="1" applyProtection="1">
      <alignment horizontal="left" vertical="top" wrapText="1"/>
      <protection hidden="1"/>
    </xf>
    <xf numFmtId="165" fontId="113" fillId="5" borderId="76" xfId="0" applyNumberFormat="1" applyFont="1" applyFill="1" applyBorder="1" applyAlignment="1" applyProtection="1">
      <alignment horizontal="left" vertical="top" wrapText="1"/>
      <protection hidden="1"/>
    </xf>
    <xf numFmtId="0" fontId="113" fillId="5" borderId="180" xfId="0" applyFont="1" applyFill="1" applyBorder="1" applyAlignment="1" applyProtection="1">
      <alignment vertical="top" wrapText="1"/>
      <protection hidden="1"/>
    </xf>
    <xf numFmtId="0" fontId="113" fillId="5" borderId="1" xfId="0" applyFont="1" applyFill="1" applyBorder="1" applyAlignment="1" applyProtection="1">
      <alignment vertical="top" wrapText="1"/>
      <protection hidden="1"/>
    </xf>
    <xf numFmtId="0" fontId="113" fillId="5" borderId="133" xfId="0" applyFont="1" applyFill="1" applyBorder="1" applyAlignment="1" applyProtection="1">
      <alignment vertical="top" wrapText="1"/>
      <protection hidden="1"/>
    </xf>
    <xf numFmtId="0" fontId="113" fillId="5" borderId="1" xfId="0" applyFont="1" applyFill="1" applyBorder="1" applyAlignment="1" applyProtection="1">
      <alignment horizontal="center" vertical="top" wrapText="1"/>
      <protection hidden="1"/>
    </xf>
    <xf numFmtId="0" fontId="113" fillId="5" borderId="124" xfId="0" applyFont="1" applyFill="1" applyBorder="1" applyAlignment="1" applyProtection="1">
      <alignment horizontal="center" vertical="top" wrapText="1"/>
      <protection hidden="1"/>
    </xf>
    <xf numFmtId="0" fontId="113" fillId="5" borderId="1" xfId="0" quotePrefix="1" applyFont="1" applyFill="1" applyBorder="1" applyAlignment="1" applyProtection="1">
      <alignment horizontal="center" vertical="top" wrapText="1"/>
      <protection hidden="1"/>
    </xf>
    <xf numFmtId="0" fontId="120" fillId="14" borderId="1" xfId="0" applyFont="1" applyFill="1" applyBorder="1" applyAlignment="1" applyProtection="1">
      <alignment horizontal="center" vertical="center" wrapText="1"/>
      <protection hidden="1"/>
    </xf>
    <xf numFmtId="0" fontId="120" fillId="14" borderId="124" xfId="0" applyFont="1" applyFill="1" applyBorder="1" applyAlignment="1" applyProtection="1">
      <alignment horizontal="center" vertical="center" wrapText="1"/>
      <protection hidden="1"/>
    </xf>
    <xf numFmtId="0" fontId="113" fillId="5" borderId="181" xfId="0" applyFont="1" applyFill="1" applyBorder="1" applyAlignment="1" applyProtection="1">
      <alignment vertical="top" wrapText="1"/>
      <protection hidden="1"/>
    </xf>
    <xf numFmtId="0" fontId="113" fillId="5" borderId="3" xfId="0" applyFont="1" applyFill="1" applyBorder="1" applyAlignment="1" applyProtection="1">
      <alignment vertical="top" wrapText="1"/>
      <protection hidden="1"/>
    </xf>
    <xf numFmtId="0" fontId="113" fillId="5" borderId="182" xfId="0" applyFont="1" applyFill="1" applyBorder="1" applyAlignment="1" applyProtection="1">
      <alignment vertical="top" wrapText="1"/>
      <protection hidden="1"/>
    </xf>
    <xf numFmtId="165" fontId="113" fillId="5" borderId="183" xfId="0" quotePrefix="1" applyNumberFormat="1" applyFont="1" applyFill="1" applyBorder="1" applyAlignment="1" applyProtection="1">
      <alignment horizontal="center" vertical="center" wrapText="1"/>
      <protection hidden="1"/>
    </xf>
    <xf numFmtId="165" fontId="113" fillId="5" borderId="184" xfId="0" applyNumberFormat="1" applyFont="1" applyFill="1" applyBorder="1" applyAlignment="1" applyProtection="1">
      <alignment horizontal="center" vertical="center" wrapText="1"/>
      <protection hidden="1"/>
    </xf>
    <xf numFmtId="165" fontId="113" fillId="5" borderId="152" xfId="0" applyNumberFormat="1" applyFont="1" applyFill="1" applyBorder="1" applyAlignment="1" applyProtection="1">
      <alignment horizontal="center" vertical="center" wrapText="1"/>
      <protection hidden="1"/>
    </xf>
    <xf numFmtId="165" fontId="113" fillId="5" borderId="179" xfId="0" applyNumberFormat="1" applyFont="1" applyFill="1" applyBorder="1" applyAlignment="1" applyProtection="1">
      <alignment horizontal="center" vertical="center" wrapText="1"/>
      <protection hidden="1"/>
    </xf>
    <xf numFmtId="0" fontId="113" fillId="5" borderId="178" xfId="0" applyFont="1" applyFill="1" applyBorder="1" applyAlignment="1" applyProtection="1">
      <alignment horizontal="left" vertical="top" wrapText="1"/>
      <protection hidden="1"/>
    </xf>
    <xf numFmtId="0" fontId="113" fillId="5" borderId="150" xfId="0" applyFont="1" applyFill="1" applyBorder="1" applyAlignment="1" applyProtection="1">
      <alignment horizontal="left" vertical="top" wrapText="1"/>
      <protection hidden="1"/>
    </xf>
    <xf numFmtId="0" fontId="120" fillId="14" borderId="180" xfId="0" applyFont="1" applyFill="1" applyBorder="1" applyAlignment="1" applyProtection="1">
      <alignment vertical="top" wrapText="1"/>
      <protection hidden="1"/>
    </xf>
    <xf numFmtId="0" fontId="120" fillId="14" borderId="1" xfId="0" applyFont="1" applyFill="1" applyBorder="1" applyAlignment="1" applyProtection="1">
      <alignment vertical="top" wrapText="1"/>
      <protection hidden="1"/>
    </xf>
    <xf numFmtId="0" fontId="120" fillId="14" borderId="133" xfId="0" applyFont="1" applyFill="1" applyBorder="1" applyAlignment="1" applyProtection="1">
      <alignment vertical="top" wrapText="1"/>
      <protection hidden="1"/>
    </xf>
    <xf numFmtId="6" fontId="113" fillId="5" borderId="87" xfId="0" quotePrefix="1" applyNumberFormat="1" applyFont="1" applyFill="1" applyBorder="1" applyAlignment="1" applyProtection="1">
      <alignment horizontal="center" vertical="center" wrapText="1"/>
      <protection hidden="1"/>
    </xf>
    <xf numFmtId="0" fontId="113" fillId="5" borderId="70" xfId="0" applyFont="1" applyFill="1" applyBorder="1" applyAlignment="1" applyProtection="1">
      <alignment horizontal="center" vertical="center" wrapText="1"/>
      <protection hidden="1"/>
    </xf>
    <xf numFmtId="165" fontId="113" fillId="5" borderId="1" xfId="0" quotePrefix="1" applyNumberFormat="1" applyFont="1" applyFill="1" applyBorder="1" applyAlignment="1" applyProtection="1">
      <alignment horizontal="center" vertical="top" wrapText="1"/>
      <protection hidden="1"/>
    </xf>
    <xf numFmtId="165" fontId="113" fillId="5" borderId="124" xfId="0" applyNumberFormat="1" applyFont="1" applyFill="1" applyBorder="1" applyAlignment="1" applyProtection="1">
      <alignment horizontal="center" vertical="top" wrapText="1"/>
      <protection hidden="1"/>
    </xf>
    <xf numFmtId="0" fontId="113" fillId="5" borderId="185" xfId="0" quotePrefix="1" applyFont="1" applyFill="1" applyBorder="1" applyAlignment="1" applyProtection="1">
      <alignment horizontal="left" vertical="top" wrapText="1"/>
      <protection hidden="1"/>
    </xf>
    <xf numFmtId="0" fontId="113" fillId="5" borderId="186" xfId="0" quotePrefix="1" applyFont="1" applyFill="1" applyBorder="1" applyAlignment="1" applyProtection="1">
      <alignment horizontal="left" vertical="top" wrapText="1"/>
      <protection hidden="1"/>
    </xf>
    <xf numFmtId="0" fontId="113" fillId="5" borderId="187" xfId="0" quotePrefix="1" applyFont="1" applyFill="1" applyBorder="1" applyAlignment="1" applyProtection="1">
      <alignment horizontal="left" vertical="top" wrapText="1"/>
      <protection hidden="1"/>
    </xf>
    <xf numFmtId="0" fontId="6" fillId="5" borderId="57" xfId="0" applyFont="1" applyFill="1" applyBorder="1" applyAlignment="1" applyProtection="1">
      <alignment horizontal="left" vertical="top"/>
      <protection hidden="1"/>
    </xf>
    <xf numFmtId="0" fontId="6" fillId="5" borderId="83" xfId="0" applyFont="1" applyFill="1" applyBorder="1" applyAlignment="1" applyProtection="1">
      <alignment horizontal="left" vertical="top"/>
      <protection hidden="1"/>
    </xf>
    <xf numFmtId="0" fontId="6" fillId="5" borderId="80" xfId="0" applyFont="1" applyFill="1" applyBorder="1" applyAlignment="1" applyProtection="1">
      <alignment horizontal="left" vertical="top"/>
      <protection hidden="1"/>
    </xf>
    <xf numFmtId="10" fontId="113" fillId="5" borderId="78" xfId="0" quotePrefix="1" applyNumberFormat="1" applyFont="1" applyFill="1" applyBorder="1" applyAlignment="1" applyProtection="1">
      <alignment horizontal="left" vertical="top" wrapText="1"/>
      <protection hidden="1"/>
    </xf>
    <xf numFmtId="10" fontId="113" fillId="5" borderId="0" xfId="0" applyNumberFormat="1" applyFont="1" applyFill="1" applyAlignment="1" applyProtection="1">
      <alignment horizontal="left" vertical="top" wrapText="1"/>
      <protection hidden="1"/>
    </xf>
    <xf numFmtId="10" fontId="113" fillId="5" borderId="77" xfId="0" applyNumberFormat="1" applyFont="1" applyFill="1" applyBorder="1" applyAlignment="1" applyProtection="1">
      <alignment horizontal="left" vertical="top" wrapText="1"/>
      <protection hidden="1"/>
    </xf>
    <xf numFmtId="0" fontId="113" fillId="5" borderId="180" xfId="0" applyFont="1" applyFill="1" applyBorder="1" applyAlignment="1" applyProtection="1">
      <alignment horizontal="left" vertical="center" wrapText="1"/>
      <protection hidden="1"/>
    </xf>
    <xf numFmtId="0" fontId="113" fillId="5" borderId="1" xfId="0" applyFont="1" applyFill="1" applyBorder="1" applyAlignment="1" applyProtection="1">
      <alignment horizontal="left" vertical="center" wrapText="1"/>
      <protection hidden="1"/>
    </xf>
    <xf numFmtId="0" fontId="113" fillId="5" borderId="133" xfId="0" applyFont="1" applyFill="1" applyBorder="1" applyAlignment="1" applyProtection="1">
      <alignment horizontal="left" vertical="center" wrapText="1"/>
      <protection hidden="1"/>
    </xf>
    <xf numFmtId="165" fontId="113" fillId="5" borderId="33" xfId="0" quotePrefix="1" applyNumberFormat="1" applyFont="1" applyFill="1" applyBorder="1" applyAlignment="1" applyProtection="1">
      <alignment horizontal="center" vertical="top" wrapText="1"/>
      <protection hidden="1"/>
    </xf>
    <xf numFmtId="165" fontId="113" fillId="5" borderId="124" xfId="0" quotePrefix="1" applyNumberFormat="1" applyFont="1" applyFill="1" applyBorder="1" applyAlignment="1" applyProtection="1">
      <alignment horizontal="center" vertical="top" wrapText="1"/>
      <protection hidden="1"/>
    </xf>
    <xf numFmtId="0" fontId="7" fillId="5" borderId="75" xfId="0" applyFont="1" applyFill="1" applyBorder="1" applyAlignment="1" applyProtection="1">
      <alignment wrapText="1"/>
      <protection hidden="1"/>
    </xf>
    <xf numFmtId="0" fontId="7" fillId="5" borderId="0" xfId="0" applyFont="1" applyFill="1" applyAlignment="1" applyProtection="1">
      <alignment horizontal="left" vertical="top" wrapText="1"/>
      <protection hidden="1"/>
    </xf>
    <xf numFmtId="0" fontId="113" fillId="5" borderId="0" xfId="0" applyFont="1" applyFill="1" applyAlignment="1" applyProtection="1">
      <alignment horizontal="center"/>
      <protection hidden="1"/>
    </xf>
    <xf numFmtId="0" fontId="113" fillId="5" borderId="0" xfId="0" applyFont="1" applyFill="1" applyAlignment="1" applyProtection="1">
      <alignment horizontal="center" wrapText="1"/>
      <protection hidden="1"/>
    </xf>
    <xf numFmtId="0" fontId="9" fillId="5" borderId="0" xfId="0" applyFont="1" applyFill="1" applyAlignment="1" applyProtection="1">
      <alignment horizontal="center"/>
      <protection hidden="1"/>
    </xf>
    <xf numFmtId="0" fontId="113" fillId="5" borderId="78" xfId="0" applyFont="1" applyFill="1" applyBorder="1" applyAlignment="1">
      <alignment horizontal="left" vertical="top" wrapText="1"/>
    </xf>
    <xf numFmtId="0" fontId="118" fillId="5" borderId="0" xfId="0" applyFont="1" applyFill="1" applyAlignment="1">
      <alignment horizontal="left" vertical="top" wrapText="1"/>
    </xf>
    <xf numFmtId="0" fontId="118" fillId="5" borderId="77" xfId="0" applyFont="1" applyFill="1" applyBorder="1" applyAlignment="1">
      <alignment horizontal="left" vertical="top" wrapText="1"/>
    </xf>
    <xf numFmtId="0" fontId="113" fillId="5" borderId="111" xfId="0" applyFont="1" applyFill="1" applyBorder="1" applyAlignment="1" applyProtection="1">
      <alignment horizontal="left" vertical="top" wrapText="1"/>
      <protection hidden="1"/>
    </xf>
    <xf numFmtId="0" fontId="113" fillId="5" borderId="112" xfId="0" applyFont="1" applyFill="1" applyBorder="1" applyAlignment="1" applyProtection="1">
      <alignment horizontal="left" vertical="top" wrapText="1"/>
      <protection hidden="1"/>
    </xf>
    <xf numFmtId="0" fontId="113" fillId="5" borderId="89" xfId="0" applyFont="1" applyFill="1" applyBorder="1" applyAlignment="1" applyProtection="1">
      <alignment horizontal="left" vertical="top" wrapText="1"/>
      <protection hidden="1"/>
    </xf>
    <xf numFmtId="0" fontId="113" fillId="5" borderId="69" xfId="0" applyFont="1" applyFill="1" applyBorder="1" applyAlignment="1" applyProtection="1">
      <alignment vertical="center" wrapText="1"/>
      <protection hidden="1"/>
    </xf>
    <xf numFmtId="0" fontId="113" fillId="5" borderId="87" xfId="0" applyFont="1" applyFill="1" applyBorder="1" applyAlignment="1" applyProtection="1">
      <alignment vertical="center" wrapText="1"/>
      <protection hidden="1"/>
    </xf>
    <xf numFmtId="6" fontId="113" fillId="5" borderId="87" xfId="0" quotePrefix="1" applyNumberFormat="1" applyFont="1" applyFill="1" applyBorder="1" applyAlignment="1" applyProtection="1">
      <alignment horizontal="center" vertical="top" wrapText="1"/>
      <protection hidden="1"/>
    </xf>
    <xf numFmtId="0" fontId="113" fillId="5" borderId="70" xfId="0" applyFont="1" applyFill="1" applyBorder="1" applyAlignment="1" applyProtection="1">
      <alignment horizontal="center" vertical="top" wrapText="1"/>
      <protection hidden="1"/>
    </xf>
    <xf numFmtId="0" fontId="113" fillId="5" borderId="71" xfId="0" applyFont="1" applyFill="1" applyBorder="1" applyAlignment="1" applyProtection="1">
      <alignment vertical="center" wrapText="1"/>
      <protection hidden="1"/>
    </xf>
    <xf numFmtId="0" fontId="113" fillId="5" borderId="88" xfId="0" applyFont="1" applyFill="1" applyBorder="1" applyAlignment="1" applyProtection="1">
      <alignment vertical="center" wrapText="1"/>
      <protection hidden="1"/>
    </xf>
    <xf numFmtId="165" fontId="113" fillId="5" borderId="88" xfId="0" quotePrefix="1" applyNumberFormat="1" applyFont="1" applyFill="1" applyBorder="1" applyAlignment="1" applyProtection="1">
      <alignment horizontal="center" vertical="top" wrapText="1"/>
      <protection hidden="1"/>
    </xf>
    <xf numFmtId="165" fontId="113" fillId="5" borderId="72" xfId="0" applyNumberFormat="1" applyFont="1" applyFill="1" applyBorder="1" applyAlignment="1" applyProtection="1">
      <alignment horizontal="center" vertical="top" wrapText="1"/>
      <protection hidden="1"/>
    </xf>
    <xf numFmtId="0" fontId="113" fillId="5" borderId="153" xfId="0" applyFont="1" applyFill="1" applyBorder="1" applyAlignment="1" applyProtection="1">
      <alignment horizontal="left" vertical="center" wrapText="1"/>
      <protection hidden="1"/>
    </xf>
    <xf numFmtId="0" fontId="113" fillId="5" borderId="169" xfId="0" applyFont="1" applyFill="1" applyBorder="1" applyAlignment="1" applyProtection="1">
      <alignment horizontal="left" vertical="center" wrapText="1"/>
      <protection hidden="1"/>
    </xf>
    <xf numFmtId="0" fontId="113" fillId="5" borderId="170" xfId="0" applyFont="1" applyFill="1" applyBorder="1" applyAlignment="1" applyProtection="1">
      <alignment horizontal="left" vertical="center" wrapText="1"/>
      <protection hidden="1"/>
    </xf>
    <xf numFmtId="165" fontId="113" fillId="5" borderId="171" xfId="0" quotePrefix="1" applyNumberFormat="1" applyFont="1" applyFill="1" applyBorder="1" applyAlignment="1" applyProtection="1">
      <alignment horizontal="center" vertical="top" wrapText="1"/>
      <protection hidden="1"/>
    </xf>
    <xf numFmtId="165" fontId="113" fillId="5" borderId="154" xfId="0" applyNumberFormat="1" applyFont="1" applyFill="1" applyBorder="1" applyAlignment="1" applyProtection="1">
      <alignment horizontal="center" vertical="top" wrapText="1"/>
      <protection hidden="1"/>
    </xf>
    <xf numFmtId="0" fontId="113" fillId="5" borderId="87" xfId="0" quotePrefix="1" applyFont="1" applyFill="1" applyBorder="1" applyAlignment="1" applyProtection="1">
      <alignment horizontal="center" vertical="top" wrapText="1"/>
      <protection hidden="1"/>
    </xf>
    <xf numFmtId="0" fontId="113" fillId="0" borderId="28" xfId="0" applyFont="1" applyBorder="1" applyAlignment="1" applyProtection="1">
      <alignment horizontal="left" vertical="top" wrapText="1"/>
      <protection hidden="1"/>
    </xf>
    <xf numFmtId="0" fontId="113" fillId="0" borderId="28" xfId="0" applyFont="1" applyBorder="1" applyAlignment="1" applyProtection="1">
      <alignment horizontal="left" vertical="top"/>
      <protection hidden="1"/>
    </xf>
    <xf numFmtId="0" fontId="119" fillId="0" borderId="0" xfId="0" applyFont="1" applyAlignment="1" applyProtection="1">
      <alignment horizontal="left" vertical="top" wrapText="1"/>
      <protection hidden="1"/>
    </xf>
    <xf numFmtId="0" fontId="119" fillId="5" borderId="0" xfId="0" applyFont="1" applyFill="1" applyAlignment="1" applyProtection="1">
      <alignment horizontal="center"/>
      <protection hidden="1"/>
    </xf>
    <xf numFmtId="0" fontId="119" fillId="0" borderId="146" xfId="0" applyFont="1" applyBorder="1" applyAlignment="1" applyProtection="1">
      <alignment horizontal="left" vertical="top" wrapText="1"/>
      <protection hidden="1"/>
    </xf>
    <xf numFmtId="0" fontId="119" fillId="0" borderId="147" xfId="0" applyFont="1" applyBorder="1" applyAlignment="1" applyProtection="1">
      <alignment horizontal="left" vertical="top"/>
      <protection hidden="1"/>
    </xf>
    <xf numFmtId="0" fontId="119" fillId="0" borderId="148" xfId="0" applyFont="1" applyBorder="1" applyAlignment="1" applyProtection="1">
      <alignment horizontal="left" vertical="top"/>
      <protection hidden="1"/>
    </xf>
    <xf numFmtId="0" fontId="119" fillId="0" borderId="111" xfId="0" applyFont="1" applyBorder="1" applyAlignment="1" applyProtection="1">
      <alignment horizontal="left" vertical="top" wrapText="1"/>
      <protection locked="0"/>
    </xf>
    <xf numFmtId="0" fontId="119" fillId="0" borderId="112" xfId="0" applyFont="1" applyBorder="1" applyAlignment="1" applyProtection="1">
      <alignment horizontal="left" vertical="top" wrapText="1"/>
      <protection locked="0"/>
    </xf>
    <xf numFmtId="0" fontId="119" fillId="0" borderId="89" xfId="0" applyFont="1" applyBorder="1" applyAlignment="1" applyProtection="1">
      <alignment horizontal="left" vertical="top" wrapText="1"/>
      <protection locked="0"/>
    </xf>
    <xf numFmtId="0" fontId="119" fillId="5" borderId="57" xfId="0" applyFont="1" applyFill="1" applyBorder="1" applyAlignment="1" applyProtection="1">
      <alignment horizontal="left" vertical="top" wrapText="1"/>
      <protection hidden="1"/>
    </xf>
    <xf numFmtId="0" fontId="119" fillId="5" borderId="80" xfId="0" applyFont="1" applyFill="1" applyBorder="1" applyAlignment="1" applyProtection="1">
      <alignment horizontal="left" vertical="top" wrapText="1"/>
      <protection hidden="1"/>
    </xf>
    <xf numFmtId="0" fontId="119" fillId="0" borderId="82" xfId="0" applyFont="1" applyBorder="1" applyAlignment="1" applyProtection="1">
      <alignment horizontal="left" vertical="top" wrapText="1"/>
      <protection locked="0"/>
    </xf>
    <xf numFmtId="0" fontId="119" fillId="0" borderId="73" xfId="0" applyFont="1" applyBorder="1" applyAlignment="1" applyProtection="1">
      <alignment horizontal="left" vertical="top"/>
      <protection locked="0"/>
    </xf>
    <xf numFmtId="0" fontId="119" fillId="0" borderId="81" xfId="0" applyFont="1" applyBorder="1" applyAlignment="1" applyProtection="1">
      <alignment horizontal="left" vertical="top"/>
      <protection locked="0"/>
    </xf>
    <xf numFmtId="0" fontId="119" fillId="0" borderId="111" xfId="0" applyFont="1" applyBorder="1" applyAlignment="1" applyProtection="1">
      <alignment horizontal="left" vertical="top" wrapText="1"/>
      <protection hidden="1"/>
    </xf>
    <xf numFmtId="0" fontId="119" fillId="0" borderId="112" xfId="0" applyFont="1" applyBorder="1" applyAlignment="1" applyProtection="1">
      <alignment horizontal="left" vertical="top" wrapText="1"/>
      <protection hidden="1"/>
    </xf>
    <xf numFmtId="0" fontId="119" fillId="0" borderId="89" xfId="0" applyFont="1" applyBorder="1" applyAlignment="1" applyProtection="1">
      <alignment horizontal="left" vertical="top" wrapText="1"/>
      <protection hidden="1"/>
    </xf>
    <xf numFmtId="0" fontId="113" fillId="0" borderId="188" xfId="0" applyFont="1" applyBorder="1" applyAlignment="1" applyProtection="1">
      <alignment horizontal="left" vertical="top" wrapText="1"/>
      <protection hidden="1"/>
    </xf>
    <xf numFmtId="0" fontId="113" fillId="0" borderId="188" xfId="0" applyFont="1" applyBorder="1" applyAlignment="1" applyProtection="1">
      <alignment horizontal="left" vertical="top"/>
      <protection hidden="1"/>
    </xf>
    <xf numFmtId="10" fontId="119" fillId="0" borderId="128" xfId="0" applyNumberFormat="1" applyFont="1" applyBorder="1" applyAlignment="1" applyProtection="1">
      <alignment horizontal="left" vertical="top" wrapText="1"/>
      <protection hidden="1"/>
    </xf>
    <xf numFmtId="0" fontId="119" fillId="0" borderId="10" xfId="0" applyFont="1" applyBorder="1" applyAlignment="1" applyProtection="1">
      <alignment horizontal="left" vertical="top" wrapText="1"/>
      <protection hidden="1"/>
    </xf>
    <xf numFmtId="0" fontId="119" fillId="0" borderId="128" xfId="0" applyFont="1" applyBorder="1" applyAlignment="1" applyProtection="1">
      <alignment horizontal="left" vertical="top" wrapText="1"/>
      <protection hidden="1"/>
    </xf>
    <xf numFmtId="0" fontId="119" fillId="0" borderId="11" xfId="0" applyFont="1" applyBorder="1" applyAlignment="1" applyProtection="1">
      <alignment horizontal="left" vertical="top" wrapText="1"/>
      <protection hidden="1"/>
    </xf>
    <xf numFmtId="0" fontId="119" fillId="0" borderId="27" xfId="0" applyFont="1" applyBorder="1" applyAlignment="1" applyProtection="1">
      <alignment horizontal="left" vertical="top" wrapText="1"/>
      <protection hidden="1"/>
    </xf>
    <xf numFmtId="0" fontId="119" fillId="0" borderId="12" xfId="0" applyFont="1" applyBorder="1" applyAlignment="1" applyProtection="1">
      <alignment horizontal="left" vertical="top" wrapText="1"/>
      <protection hidden="1"/>
    </xf>
    <xf numFmtId="0" fontId="119" fillId="0" borderId="188" xfId="0" applyFont="1" applyBorder="1" applyAlignment="1" applyProtection="1">
      <alignment horizontal="left" vertical="top" wrapText="1"/>
      <protection hidden="1"/>
    </xf>
    <xf numFmtId="0" fontId="119" fillId="0" borderId="144" xfId="0" applyFont="1" applyBorder="1" applyAlignment="1" applyProtection="1">
      <alignment horizontal="left" vertical="top" wrapText="1"/>
      <protection hidden="1"/>
    </xf>
    <xf numFmtId="0" fontId="119" fillId="0" borderId="30" xfId="0" applyFont="1" applyBorder="1" applyAlignment="1" applyProtection="1">
      <alignment horizontal="left" vertical="top" wrapText="1"/>
      <protection hidden="1"/>
    </xf>
    <xf numFmtId="0" fontId="119" fillId="0" borderId="143" xfId="0" applyFont="1" applyBorder="1" applyAlignment="1" applyProtection="1">
      <alignment horizontal="left" vertical="top"/>
      <protection hidden="1"/>
    </xf>
    <xf numFmtId="0" fontId="119" fillId="0" borderId="144" xfId="0" applyFont="1" applyBorder="1" applyAlignment="1" applyProtection="1">
      <alignment horizontal="left" vertical="top"/>
      <protection hidden="1"/>
    </xf>
    <xf numFmtId="0" fontId="119" fillId="0" borderId="30" xfId="0" applyFont="1" applyBorder="1" applyAlignment="1" applyProtection="1">
      <alignment horizontal="left" vertical="top"/>
      <protection hidden="1"/>
    </xf>
    <xf numFmtId="0" fontId="113" fillId="0" borderId="143" xfId="0" applyFont="1" applyBorder="1" applyAlignment="1" applyProtection="1">
      <alignment horizontal="left" vertical="top" wrapText="1"/>
      <protection hidden="1"/>
    </xf>
    <xf numFmtId="0" fontId="132" fillId="0" borderId="0" xfId="0" applyFont="1" applyAlignment="1" applyProtection="1">
      <alignment horizontal="left" vertical="top" wrapText="1"/>
      <protection hidden="1"/>
    </xf>
    <xf numFmtId="0" fontId="139" fillId="0" borderId="0" xfId="0" applyFont="1" applyAlignment="1" applyProtection="1">
      <alignment horizontal="left" vertical="top" wrapText="1"/>
      <protection hidden="1"/>
    </xf>
    <xf numFmtId="0" fontId="119" fillId="0" borderId="0" xfId="0" applyFont="1" applyAlignment="1" applyProtection="1">
      <alignment horizontal="center"/>
      <protection locked="0"/>
    </xf>
    <xf numFmtId="165" fontId="119" fillId="0" borderId="16" xfId="0" applyNumberFormat="1" applyFont="1" applyBorder="1" applyAlignment="1" applyProtection="1">
      <alignment horizontal="center" vertical="center"/>
      <protection hidden="1"/>
    </xf>
    <xf numFmtId="165" fontId="119" fillId="0" borderId="18" xfId="0" applyNumberFormat="1" applyFont="1" applyBorder="1" applyAlignment="1" applyProtection="1">
      <alignment horizontal="center" vertical="center"/>
      <protection hidden="1"/>
    </xf>
    <xf numFmtId="9" fontId="128" fillId="0" borderId="15" xfId="0" quotePrefix="1" applyNumberFormat="1" applyFont="1" applyBorder="1" applyAlignment="1" applyProtection="1">
      <alignment horizontal="center" vertical="center"/>
      <protection hidden="1"/>
    </xf>
    <xf numFmtId="9" fontId="128" fillId="0" borderId="141" xfId="0" quotePrefix="1" applyNumberFormat="1" applyFont="1" applyBorder="1" applyAlignment="1" applyProtection="1">
      <alignment horizontal="center" vertical="center"/>
      <protection hidden="1"/>
    </xf>
    <xf numFmtId="9" fontId="128" fillId="0" borderId="20" xfId="0" quotePrefix="1" applyNumberFormat="1" applyFont="1" applyBorder="1" applyAlignment="1" applyProtection="1">
      <alignment horizontal="center" vertical="center"/>
      <protection hidden="1"/>
    </xf>
    <xf numFmtId="9" fontId="128" fillId="0" borderId="17" xfId="0" quotePrefix="1" applyNumberFormat="1" applyFont="1" applyBorder="1" applyAlignment="1" applyProtection="1">
      <alignment horizontal="center" vertical="center"/>
      <protection hidden="1"/>
    </xf>
    <xf numFmtId="0" fontId="128" fillId="0" borderId="129" xfId="0" applyFont="1" applyBorder="1" applyAlignment="1" applyProtection="1">
      <alignment horizontal="center"/>
      <protection hidden="1"/>
    </xf>
    <xf numFmtId="0" fontId="128" fillId="0" borderId="130" xfId="0" applyFont="1" applyBorder="1" applyAlignment="1" applyProtection="1">
      <alignment horizontal="center"/>
      <protection hidden="1"/>
    </xf>
    <xf numFmtId="0" fontId="128" fillId="0" borderId="131" xfId="0" applyFont="1" applyBorder="1" applyAlignment="1" applyProtection="1">
      <alignment horizontal="center"/>
      <protection hidden="1"/>
    </xf>
    <xf numFmtId="0" fontId="137" fillId="0" borderId="0" xfId="0" applyFont="1" applyAlignment="1" applyProtection="1">
      <alignment horizontal="center"/>
      <protection hidden="1"/>
    </xf>
    <xf numFmtId="9" fontId="128" fillId="0" borderId="115" xfId="0" quotePrefix="1" applyNumberFormat="1" applyFont="1" applyBorder="1" applyAlignment="1" applyProtection="1">
      <alignment horizontal="center" vertical="center"/>
      <protection hidden="1"/>
    </xf>
    <xf numFmtId="165" fontId="119" fillId="0" borderId="117" xfId="0" applyNumberFormat="1" applyFont="1" applyBorder="1" applyAlignment="1" applyProtection="1">
      <alignment horizontal="center" vertical="center"/>
      <protection hidden="1"/>
    </xf>
    <xf numFmtId="0" fontId="43" fillId="5" borderId="0" xfId="0" applyFont="1" applyFill="1" applyAlignment="1">
      <alignment horizontal="center"/>
    </xf>
    <xf numFmtId="0" fontId="45" fillId="5" borderId="0" xfId="0" applyFont="1" applyFill="1" applyAlignment="1">
      <alignment horizontal="justify" wrapText="1"/>
    </xf>
    <xf numFmtId="0" fontId="19" fillId="5" borderId="0" xfId="0" applyFont="1" applyFill="1" applyAlignment="1">
      <alignment wrapText="1"/>
    </xf>
    <xf numFmtId="0" fontId="19" fillId="5" borderId="0" xfId="0" applyFont="1" applyFill="1" applyAlignment="1">
      <alignment horizontal="center"/>
    </xf>
    <xf numFmtId="0" fontId="6" fillId="5" borderId="0" xfId="0" applyFont="1" applyFill="1" applyAlignment="1">
      <alignment horizontal="center" wrapText="1"/>
    </xf>
    <xf numFmtId="49" fontId="56" fillId="2" borderId="102" xfId="5" applyNumberFormat="1" applyFont="1" applyFill="1" applyBorder="1" applyAlignment="1" applyProtection="1">
      <alignment horizontal="center"/>
      <protection locked="0"/>
    </xf>
    <xf numFmtId="49" fontId="56" fillId="2" borderId="68" xfId="5" applyNumberFormat="1" applyFont="1" applyFill="1" applyBorder="1" applyAlignment="1" applyProtection="1">
      <alignment horizontal="center"/>
      <protection locked="0"/>
    </xf>
    <xf numFmtId="49" fontId="56" fillId="2" borderId="109" xfId="5" applyNumberFormat="1" applyFont="1" applyFill="1" applyBorder="1" applyAlignment="1" applyProtection="1">
      <alignment horizontal="center"/>
      <protection locked="0"/>
    </xf>
    <xf numFmtId="0" fontId="56" fillId="2" borderId="102" xfId="5" applyFont="1" applyFill="1" applyBorder="1" applyAlignment="1" applyProtection="1">
      <alignment horizontal="center"/>
      <protection locked="0"/>
    </xf>
    <xf numFmtId="0" fontId="66" fillId="0" borderId="68" xfId="0" applyFont="1" applyBorder="1" applyAlignment="1" applyProtection="1">
      <alignment horizontal="center"/>
      <protection locked="0"/>
    </xf>
    <xf numFmtId="0" fontId="66" fillId="0" borderId="109" xfId="0" applyFont="1" applyBorder="1" applyAlignment="1" applyProtection="1">
      <alignment horizontal="center"/>
      <protection locked="0"/>
    </xf>
    <xf numFmtId="0" fontId="56" fillId="2" borderId="68" xfId="5" applyFont="1" applyFill="1" applyBorder="1" applyAlignment="1" applyProtection="1">
      <alignment horizontal="center"/>
      <protection locked="0"/>
    </xf>
    <xf numFmtId="0" fontId="56" fillId="2" borderId="109" xfId="5" applyFont="1" applyFill="1" applyBorder="1" applyAlignment="1" applyProtection="1">
      <alignment horizontal="center"/>
      <protection locked="0"/>
    </xf>
    <xf numFmtId="0" fontId="56" fillId="5" borderId="0" xfId="5" applyFont="1" applyFill="1" applyAlignment="1" applyProtection="1">
      <alignment horizontal="center"/>
      <protection locked="0"/>
    </xf>
    <xf numFmtId="0" fontId="38" fillId="5" borderId="0" xfId="5" applyFont="1" applyFill="1" applyAlignment="1" applyProtection="1">
      <alignment horizontal="center"/>
      <protection locked="0"/>
    </xf>
    <xf numFmtId="0" fontId="38" fillId="5" borderId="0" xfId="5" applyFont="1" applyFill="1" applyAlignment="1" applyProtection="1">
      <alignment horizontal="center" vertical="center"/>
      <protection locked="0"/>
    </xf>
    <xf numFmtId="0" fontId="20" fillId="16" borderId="0" xfId="5" applyFont="1" applyFill="1" applyAlignment="1" applyProtection="1">
      <alignment horizontal="center" vertical="center" wrapText="1"/>
      <protection hidden="1"/>
    </xf>
    <xf numFmtId="0" fontId="55" fillId="16" borderId="0" xfId="0" applyFont="1" applyFill="1" applyAlignment="1" applyProtection="1">
      <alignment horizontal="center"/>
      <protection hidden="1"/>
    </xf>
    <xf numFmtId="0" fontId="54" fillId="16" borderId="0" xfId="0" applyFont="1" applyFill="1" applyAlignment="1" applyProtection="1">
      <alignment horizontal="center"/>
      <protection hidden="1"/>
    </xf>
    <xf numFmtId="0" fontId="67" fillId="0" borderId="68" xfId="0" applyFont="1" applyBorder="1" applyAlignment="1" applyProtection="1">
      <alignment horizontal="center"/>
      <protection locked="0"/>
    </xf>
    <xf numFmtId="0" fontId="67" fillId="0" borderId="109" xfId="0" applyFont="1" applyBorder="1" applyAlignment="1" applyProtection="1">
      <alignment horizontal="center"/>
      <protection locked="0"/>
    </xf>
    <xf numFmtId="0" fontId="38" fillId="2" borderId="40" xfId="5" applyFont="1" applyFill="1" applyBorder="1" applyProtection="1">
      <protection hidden="1"/>
    </xf>
    <xf numFmtId="0" fontId="54" fillId="0" borderId="0" xfId="0" applyFont="1" applyProtection="1">
      <protection hidden="1"/>
    </xf>
    <xf numFmtId="0" fontId="38" fillId="2" borderId="0" xfId="5" applyFont="1" applyFill="1" applyAlignment="1" applyProtection="1">
      <alignment horizontal="center"/>
      <protection hidden="1"/>
    </xf>
    <xf numFmtId="0" fontId="56" fillId="5" borderId="102" xfId="5" applyFont="1" applyFill="1" applyBorder="1" applyAlignment="1" applyProtection="1">
      <alignment horizontal="center"/>
      <protection locked="0"/>
    </xf>
    <xf numFmtId="0" fontId="56" fillId="5" borderId="68" xfId="5" applyFont="1" applyFill="1" applyBorder="1" applyAlignment="1" applyProtection="1">
      <alignment horizontal="center"/>
      <protection locked="0"/>
    </xf>
    <xf numFmtId="0" fontId="56" fillId="5" borderId="109" xfId="5" applyFont="1" applyFill="1" applyBorder="1" applyAlignment="1" applyProtection="1">
      <alignment horizontal="center"/>
      <protection locked="0"/>
    </xf>
    <xf numFmtId="0" fontId="38" fillId="2" borderId="62" xfId="5" applyFont="1" applyFill="1" applyBorder="1" applyAlignment="1" applyProtection="1">
      <alignment horizontal="center"/>
      <protection hidden="1"/>
    </xf>
    <xf numFmtId="0" fontId="0" fillId="0" borderId="62" xfId="0" applyBorder="1" applyAlignment="1">
      <alignment horizontal="center"/>
    </xf>
    <xf numFmtId="0" fontId="57" fillId="2" borderId="0" xfId="5" applyFont="1" applyFill="1" applyProtection="1">
      <protection hidden="1"/>
    </xf>
    <xf numFmtId="0" fontId="73" fillId="0" borderId="0" xfId="0" applyFont="1" applyProtection="1">
      <protection hidden="1"/>
    </xf>
    <xf numFmtId="0" fontId="74" fillId="0" borderId="0" xfId="0" applyFont="1" applyProtection="1">
      <protection hidden="1"/>
    </xf>
    <xf numFmtId="0" fontId="38" fillId="5" borderId="102" xfId="5" applyFont="1" applyFill="1" applyBorder="1" applyAlignment="1" applyProtection="1">
      <alignment horizontal="center"/>
      <protection locked="0"/>
    </xf>
    <xf numFmtId="0" fontId="38" fillId="5" borderId="68" xfId="5" applyFont="1" applyFill="1" applyBorder="1" applyAlignment="1" applyProtection="1">
      <alignment horizontal="center"/>
      <protection locked="0"/>
    </xf>
    <xf numFmtId="0" fontId="38" fillId="5" borderId="109" xfId="5" applyFont="1" applyFill="1" applyBorder="1" applyAlignment="1" applyProtection="1">
      <alignment horizontal="center"/>
      <protection locked="0"/>
    </xf>
    <xf numFmtId="0" fontId="53" fillId="2" borderId="0" xfId="5" applyFont="1" applyFill="1" applyAlignment="1" applyProtection="1">
      <alignment horizontal="center" vertical="center"/>
      <protection hidden="1"/>
    </xf>
    <xf numFmtId="0" fontId="54" fillId="0" borderId="0" xfId="0" applyFont="1" applyAlignment="1" applyProtection="1">
      <alignment horizontal="center" vertical="center"/>
      <protection hidden="1"/>
    </xf>
    <xf numFmtId="0" fontId="38" fillId="16" borderId="40" xfId="5" applyFont="1" applyFill="1" applyBorder="1" applyAlignment="1" applyProtection="1">
      <alignment vertical="center" wrapText="1"/>
      <protection hidden="1"/>
    </xf>
    <xf numFmtId="0" fontId="54" fillId="16" borderId="0" xfId="0" applyFont="1" applyFill="1" applyProtection="1">
      <protection hidden="1"/>
    </xf>
    <xf numFmtId="0" fontId="66" fillId="0" borderId="0" xfId="0" applyFont="1" applyAlignment="1" applyProtection="1">
      <alignment horizontal="center"/>
      <protection locked="0"/>
    </xf>
    <xf numFmtId="0" fontId="38" fillId="16" borderId="40" xfId="5" applyFont="1" applyFill="1" applyBorder="1" applyProtection="1">
      <protection hidden="1"/>
    </xf>
    <xf numFmtId="0" fontId="38" fillId="16" borderId="40" xfId="5" applyFont="1" applyFill="1" applyBorder="1" applyAlignment="1" applyProtection="1">
      <alignment horizontal="left" vertical="center" wrapText="1"/>
      <protection hidden="1"/>
    </xf>
    <xf numFmtId="0" fontId="54" fillId="16" borderId="0" xfId="0" applyFont="1" applyFill="1" applyAlignment="1" applyProtection="1">
      <alignment horizontal="left" vertical="center" wrapText="1"/>
      <protection hidden="1"/>
    </xf>
    <xf numFmtId="0" fontId="102" fillId="2" borderId="0" xfId="5" applyFont="1" applyFill="1" applyBorder="1" applyAlignment="1" applyProtection="1">
      <alignment horizontal="center"/>
      <protection hidden="1"/>
    </xf>
    <xf numFmtId="0" fontId="142" fillId="5" borderId="207" xfId="5" applyFont="1" applyFill="1" applyBorder="1" applyAlignment="1" applyProtection="1">
      <alignment horizontal="center"/>
      <protection locked="0"/>
    </xf>
    <xf numFmtId="0" fontId="142" fillId="5" borderId="208" xfId="5" applyFont="1" applyFill="1" applyBorder="1" applyAlignment="1" applyProtection="1">
      <alignment horizontal="center"/>
      <protection locked="0"/>
    </xf>
    <xf numFmtId="0" fontId="143" fillId="2" borderId="0" xfId="5" applyFont="1" applyFill="1" applyAlignment="1" applyProtection="1">
      <alignment horizontal="left" wrapText="1"/>
      <protection hidden="1"/>
    </xf>
    <xf numFmtId="0" fontId="102" fillId="2" borderId="253" xfId="5" applyFont="1" applyFill="1" applyBorder="1" applyAlignment="1" applyProtection="1">
      <alignment horizontal="center"/>
      <protection hidden="1"/>
    </xf>
    <xf numFmtId="0" fontId="102" fillId="2" borderId="254" xfId="5" applyFont="1" applyFill="1" applyBorder="1" applyAlignment="1" applyProtection="1">
      <alignment horizontal="center"/>
      <protection hidden="1"/>
    </xf>
    <xf numFmtId="0" fontId="102" fillId="2" borderId="255" xfId="5" applyFont="1" applyFill="1" applyBorder="1" applyAlignment="1" applyProtection="1">
      <alignment horizontal="center"/>
      <protection hidden="1"/>
    </xf>
    <xf numFmtId="0" fontId="102" fillId="2" borderId="239" xfId="5" applyFont="1" applyFill="1" applyBorder="1" applyAlignment="1" applyProtection="1">
      <alignment horizontal="center"/>
      <protection hidden="1"/>
    </xf>
    <xf numFmtId="0" fontId="102" fillId="2" borderId="240" xfId="5" applyFont="1" applyFill="1" applyBorder="1" applyAlignment="1" applyProtection="1">
      <alignment horizontal="center"/>
      <protection hidden="1"/>
    </xf>
    <xf numFmtId="0" fontId="102" fillId="2" borderId="225" xfId="5" applyFont="1" applyFill="1" applyBorder="1" applyAlignment="1" applyProtection="1">
      <alignment horizontal="center"/>
      <protection hidden="1"/>
    </xf>
    <xf numFmtId="0" fontId="102" fillId="2" borderId="226" xfId="5" applyFont="1" applyFill="1" applyBorder="1" applyAlignment="1" applyProtection="1">
      <alignment horizontal="center"/>
      <protection hidden="1"/>
    </xf>
    <xf numFmtId="0" fontId="102" fillId="2" borderId="227" xfId="5" applyFont="1" applyFill="1" applyBorder="1" applyAlignment="1" applyProtection="1">
      <alignment horizontal="center"/>
      <protection hidden="1"/>
    </xf>
    <xf numFmtId="0" fontId="142" fillId="2" borderId="207" xfId="5" applyFont="1" applyFill="1" applyBorder="1" applyAlignment="1" applyProtection="1">
      <alignment horizontal="center"/>
      <protection locked="0"/>
    </xf>
    <xf numFmtId="0" fontId="142" fillId="2" borderId="224" xfId="5" applyFont="1" applyFill="1" applyBorder="1" applyAlignment="1" applyProtection="1">
      <alignment horizontal="center"/>
      <protection locked="0"/>
    </xf>
    <xf numFmtId="0" fontId="142" fillId="2" borderId="208" xfId="5" applyFont="1" applyFill="1" applyBorder="1" applyAlignment="1" applyProtection="1">
      <alignment horizontal="center"/>
      <protection locked="0"/>
    </xf>
    <xf numFmtId="0" fontId="142" fillId="0" borderId="207" xfId="0" applyFont="1" applyBorder="1" applyAlignment="1" applyProtection="1">
      <alignment horizontal="center"/>
      <protection locked="0"/>
    </xf>
    <xf numFmtId="0" fontId="142" fillId="0" borderId="224" xfId="0" applyFont="1" applyBorder="1" applyAlignment="1" applyProtection="1">
      <alignment horizontal="center"/>
      <protection locked="0"/>
    </xf>
    <xf numFmtId="0" fontId="142" fillId="0" borderId="208" xfId="0" applyFont="1" applyBorder="1" applyAlignment="1" applyProtection="1">
      <alignment horizontal="center"/>
      <protection locked="0"/>
    </xf>
    <xf numFmtId="0" fontId="142" fillId="5" borderId="224" xfId="5" applyFont="1" applyFill="1" applyBorder="1" applyAlignment="1" applyProtection="1">
      <alignment horizontal="center"/>
      <protection locked="0"/>
    </xf>
    <xf numFmtId="0" fontId="142" fillId="0" borderId="208" xfId="0" applyFont="1" applyBorder="1" applyProtection="1">
      <protection locked="0"/>
    </xf>
    <xf numFmtId="0" fontId="102" fillId="5" borderId="0" xfId="5" applyFont="1" applyFill="1" applyBorder="1" applyAlignment="1" applyProtection="1">
      <alignment horizontal="center"/>
      <protection hidden="1"/>
    </xf>
    <xf numFmtId="0" fontId="102" fillId="5" borderId="207" xfId="5" applyFont="1" applyFill="1" applyBorder="1" applyAlignment="1" applyProtection="1">
      <alignment horizontal="center"/>
      <protection locked="0"/>
    </xf>
    <xf numFmtId="0" fontId="102" fillId="5" borderId="208" xfId="5" applyFont="1" applyFill="1" applyBorder="1" applyAlignment="1" applyProtection="1">
      <alignment horizontal="center"/>
      <protection locked="0"/>
    </xf>
    <xf numFmtId="0" fontId="102" fillId="2" borderId="212" xfId="5" applyFont="1" applyFill="1" applyBorder="1" applyAlignment="1" applyProtection="1">
      <alignment horizontal="left" wrapText="1"/>
      <protection hidden="1"/>
    </xf>
    <xf numFmtId="0" fontId="113" fillId="0" borderId="0" xfId="0" applyFont="1" applyBorder="1" applyAlignment="1">
      <alignment horizontal="left" wrapText="1"/>
    </xf>
    <xf numFmtId="0" fontId="113" fillId="0" borderId="0" xfId="0" applyFont="1" applyBorder="1"/>
    <xf numFmtId="0" fontId="102" fillId="2" borderId="0" xfId="5" applyFont="1" applyFill="1" applyBorder="1" applyAlignment="1" applyProtection="1">
      <alignment horizontal="left" wrapText="1"/>
      <protection hidden="1"/>
    </xf>
    <xf numFmtId="0" fontId="142" fillId="5" borderId="207" xfId="5" applyFont="1" applyFill="1" applyBorder="1" applyAlignment="1" applyProtection="1">
      <alignment horizontal="right"/>
      <protection locked="0"/>
    </xf>
    <xf numFmtId="0" fontId="142" fillId="5" borderId="224" xfId="5" applyFont="1" applyFill="1" applyBorder="1" applyAlignment="1" applyProtection="1">
      <alignment horizontal="right"/>
      <protection locked="0"/>
    </xf>
    <xf numFmtId="0" fontId="142" fillId="5" borderId="208" xfId="5" applyFont="1" applyFill="1" applyBorder="1" applyAlignment="1" applyProtection="1">
      <alignment horizontal="right"/>
      <protection locked="0"/>
    </xf>
    <xf numFmtId="0" fontId="142" fillId="5" borderId="249" xfId="5" applyFont="1" applyFill="1" applyBorder="1" applyAlignment="1" applyProtection="1">
      <alignment horizontal="right"/>
      <protection locked="0"/>
    </xf>
    <xf numFmtId="0" fontId="142" fillId="5" borderId="249" xfId="5" applyFont="1" applyFill="1" applyBorder="1" applyAlignment="1" applyProtection="1">
      <alignment horizontal="center"/>
      <protection locked="0"/>
    </xf>
    <xf numFmtId="0" fontId="140" fillId="26" borderId="247" xfId="5" applyFont="1" applyFill="1" applyBorder="1" applyAlignment="1" applyProtection="1">
      <alignment horizontal="center" vertical="center"/>
      <protection hidden="1"/>
    </xf>
    <xf numFmtId="0" fontId="140" fillId="26" borderId="0" xfId="5" applyFont="1" applyFill="1" applyBorder="1" applyAlignment="1" applyProtection="1">
      <alignment horizontal="center" vertical="center"/>
      <protection hidden="1"/>
    </xf>
    <xf numFmtId="0" fontId="102" fillId="2" borderId="207" xfId="5" applyFont="1" applyFill="1" applyBorder="1" applyAlignment="1" applyProtection="1">
      <alignment horizontal="center" vertical="center" wrapText="1"/>
      <protection locked="0"/>
    </xf>
    <xf numFmtId="0" fontId="102" fillId="2" borderId="224" xfId="5" applyFont="1" applyFill="1" applyBorder="1" applyAlignment="1" applyProtection="1">
      <alignment horizontal="center" vertical="center" wrapText="1"/>
      <protection locked="0"/>
    </xf>
    <xf numFmtId="0" fontId="102" fillId="2" borderId="208" xfId="5" applyFont="1" applyFill="1" applyBorder="1" applyAlignment="1" applyProtection="1">
      <alignment horizontal="center" vertical="center" wrapText="1"/>
      <protection locked="0"/>
    </xf>
    <xf numFmtId="0" fontId="142" fillId="2" borderId="207" xfId="5" applyFont="1" applyFill="1" applyBorder="1" applyProtection="1">
      <protection locked="0"/>
    </xf>
    <xf numFmtId="0" fontId="142" fillId="0" borderId="224" xfId="0" applyFont="1" applyBorder="1" applyProtection="1">
      <protection locked="0"/>
    </xf>
    <xf numFmtId="0" fontId="142" fillId="5" borderId="0" xfId="5" applyFont="1" applyFill="1" applyBorder="1" applyAlignment="1" applyProtection="1">
      <alignment horizontal="center"/>
      <protection locked="0"/>
    </xf>
    <xf numFmtId="0" fontId="102" fillId="2" borderId="210" xfId="5" applyFont="1" applyFill="1" applyBorder="1" applyAlignment="1" applyProtection="1">
      <alignment horizontal="left" vertical="center" wrapText="1"/>
      <protection hidden="1"/>
    </xf>
    <xf numFmtId="0" fontId="102" fillId="2" borderId="0" xfId="5" applyFont="1" applyFill="1" applyBorder="1" applyAlignment="1" applyProtection="1">
      <alignment horizontal="left" vertical="center" wrapText="1"/>
      <protection hidden="1"/>
    </xf>
    <xf numFmtId="0" fontId="142" fillId="2" borderId="208" xfId="5" applyFont="1" applyFill="1" applyBorder="1" applyProtection="1">
      <protection locked="0"/>
    </xf>
    <xf numFmtId="0" fontId="102" fillId="2" borderId="207" xfId="5" applyFont="1" applyFill="1" applyBorder="1" applyAlignment="1" applyProtection="1">
      <alignment horizontal="center"/>
      <protection locked="0"/>
    </xf>
    <xf numFmtId="0" fontId="102" fillId="2" borderId="224" xfId="5" applyFont="1" applyFill="1" applyBorder="1" applyAlignment="1" applyProtection="1">
      <alignment horizontal="center"/>
      <protection locked="0"/>
    </xf>
    <xf numFmtId="0" fontId="102" fillId="2" borderId="208" xfId="5" applyFont="1" applyFill="1" applyBorder="1" applyAlignment="1" applyProtection="1">
      <alignment horizontal="center"/>
      <protection locked="0"/>
    </xf>
    <xf numFmtId="0" fontId="122" fillId="2" borderId="0" xfId="5" applyFont="1" applyFill="1" applyAlignment="1" applyProtection="1">
      <alignment horizontal="center" vertical="center"/>
      <protection hidden="1"/>
    </xf>
    <xf numFmtId="0" fontId="113" fillId="0" borderId="0" xfId="0" applyFont="1" applyAlignment="1" applyProtection="1">
      <alignment horizontal="center" vertical="center"/>
      <protection hidden="1"/>
    </xf>
    <xf numFmtId="0" fontId="127" fillId="26" borderId="0" xfId="5" applyFont="1" applyFill="1" applyAlignment="1" applyProtection="1">
      <alignment horizontal="center" vertical="center"/>
      <protection hidden="1"/>
    </xf>
    <xf numFmtId="0" fontId="142" fillId="5" borderId="206" xfId="5" applyFont="1" applyFill="1" applyBorder="1" applyAlignment="1" applyProtection="1">
      <alignment horizontal="center"/>
      <protection locked="0"/>
    </xf>
    <xf numFmtId="0" fontId="141" fillId="5" borderId="236" xfId="5" applyFont="1" applyFill="1" applyBorder="1" applyAlignment="1" applyProtection="1">
      <alignment horizontal="center"/>
      <protection locked="0"/>
    </xf>
    <xf numFmtId="0" fontId="102" fillId="2" borderId="0" xfId="5" applyFont="1" applyFill="1" applyAlignment="1">
      <alignment horizontal="center"/>
    </xf>
    <xf numFmtId="0" fontId="142" fillId="5" borderId="224" xfId="0" applyFont="1" applyFill="1" applyBorder="1" applyAlignment="1" applyProtection="1">
      <alignment horizontal="center"/>
      <protection locked="0"/>
    </xf>
    <xf numFmtId="0" fontId="142" fillId="5" borderId="215" xfId="0" applyFont="1" applyFill="1" applyBorder="1" applyAlignment="1" applyProtection="1">
      <alignment horizontal="center"/>
      <protection locked="0"/>
    </xf>
    <xf numFmtId="0" fontId="142" fillId="5" borderId="0" xfId="5" applyFont="1" applyFill="1" applyAlignment="1" applyProtection="1">
      <alignment horizontal="center"/>
      <protection locked="0"/>
    </xf>
    <xf numFmtId="0" fontId="102" fillId="5" borderId="0" xfId="5" applyFont="1" applyFill="1" applyBorder="1" applyAlignment="1">
      <alignment horizontal="center"/>
    </xf>
    <xf numFmtId="0" fontId="113" fillId="0" borderId="0" xfId="0" applyFont="1" applyBorder="1" applyAlignment="1">
      <alignment horizontal="center"/>
    </xf>
    <xf numFmtId="0" fontId="142" fillId="0" borderId="215" xfId="0" applyFont="1" applyBorder="1" applyAlignment="1" applyProtection="1">
      <alignment horizontal="center"/>
      <protection locked="0"/>
    </xf>
    <xf numFmtId="0" fontId="142" fillId="5" borderId="208" xfId="0" applyFont="1" applyFill="1" applyBorder="1" applyAlignment="1" applyProtection="1">
      <alignment horizontal="center"/>
      <protection locked="0"/>
    </xf>
    <xf numFmtId="0" fontId="113" fillId="5" borderId="0" xfId="0" applyFont="1" applyFill="1" applyBorder="1" applyAlignment="1">
      <alignment horizontal="center"/>
    </xf>
    <xf numFmtId="0" fontId="122" fillId="2" borderId="0" xfId="5" applyFont="1" applyFill="1" applyAlignment="1">
      <alignment horizontal="center" vertical="center"/>
    </xf>
    <xf numFmtId="0" fontId="113" fillId="0" borderId="0" xfId="0" applyFont="1" applyAlignment="1">
      <alignment horizontal="center" vertical="center"/>
    </xf>
    <xf numFmtId="0" fontId="141" fillId="5" borderId="0" xfId="5" applyFont="1" applyFill="1" applyBorder="1" applyAlignment="1" applyProtection="1">
      <alignment horizontal="center"/>
      <protection locked="0"/>
    </xf>
    <xf numFmtId="0" fontId="102" fillId="2" borderId="0" xfId="5" applyFont="1" applyFill="1" applyAlignment="1" applyProtection="1">
      <alignment horizontal="center"/>
      <protection hidden="1"/>
    </xf>
    <xf numFmtId="0" fontId="142" fillId="2" borderId="207" xfId="5" applyFont="1" applyFill="1" applyBorder="1" applyAlignment="1" applyProtection="1">
      <alignment horizontal="left"/>
      <protection locked="0"/>
    </xf>
    <xf numFmtId="0" fontId="142" fillId="2" borderId="224" xfId="5" applyFont="1" applyFill="1" applyBorder="1" applyAlignment="1" applyProtection="1">
      <alignment horizontal="left"/>
      <protection locked="0"/>
    </xf>
    <xf numFmtId="0" fontId="142" fillId="2" borderId="208" xfId="5" applyFont="1" applyFill="1" applyBorder="1" applyAlignment="1" applyProtection="1">
      <alignment horizontal="left"/>
      <protection locked="0"/>
    </xf>
    <xf numFmtId="0" fontId="102" fillId="0" borderId="253" xfId="0" applyFont="1" applyBorder="1" applyAlignment="1" applyProtection="1">
      <alignment horizontal="center"/>
      <protection hidden="1"/>
    </xf>
    <xf numFmtId="0" fontId="102" fillId="0" borderId="254" xfId="0" applyFont="1" applyBorder="1" applyAlignment="1" applyProtection="1">
      <alignment horizontal="center"/>
      <protection hidden="1"/>
    </xf>
    <xf numFmtId="0" fontId="102" fillId="0" borderId="255" xfId="0" applyFont="1" applyBorder="1" applyAlignment="1" applyProtection="1">
      <alignment horizontal="center"/>
      <protection hidden="1"/>
    </xf>
    <xf numFmtId="0" fontId="102" fillId="0" borderId="239" xfId="0" applyFont="1" applyBorder="1" applyAlignment="1" applyProtection="1">
      <alignment horizontal="center"/>
      <protection hidden="1"/>
    </xf>
    <xf numFmtId="0" fontId="102" fillId="0" borderId="0" xfId="0" applyFont="1" applyBorder="1" applyAlignment="1" applyProtection="1">
      <alignment horizontal="center"/>
      <protection hidden="1"/>
    </xf>
    <xf numFmtId="0" fontId="102" fillId="0" borderId="240" xfId="0" applyFont="1" applyBorder="1" applyAlignment="1" applyProtection="1">
      <alignment horizontal="center"/>
      <protection hidden="1"/>
    </xf>
    <xf numFmtId="0" fontId="102" fillId="0" borderId="225" xfId="0" applyFont="1" applyBorder="1" applyAlignment="1" applyProtection="1">
      <alignment horizontal="center"/>
      <protection hidden="1"/>
    </xf>
    <xf numFmtId="0" fontId="102" fillId="0" borderId="226" xfId="0" applyFont="1" applyBorder="1" applyAlignment="1" applyProtection="1">
      <alignment horizontal="center"/>
      <protection hidden="1"/>
    </xf>
    <xf numFmtId="0" fontId="102" fillId="0" borderId="227" xfId="0" applyFont="1" applyBorder="1" applyAlignment="1" applyProtection="1">
      <alignment horizontal="center"/>
      <protection hidden="1"/>
    </xf>
    <xf numFmtId="0" fontId="142" fillId="2" borderId="0" xfId="5" applyFont="1" applyFill="1" applyAlignment="1" applyProtection="1">
      <alignment horizontal="center"/>
      <protection locked="0"/>
    </xf>
    <xf numFmtId="0" fontId="102" fillId="2" borderId="0" xfId="5" applyFont="1" applyFill="1" applyAlignment="1" applyProtection="1">
      <alignment horizontal="center"/>
      <protection locked="0"/>
    </xf>
    <xf numFmtId="0" fontId="102" fillId="0" borderId="0" xfId="0" applyFont="1" applyAlignment="1" applyProtection="1">
      <alignment horizontal="center"/>
      <protection locked="0"/>
    </xf>
    <xf numFmtId="0" fontId="142" fillId="5" borderId="0" xfId="0" applyFont="1" applyFill="1" applyAlignment="1" applyProtection="1">
      <alignment horizontal="center"/>
      <protection locked="0"/>
    </xf>
    <xf numFmtId="0" fontId="102" fillId="0" borderId="0" xfId="0" applyFont="1" applyBorder="1" applyAlignment="1" applyProtection="1">
      <alignment wrapText="1"/>
      <protection hidden="1"/>
    </xf>
    <xf numFmtId="0" fontId="113" fillId="0" borderId="0" xfId="0" applyFont="1" applyBorder="1" applyProtection="1">
      <protection hidden="1"/>
    </xf>
    <xf numFmtId="0" fontId="102" fillId="0" borderId="217" xfId="0" applyFont="1" applyBorder="1" applyAlignment="1" applyProtection="1">
      <alignment wrapText="1"/>
      <protection hidden="1"/>
    </xf>
    <xf numFmtId="0" fontId="113" fillId="0" borderId="217" xfId="0" applyFont="1" applyBorder="1" applyProtection="1">
      <protection hidden="1"/>
    </xf>
    <xf numFmtId="0" fontId="102" fillId="0" borderId="0" xfId="0" applyFont="1" applyAlignment="1" applyProtection="1">
      <alignment horizontal="justify" vertical="top"/>
      <protection hidden="1"/>
    </xf>
    <xf numFmtId="0" fontId="113" fillId="0" borderId="0" xfId="0" applyFont="1" applyAlignment="1" applyProtection="1">
      <alignment vertical="top"/>
      <protection hidden="1"/>
    </xf>
    <xf numFmtId="0" fontId="102" fillId="0" borderId="0" xfId="0" applyFont="1" applyAlignment="1" applyProtection="1">
      <alignment horizontal="justify"/>
      <protection hidden="1"/>
    </xf>
    <xf numFmtId="0" fontId="113" fillId="0" borderId="0" xfId="0" applyFont="1" applyProtection="1">
      <protection hidden="1"/>
    </xf>
    <xf numFmtId="0" fontId="102" fillId="0" borderId="212" xfId="0" applyFont="1" applyBorder="1" applyAlignment="1" applyProtection="1">
      <alignment horizontal="left" wrapText="1"/>
      <protection hidden="1"/>
    </xf>
    <xf numFmtId="0" fontId="113" fillId="0" borderId="0" xfId="0" applyFont="1" applyBorder="1" applyAlignment="1" applyProtection="1">
      <alignment horizontal="left" wrapText="1"/>
      <protection hidden="1"/>
    </xf>
    <xf numFmtId="0" fontId="142" fillId="0" borderId="207" xfId="0" applyFont="1" applyBorder="1" applyAlignment="1" applyProtection="1">
      <alignment horizontal="left"/>
      <protection locked="0"/>
    </xf>
    <xf numFmtId="0" fontId="142" fillId="0" borderId="224" xfId="0" applyFont="1" applyBorder="1" applyAlignment="1" applyProtection="1">
      <alignment horizontal="left"/>
      <protection locked="0"/>
    </xf>
    <xf numFmtId="0" fontId="142" fillId="0" borderId="208" xfId="0" applyFont="1" applyBorder="1" applyAlignment="1" applyProtection="1">
      <alignment horizontal="left"/>
      <protection locked="0"/>
    </xf>
    <xf numFmtId="0" fontId="102" fillId="0" borderId="212" xfId="0" applyFont="1" applyBorder="1" applyAlignment="1" applyProtection="1">
      <alignment wrapText="1"/>
      <protection hidden="1"/>
    </xf>
    <xf numFmtId="0" fontId="113" fillId="0" borderId="0" xfId="0" applyFont="1" applyBorder="1" applyAlignment="1" applyProtection="1">
      <alignment wrapText="1"/>
      <protection hidden="1"/>
    </xf>
    <xf numFmtId="0" fontId="113" fillId="0" borderId="212" xfId="0" applyFont="1" applyBorder="1" applyAlignment="1" applyProtection="1">
      <alignment wrapText="1"/>
      <protection hidden="1"/>
    </xf>
    <xf numFmtId="10" fontId="19" fillId="5" borderId="34" xfId="0" applyNumberFormat="1" applyFont="1" applyFill="1" applyBorder="1" applyAlignment="1">
      <alignment horizontal="center"/>
    </xf>
    <xf numFmtId="0" fontId="19" fillId="5" borderId="18" xfId="0" applyFont="1" applyFill="1" applyBorder="1" applyAlignment="1">
      <alignment horizontal="center"/>
    </xf>
    <xf numFmtId="0" fontId="19" fillId="5" borderId="0" xfId="0" applyFont="1" applyFill="1" applyAlignment="1">
      <alignment horizontal="center" wrapText="1"/>
    </xf>
    <xf numFmtId="0" fontId="19" fillId="5" borderId="33" xfId="0" applyFont="1" applyFill="1" applyBorder="1" applyAlignment="1">
      <alignment horizontal="left" wrapText="1"/>
    </xf>
    <xf numFmtId="0" fontId="19" fillId="5" borderId="124" xfId="0" applyFont="1" applyFill="1" applyBorder="1" applyAlignment="1">
      <alignment horizontal="left" wrapText="1"/>
    </xf>
    <xf numFmtId="0" fontId="19" fillId="5" borderId="4" xfId="0" applyFont="1" applyFill="1" applyBorder="1" applyAlignment="1">
      <alignment wrapText="1"/>
    </xf>
    <xf numFmtId="0" fontId="19" fillId="5" borderId="16" xfId="0" applyFont="1" applyFill="1" applyBorder="1"/>
    <xf numFmtId="0" fontId="19" fillId="5" borderId="4" xfId="0" applyFont="1" applyFill="1" applyBorder="1" applyAlignment="1">
      <alignment horizontal="center" wrapText="1"/>
    </xf>
    <xf numFmtId="0" fontId="19" fillId="5" borderId="16" xfId="0" applyFont="1" applyFill="1" applyBorder="1" applyAlignment="1">
      <alignment horizontal="center"/>
    </xf>
    <xf numFmtId="0" fontId="19" fillId="5" borderId="4" xfId="0" applyFont="1" applyFill="1" applyBorder="1" applyAlignment="1">
      <alignment horizontal="center"/>
    </xf>
    <xf numFmtId="0" fontId="19" fillId="5" borderId="33" xfId="0" applyFont="1" applyFill="1" applyBorder="1" applyAlignment="1">
      <alignment horizontal="center"/>
    </xf>
    <xf numFmtId="0" fontId="19" fillId="5" borderId="124" xfId="0" applyFont="1" applyFill="1" applyBorder="1" applyAlignment="1">
      <alignment horizontal="center"/>
    </xf>
    <xf numFmtId="0" fontId="19" fillId="5" borderId="124" xfId="0" applyFont="1" applyFill="1" applyBorder="1" applyAlignment="1">
      <alignment horizontal="left"/>
    </xf>
    <xf numFmtId="0" fontId="19" fillId="5" borderId="33" xfId="0" applyFont="1" applyFill="1" applyBorder="1" applyAlignment="1">
      <alignment horizontal="center" wrapText="1"/>
    </xf>
    <xf numFmtId="0" fontId="19" fillId="5" borderId="124" xfId="0" applyFont="1" applyFill="1" applyBorder="1" applyAlignment="1">
      <alignment horizontal="center" wrapText="1"/>
    </xf>
    <xf numFmtId="10" fontId="19" fillId="5" borderId="4" xfId="0" applyNumberFormat="1" applyFont="1" applyFill="1" applyBorder="1" applyAlignment="1">
      <alignment horizontal="center"/>
    </xf>
    <xf numFmtId="0" fontId="119" fillId="0" borderId="57" xfId="0" applyFont="1" applyBorder="1" applyAlignment="1" applyProtection="1">
      <alignment horizontal="justify" vertical="top" wrapText="1"/>
      <protection hidden="1"/>
    </xf>
    <xf numFmtId="0" fontId="119" fillId="0" borderId="83" xfId="0" applyFont="1" applyBorder="1" applyAlignment="1" applyProtection="1">
      <alignment horizontal="justify" vertical="top" wrapText="1"/>
      <protection hidden="1"/>
    </xf>
    <xf numFmtId="0" fontId="119" fillId="0" borderId="80" xfId="0" applyFont="1" applyBorder="1" applyAlignment="1" applyProtection="1">
      <alignment horizontal="justify" vertical="top" wrapText="1"/>
      <protection hidden="1"/>
    </xf>
    <xf numFmtId="0" fontId="119" fillId="0" borderId="57" xfId="0" applyFont="1" applyBorder="1" applyAlignment="1" applyProtection="1">
      <alignment horizontal="left" vertical="top" wrapText="1"/>
      <protection hidden="1"/>
    </xf>
    <xf numFmtId="0" fontId="119" fillId="0" borderId="83" xfId="0" applyFont="1" applyBorder="1" applyAlignment="1" applyProtection="1">
      <alignment horizontal="left" vertical="top" wrapText="1"/>
      <protection hidden="1"/>
    </xf>
    <xf numFmtId="0" fontId="119" fillId="0" borderId="80" xfId="0" applyFont="1" applyBorder="1" applyAlignment="1" applyProtection="1">
      <alignment horizontal="left" vertical="top" wrapText="1"/>
      <protection hidden="1"/>
    </xf>
    <xf numFmtId="0" fontId="119" fillId="0" borderId="57" xfId="0" applyFont="1" applyBorder="1" applyAlignment="1" applyProtection="1">
      <alignment horizontal="left" vertical="top"/>
      <protection hidden="1"/>
    </xf>
    <xf numFmtId="0" fontId="119" fillId="0" borderId="80" xfId="0" applyFont="1" applyBorder="1" applyAlignment="1" applyProtection="1">
      <alignment horizontal="left" vertical="top"/>
      <protection hidden="1"/>
    </xf>
    <xf numFmtId="0" fontId="146" fillId="25" borderId="33" xfId="0" applyFont="1" applyFill="1" applyBorder="1" applyAlignment="1">
      <alignment horizontal="left" vertical="center" wrapText="1"/>
    </xf>
    <xf numFmtId="0" fontId="146" fillId="25" borderId="1" xfId="0" applyFont="1" applyFill="1" applyBorder="1" applyAlignment="1">
      <alignment horizontal="left" vertical="center" wrapText="1"/>
    </xf>
    <xf numFmtId="0" fontId="146" fillId="25" borderId="133" xfId="0" applyFont="1" applyFill="1" applyBorder="1" applyAlignment="1">
      <alignment horizontal="left" vertical="center" wrapText="1"/>
    </xf>
    <xf numFmtId="0" fontId="122" fillId="25" borderId="33" xfId="0" applyFont="1" applyFill="1" applyBorder="1" applyAlignment="1">
      <alignment horizontal="left" vertical="center" wrapText="1"/>
    </xf>
    <xf numFmtId="0" fontId="122" fillId="25" borderId="1" xfId="0" applyFont="1" applyFill="1" applyBorder="1" applyAlignment="1">
      <alignment horizontal="left" vertical="center" wrapText="1"/>
    </xf>
    <xf numFmtId="0" fontId="122" fillId="25" borderId="133" xfId="0" applyFont="1" applyFill="1" applyBorder="1" applyAlignment="1">
      <alignment horizontal="left" vertical="center" wrapText="1"/>
    </xf>
    <xf numFmtId="0" fontId="148" fillId="0" borderId="33" xfId="0" applyFont="1" applyBorder="1" applyAlignment="1">
      <alignment horizontal="left" vertical="center" wrapText="1"/>
    </xf>
    <xf numFmtId="0" fontId="148" fillId="0" borderId="1" xfId="0" applyFont="1" applyBorder="1" applyAlignment="1">
      <alignment horizontal="left" vertical="center" wrapText="1"/>
    </xf>
    <xf numFmtId="0" fontId="102" fillId="0" borderId="33" xfId="0" applyFont="1" applyBorder="1" applyAlignment="1" applyProtection="1">
      <alignment horizontal="center" vertical="center"/>
      <protection locked="0"/>
    </xf>
    <xf numFmtId="0" fontId="102" fillId="0" borderId="1" xfId="0" applyFont="1" applyBorder="1" applyAlignment="1" applyProtection="1">
      <alignment horizontal="center" vertical="center"/>
      <protection locked="0"/>
    </xf>
    <xf numFmtId="0" fontId="102" fillId="0" borderId="133" xfId="0" applyFont="1" applyBorder="1" applyAlignment="1" applyProtection="1">
      <alignment horizontal="center" vertical="center"/>
      <protection locked="0"/>
    </xf>
    <xf numFmtId="0" fontId="152" fillId="25" borderId="4" xfId="0" applyFont="1" applyFill="1" applyBorder="1" applyAlignment="1">
      <alignment horizontal="left" vertical="center" wrapText="1"/>
    </xf>
  </cellXfs>
  <cellStyles count="17">
    <cellStyle name="Ezres" xfId="1" builtinId="3"/>
    <cellStyle name="Ezres 2" xfId="2"/>
    <cellStyle name="Ezres 2 2" xfId="3"/>
    <cellStyle name="Ezres 2 3" xfId="4"/>
    <cellStyle name="Hivatkozás" xfId="15" builtinId="8"/>
    <cellStyle name="Normál" xfId="0" builtinId="0"/>
    <cellStyle name="Normál 2" xfId="5"/>
    <cellStyle name="Normál 3" xfId="6"/>
    <cellStyle name="Normál 3 2" xfId="7"/>
    <cellStyle name="Normál 3 3" xfId="8"/>
    <cellStyle name="Normál 4" xfId="9"/>
    <cellStyle name="Normál_lakhite terv_4" xfId="10"/>
    <cellStyle name="Pénznem" xfId="16" builtinId="4"/>
    <cellStyle name="Százalék" xfId="11" builtinId="5"/>
    <cellStyle name="Százalék 2" xfId="12"/>
    <cellStyle name="Százalék 2 2" xfId="13"/>
    <cellStyle name="Százalék 2 3" xfId="14"/>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695FFF"/>
      <color rgb="FFD9D9D9"/>
      <color rgb="FF974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5" Type="http://schemas.openxmlformats.org/officeDocument/2006/relationships/image" Target="../media/image8.emf"/><Relationship Id="rId4"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20</xdr:col>
      <xdr:colOff>130968</xdr:colOff>
      <xdr:row>175</xdr:row>
      <xdr:rowOff>154781</xdr:rowOff>
    </xdr:from>
    <xdr:to>
      <xdr:col>23</xdr:col>
      <xdr:colOff>476249</xdr:colOff>
      <xdr:row>177</xdr:row>
      <xdr:rowOff>171450</xdr:rowOff>
    </xdr:to>
    <xdr:pic>
      <xdr:nvPicPr>
        <xdr:cNvPr id="2" name="Picture 1" descr="http://www.complex.hu/jr/gen/gp2_299_A1000083$BKOR__0_a1000083kor$A11817$A1k$Amk43$BBMP_0.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46156" y="34016156"/>
          <a:ext cx="2047875" cy="4191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22</xdr:col>
      <xdr:colOff>23691</xdr:colOff>
      <xdr:row>2</xdr:row>
      <xdr:rowOff>28575</xdr:rowOff>
    </xdr:from>
    <xdr:to>
      <xdr:col>31</xdr:col>
      <xdr:colOff>114859</xdr:colOff>
      <xdr:row>5</xdr:row>
      <xdr:rowOff>0</xdr:rowOff>
    </xdr:to>
    <xdr:sp macro="" textlink="">
      <xdr:nvSpPr>
        <xdr:cNvPr id="2" name="Egy sarkán levágott téglalap 1">
          <a:extLst>
            <a:ext uri="{FF2B5EF4-FFF2-40B4-BE49-F238E27FC236}">
              <a16:creationId xmlns:a16="http://schemas.microsoft.com/office/drawing/2014/main" id="{00000000-0008-0000-0F00-000002000000}"/>
            </a:ext>
          </a:extLst>
        </xdr:cNvPr>
        <xdr:cNvSpPr/>
      </xdr:nvSpPr>
      <xdr:spPr>
        <a:xfrm>
          <a:off x="5273871" y="813435"/>
          <a:ext cx="2285728" cy="299085"/>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bg1"/>
              </a:solidFill>
              <a:effectLst/>
              <a:latin typeface="Tahoma" pitchFamily="34" charset="0"/>
              <a:ea typeface="Tahoma" pitchFamily="34" charset="0"/>
              <a:cs typeface="Tahoma" pitchFamily="34" charset="0"/>
            </a:rPr>
            <a:t>GRÁNIT Bank tölti ki!</a:t>
          </a:r>
        </a:p>
      </xdr:txBody>
    </xdr:sp>
    <xdr:clientData/>
  </xdr:twoCellAnchor>
  <xdr:twoCellAnchor>
    <xdr:from>
      <xdr:col>0</xdr:col>
      <xdr:colOff>62351</xdr:colOff>
      <xdr:row>7</xdr:row>
      <xdr:rowOff>9524</xdr:rowOff>
    </xdr:from>
    <xdr:to>
      <xdr:col>17</xdr:col>
      <xdr:colOff>66675</xdr:colOff>
      <xdr:row>7</xdr:row>
      <xdr:rowOff>209550</xdr:rowOff>
    </xdr:to>
    <xdr:sp macro="" textlink="">
      <xdr:nvSpPr>
        <xdr:cNvPr id="3" name="Egy sarkán levágott téglalap 2">
          <a:extLst>
            <a:ext uri="{FF2B5EF4-FFF2-40B4-BE49-F238E27FC236}">
              <a16:creationId xmlns:a16="http://schemas.microsoft.com/office/drawing/2014/main" id="{00000000-0008-0000-0F00-000003000000}"/>
            </a:ext>
          </a:extLst>
        </xdr:cNvPr>
        <xdr:cNvSpPr/>
      </xdr:nvSpPr>
      <xdr:spPr>
        <a:xfrm>
          <a:off x="62351" y="1320164"/>
          <a:ext cx="4035304" cy="200026"/>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algn="l"/>
          <a:r>
            <a:rPr lang="hu-HU" sz="1000" b="1">
              <a:solidFill>
                <a:schemeClr val="bg1"/>
              </a:solidFill>
              <a:effectLst/>
              <a:latin typeface="Tahoma" pitchFamily="34" charset="0"/>
              <a:ea typeface="Tahoma" pitchFamily="34" charset="0"/>
              <a:cs typeface="Tahoma" pitchFamily="34" charset="0"/>
            </a:rPr>
            <a:t>Ügyletszereplő kölcsönügyletben</a:t>
          </a:r>
          <a:r>
            <a:rPr lang="hu-HU" sz="1000" b="1" baseline="0">
              <a:solidFill>
                <a:schemeClr val="bg1"/>
              </a:solidFill>
              <a:effectLst/>
              <a:latin typeface="Tahoma" pitchFamily="34" charset="0"/>
              <a:ea typeface="Tahoma" pitchFamily="34" charset="0"/>
              <a:cs typeface="Tahoma" pitchFamily="34" charset="0"/>
            </a:rPr>
            <a:t> betöltött szerepe:</a:t>
          </a:r>
        </a:p>
      </xdr:txBody>
    </xdr:sp>
    <xdr:clientData/>
  </xdr:twoCellAnchor>
  <xdr:twoCellAnchor>
    <xdr:from>
      <xdr:col>1</xdr:col>
      <xdr:colOff>7285</xdr:colOff>
      <xdr:row>132</xdr:row>
      <xdr:rowOff>84603</xdr:rowOff>
    </xdr:from>
    <xdr:to>
      <xdr:col>11</xdr:col>
      <xdr:colOff>155202</xdr:colOff>
      <xdr:row>133</xdr:row>
      <xdr:rowOff>209550</xdr:rowOff>
    </xdr:to>
    <xdr:sp macro="" textlink="">
      <xdr:nvSpPr>
        <xdr:cNvPr id="4" name="Egy sarkán levágott téglalap 3">
          <a:extLst>
            <a:ext uri="{FF2B5EF4-FFF2-40B4-BE49-F238E27FC236}">
              <a16:creationId xmlns:a16="http://schemas.microsoft.com/office/drawing/2014/main" id="{00000000-0008-0000-0F00-000004000000}"/>
            </a:ext>
          </a:extLst>
        </xdr:cNvPr>
        <xdr:cNvSpPr/>
      </xdr:nvSpPr>
      <xdr:spPr>
        <a:xfrm>
          <a:off x="75865" y="19370823"/>
          <a:ext cx="2654897" cy="284967"/>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hu-HU" sz="1000" b="1">
              <a:solidFill>
                <a:schemeClr val="bg1"/>
              </a:solidFill>
              <a:effectLst/>
              <a:latin typeface="Tahoma" pitchFamily="34" charset="0"/>
              <a:ea typeface="Tahoma" pitchFamily="34" charset="0"/>
              <a:cs typeface="Tahoma" pitchFamily="34" charset="0"/>
            </a:rPr>
            <a:t>Bankkapcsolatok:</a:t>
          </a:r>
        </a:p>
      </xdr:txBody>
    </xdr:sp>
    <xdr:clientData/>
  </xdr:twoCellAnchor>
  <xdr:twoCellAnchor>
    <xdr:from>
      <xdr:col>0</xdr:col>
      <xdr:colOff>66674</xdr:colOff>
      <xdr:row>26</xdr:row>
      <xdr:rowOff>0</xdr:rowOff>
    </xdr:from>
    <xdr:to>
      <xdr:col>12</xdr:col>
      <xdr:colOff>57150</xdr:colOff>
      <xdr:row>27</xdr:row>
      <xdr:rowOff>133350</xdr:rowOff>
    </xdr:to>
    <xdr:sp macro="" textlink="">
      <xdr:nvSpPr>
        <xdr:cNvPr id="5" name="Egy sarkán levágott téglalap 4">
          <a:extLst>
            <a:ext uri="{FF2B5EF4-FFF2-40B4-BE49-F238E27FC236}">
              <a16:creationId xmlns:a16="http://schemas.microsoft.com/office/drawing/2014/main" id="{00000000-0008-0000-0F00-000005000000}"/>
            </a:ext>
          </a:extLst>
        </xdr:cNvPr>
        <xdr:cNvSpPr/>
      </xdr:nvSpPr>
      <xdr:spPr>
        <a:xfrm>
          <a:off x="66674" y="4046220"/>
          <a:ext cx="2809876" cy="232410"/>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Személyazonosságot</a:t>
          </a:r>
          <a:r>
            <a:rPr lang="hu-HU" sz="1000" b="1" baseline="0">
              <a:solidFill>
                <a:schemeClr val="bg1"/>
              </a:solidFill>
              <a:effectLst/>
              <a:latin typeface="Tahoma" pitchFamily="34" charset="0"/>
              <a:ea typeface="Tahoma" pitchFamily="34" charset="0"/>
              <a:cs typeface="Tahoma" pitchFamily="34" charset="0"/>
            </a:rPr>
            <a:t> igazoló okmány</a:t>
          </a:r>
          <a:endParaRPr lang="hu-HU" sz="1000" b="1">
            <a:solidFill>
              <a:schemeClr val="bg1"/>
            </a:solidFill>
            <a:effectLst/>
            <a:latin typeface="Tahoma" pitchFamily="34" charset="0"/>
            <a:ea typeface="Tahoma" pitchFamily="34" charset="0"/>
            <a:cs typeface="Tahoma" pitchFamily="34" charset="0"/>
          </a:endParaRPr>
        </a:p>
      </xdr:txBody>
    </xdr:sp>
    <xdr:clientData/>
  </xdr:twoCellAnchor>
  <xdr:twoCellAnchor>
    <xdr:from>
      <xdr:col>1</xdr:col>
      <xdr:colOff>28575</xdr:colOff>
      <xdr:row>191</xdr:row>
      <xdr:rowOff>142874</xdr:rowOff>
    </xdr:from>
    <xdr:to>
      <xdr:col>3</xdr:col>
      <xdr:colOff>200025</xdr:colOff>
      <xdr:row>192</xdr:row>
      <xdr:rowOff>152399</xdr:rowOff>
    </xdr:to>
    <xdr:sp macro="" textlink="">
      <xdr:nvSpPr>
        <xdr:cNvPr id="6" name="Egy sarkán levágott téglalap 5">
          <a:extLst>
            <a:ext uri="{FF2B5EF4-FFF2-40B4-BE49-F238E27FC236}">
              <a16:creationId xmlns:a16="http://schemas.microsoft.com/office/drawing/2014/main" id="{00000000-0008-0000-0F00-000006000000}"/>
            </a:ext>
          </a:extLst>
        </xdr:cNvPr>
        <xdr:cNvSpPr/>
      </xdr:nvSpPr>
      <xdr:spPr>
        <a:xfrm>
          <a:off x="97155" y="28832174"/>
          <a:ext cx="689610" cy="154305"/>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bg1"/>
              </a:solidFill>
              <a:effectLst/>
              <a:latin typeface="Trebuchet MS" panose="020B0603020202020204" pitchFamily="34" charset="0"/>
              <a:ea typeface="Tahoma" pitchFamily="34" charset="0"/>
              <a:cs typeface="Tahoma" pitchFamily="34" charset="0"/>
            </a:rPr>
            <a:t>Kelt</a:t>
          </a:r>
          <a:r>
            <a:rPr lang="hu-HU" sz="1000" b="1">
              <a:solidFill>
                <a:schemeClr val="bg1"/>
              </a:solidFill>
              <a:effectLst/>
              <a:latin typeface="Tahoma" pitchFamily="34" charset="0"/>
              <a:ea typeface="Tahoma" pitchFamily="34" charset="0"/>
              <a:cs typeface="Tahoma" pitchFamily="34" charset="0"/>
            </a:rPr>
            <a:t>:</a:t>
          </a:r>
        </a:p>
      </xdr:txBody>
    </xdr:sp>
    <xdr:clientData/>
  </xdr:twoCellAnchor>
  <xdr:twoCellAnchor>
    <xdr:from>
      <xdr:col>1</xdr:col>
      <xdr:colOff>1</xdr:colOff>
      <xdr:row>13</xdr:row>
      <xdr:rowOff>66677</xdr:rowOff>
    </xdr:from>
    <xdr:to>
      <xdr:col>11</xdr:col>
      <xdr:colOff>76201</xdr:colOff>
      <xdr:row>13</xdr:row>
      <xdr:rowOff>295275</xdr:rowOff>
    </xdr:to>
    <xdr:sp macro="" textlink="">
      <xdr:nvSpPr>
        <xdr:cNvPr id="7" name="Egy sarkán levágott téglalap 6">
          <a:extLst>
            <a:ext uri="{FF2B5EF4-FFF2-40B4-BE49-F238E27FC236}">
              <a16:creationId xmlns:a16="http://schemas.microsoft.com/office/drawing/2014/main" id="{00000000-0008-0000-0F00-000007000000}"/>
            </a:ext>
          </a:extLst>
        </xdr:cNvPr>
        <xdr:cNvSpPr/>
      </xdr:nvSpPr>
      <xdr:spPr>
        <a:xfrm>
          <a:off x="68581" y="2268857"/>
          <a:ext cx="2583180" cy="228598"/>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Ügyletszereplő személyes adatai</a:t>
          </a:r>
        </a:p>
      </xdr:txBody>
    </xdr:sp>
    <xdr:clientData/>
  </xdr:twoCellAnchor>
  <xdr:twoCellAnchor>
    <xdr:from>
      <xdr:col>0</xdr:col>
      <xdr:colOff>66674</xdr:colOff>
      <xdr:row>39</xdr:row>
      <xdr:rowOff>22970</xdr:rowOff>
    </xdr:from>
    <xdr:to>
      <xdr:col>12</xdr:col>
      <xdr:colOff>57150</xdr:colOff>
      <xdr:row>40</xdr:row>
      <xdr:rowOff>123825</xdr:rowOff>
    </xdr:to>
    <xdr:sp macro="" textlink="">
      <xdr:nvSpPr>
        <xdr:cNvPr id="8" name="Egy sarkán levágott téglalap 7">
          <a:extLst>
            <a:ext uri="{FF2B5EF4-FFF2-40B4-BE49-F238E27FC236}">
              <a16:creationId xmlns:a16="http://schemas.microsoft.com/office/drawing/2014/main" id="{00000000-0008-0000-0F00-000008000000}"/>
            </a:ext>
          </a:extLst>
        </xdr:cNvPr>
        <xdr:cNvSpPr/>
      </xdr:nvSpPr>
      <xdr:spPr>
        <a:xfrm>
          <a:off x="66674" y="5783690"/>
          <a:ext cx="2809876" cy="199915"/>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Állandó</a:t>
          </a:r>
          <a:r>
            <a:rPr lang="hu-HU" sz="1000" b="1" baseline="0">
              <a:solidFill>
                <a:schemeClr val="bg1"/>
              </a:solidFill>
              <a:effectLst/>
              <a:latin typeface="Tahoma" pitchFamily="34" charset="0"/>
              <a:ea typeface="Tahoma" pitchFamily="34" charset="0"/>
              <a:cs typeface="Tahoma" pitchFamily="34" charset="0"/>
            </a:rPr>
            <a:t> és értesítési címek</a:t>
          </a:r>
          <a:endParaRPr lang="hu-HU" sz="1000" b="1">
            <a:solidFill>
              <a:schemeClr val="bg1"/>
            </a:solidFill>
            <a:effectLst/>
            <a:latin typeface="Tahoma" pitchFamily="34" charset="0"/>
            <a:ea typeface="Tahoma" pitchFamily="34" charset="0"/>
            <a:cs typeface="Tahoma" pitchFamily="34" charset="0"/>
          </a:endParaRPr>
        </a:p>
      </xdr:txBody>
    </xdr:sp>
    <xdr:clientData/>
  </xdr:twoCellAnchor>
  <xdr:twoCellAnchor>
    <xdr:from>
      <xdr:col>0</xdr:col>
      <xdr:colOff>36418</xdr:colOff>
      <xdr:row>170</xdr:row>
      <xdr:rowOff>28576</xdr:rowOff>
    </xdr:from>
    <xdr:to>
      <xdr:col>22</xdr:col>
      <xdr:colOff>169769</xdr:colOff>
      <xdr:row>170</xdr:row>
      <xdr:rowOff>295276</xdr:rowOff>
    </xdr:to>
    <xdr:sp macro="" textlink="">
      <xdr:nvSpPr>
        <xdr:cNvPr id="9" name="Egy sarkán levágott téglalap 8">
          <a:extLst>
            <a:ext uri="{FF2B5EF4-FFF2-40B4-BE49-F238E27FC236}">
              <a16:creationId xmlns:a16="http://schemas.microsoft.com/office/drawing/2014/main" id="{00000000-0008-0000-0F00-000009000000}"/>
            </a:ext>
          </a:extLst>
        </xdr:cNvPr>
        <xdr:cNvSpPr/>
      </xdr:nvSpPr>
      <xdr:spPr>
        <a:xfrm>
          <a:off x="36418" y="25113616"/>
          <a:ext cx="5383531" cy="266700"/>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bg1"/>
              </a:solidFill>
              <a:effectLst/>
              <a:latin typeface="Tahoma" pitchFamily="34" charset="0"/>
              <a:ea typeface="Tahoma" pitchFamily="34" charset="0"/>
              <a:cs typeface="Tahoma" pitchFamily="34" charset="0"/>
            </a:rPr>
            <a:t>Külföldi hiteligénylő esetén magyar állampolgárságú kézbesítési megbízott</a:t>
          </a:r>
        </a:p>
      </xdr:txBody>
    </xdr:sp>
    <xdr:clientData/>
  </xdr:twoCellAnchor>
  <xdr:twoCellAnchor>
    <xdr:from>
      <xdr:col>1</xdr:col>
      <xdr:colOff>0</xdr:colOff>
      <xdr:row>55</xdr:row>
      <xdr:rowOff>0</xdr:rowOff>
    </xdr:from>
    <xdr:to>
      <xdr:col>6</xdr:col>
      <xdr:colOff>47625</xdr:colOff>
      <xdr:row>55</xdr:row>
      <xdr:rowOff>171450</xdr:rowOff>
    </xdr:to>
    <xdr:sp macro="" textlink="">
      <xdr:nvSpPr>
        <xdr:cNvPr id="10" name="Egy sarkán levágott téglalap 9">
          <a:extLst>
            <a:ext uri="{FF2B5EF4-FFF2-40B4-BE49-F238E27FC236}">
              <a16:creationId xmlns:a16="http://schemas.microsoft.com/office/drawing/2014/main" id="{00000000-0008-0000-0F00-00000A000000}"/>
            </a:ext>
          </a:extLst>
        </xdr:cNvPr>
        <xdr:cNvSpPr/>
      </xdr:nvSpPr>
      <xdr:spPr>
        <a:xfrm>
          <a:off x="68580" y="7871460"/>
          <a:ext cx="1335405" cy="171450"/>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Elérhetőségek</a:t>
          </a:r>
        </a:p>
      </xdr:txBody>
    </xdr:sp>
    <xdr:clientData/>
  </xdr:twoCellAnchor>
  <xdr:twoCellAnchor>
    <xdr:from>
      <xdr:col>1</xdr:col>
      <xdr:colOff>17369</xdr:colOff>
      <xdr:row>65</xdr:row>
      <xdr:rowOff>44823</xdr:rowOff>
    </xdr:from>
    <xdr:to>
      <xdr:col>6</xdr:col>
      <xdr:colOff>64994</xdr:colOff>
      <xdr:row>65</xdr:row>
      <xdr:rowOff>280147</xdr:rowOff>
    </xdr:to>
    <xdr:sp macro="" textlink="">
      <xdr:nvSpPr>
        <xdr:cNvPr id="11" name="Egy sarkán levágott téglalap 10">
          <a:extLst>
            <a:ext uri="{FF2B5EF4-FFF2-40B4-BE49-F238E27FC236}">
              <a16:creationId xmlns:a16="http://schemas.microsoft.com/office/drawing/2014/main" id="{00000000-0008-0000-0F00-00000B000000}"/>
            </a:ext>
          </a:extLst>
        </xdr:cNvPr>
        <xdr:cNvSpPr/>
      </xdr:nvSpPr>
      <xdr:spPr>
        <a:xfrm>
          <a:off x="85949" y="9455523"/>
          <a:ext cx="1335405" cy="235324"/>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Családi</a:t>
          </a:r>
          <a:r>
            <a:rPr lang="hu-HU" sz="1000" b="1" baseline="0">
              <a:solidFill>
                <a:schemeClr val="bg1"/>
              </a:solidFill>
              <a:effectLst/>
              <a:latin typeface="Tahoma" pitchFamily="34" charset="0"/>
              <a:ea typeface="Tahoma" pitchFamily="34" charset="0"/>
              <a:cs typeface="Tahoma" pitchFamily="34" charset="0"/>
            </a:rPr>
            <a:t> állapot</a:t>
          </a:r>
          <a:endParaRPr lang="hu-HU" sz="1000" b="1">
            <a:solidFill>
              <a:schemeClr val="bg1"/>
            </a:solidFill>
            <a:effectLst/>
            <a:latin typeface="Tahoma" pitchFamily="34" charset="0"/>
            <a:ea typeface="Tahoma" pitchFamily="34" charset="0"/>
            <a:cs typeface="Tahoma" pitchFamily="34" charset="0"/>
          </a:endParaRPr>
        </a:p>
      </xdr:txBody>
    </xdr:sp>
    <xdr:clientData/>
  </xdr:twoCellAnchor>
  <xdr:twoCellAnchor>
    <xdr:from>
      <xdr:col>8</xdr:col>
      <xdr:colOff>9524</xdr:colOff>
      <xdr:row>65</xdr:row>
      <xdr:rowOff>58830</xdr:rowOff>
    </xdr:from>
    <xdr:to>
      <xdr:col>18</xdr:col>
      <xdr:colOff>38100</xdr:colOff>
      <xdr:row>65</xdr:row>
      <xdr:rowOff>258855</xdr:rowOff>
    </xdr:to>
    <xdr:sp macro="" textlink="">
      <xdr:nvSpPr>
        <xdr:cNvPr id="12" name="Egy sarkán levágott téglalap 11">
          <a:extLst>
            <a:ext uri="{FF2B5EF4-FFF2-40B4-BE49-F238E27FC236}">
              <a16:creationId xmlns:a16="http://schemas.microsoft.com/office/drawing/2014/main" id="{00000000-0008-0000-0F00-00000C000000}"/>
            </a:ext>
          </a:extLst>
        </xdr:cNvPr>
        <xdr:cNvSpPr/>
      </xdr:nvSpPr>
      <xdr:spPr>
        <a:xfrm>
          <a:off x="1853564" y="9469530"/>
          <a:ext cx="2459356" cy="200025"/>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Legmagasabb iskolai végzettség</a:t>
          </a:r>
        </a:p>
      </xdr:txBody>
    </xdr:sp>
    <xdr:clientData/>
  </xdr:twoCellAnchor>
  <xdr:twoCellAnchor>
    <xdr:from>
      <xdr:col>21</xdr:col>
      <xdr:colOff>219075</xdr:colOff>
      <xdr:row>65</xdr:row>
      <xdr:rowOff>57150</xdr:rowOff>
    </xdr:from>
    <xdr:to>
      <xdr:col>26</xdr:col>
      <xdr:colOff>104775</xdr:colOff>
      <xdr:row>65</xdr:row>
      <xdr:rowOff>257175</xdr:rowOff>
    </xdr:to>
    <xdr:sp macro="" textlink="">
      <xdr:nvSpPr>
        <xdr:cNvPr id="13" name="Egy sarkán levágott téglalap 12">
          <a:extLst>
            <a:ext uri="{FF2B5EF4-FFF2-40B4-BE49-F238E27FC236}">
              <a16:creationId xmlns:a16="http://schemas.microsoft.com/office/drawing/2014/main" id="{00000000-0008-0000-0F00-00000D000000}"/>
            </a:ext>
          </a:extLst>
        </xdr:cNvPr>
        <xdr:cNvSpPr/>
      </xdr:nvSpPr>
      <xdr:spPr>
        <a:xfrm>
          <a:off x="5225415" y="9467850"/>
          <a:ext cx="1104900" cy="200025"/>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Nyelvvizsgák</a:t>
          </a:r>
        </a:p>
      </xdr:txBody>
    </xdr:sp>
    <xdr:clientData/>
  </xdr:twoCellAnchor>
  <xdr:twoCellAnchor>
    <xdr:from>
      <xdr:col>21</xdr:col>
      <xdr:colOff>228601</xdr:colOff>
      <xdr:row>75</xdr:row>
      <xdr:rowOff>28576</xdr:rowOff>
    </xdr:from>
    <xdr:to>
      <xdr:col>28</xdr:col>
      <xdr:colOff>28575</xdr:colOff>
      <xdr:row>75</xdr:row>
      <xdr:rowOff>219075</xdr:rowOff>
    </xdr:to>
    <xdr:sp macro="" textlink="">
      <xdr:nvSpPr>
        <xdr:cNvPr id="14" name="Egy sarkán levágott téglalap 13">
          <a:extLst>
            <a:ext uri="{FF2B5EF4-FFF2-40B4-BE49-F238E27FC236}">
              <a16:creationId xmlns:a16="http://schemas.microsoft.com/office/drawing/2014/main" id="{00000000-0008-0000-0F00-00000E000000}"/>
            </a:ext>
          </a:extLst>
        </xdr:cNvPr>
        <xdr:cNvSpPr/>
      </xdr:nvSpPr>
      <xdr:spPr>
        <a:xfrm>
          <a:off x="5234941" y="10925176"/>
          <a:ext cx="1506854" cy="190499"/>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rtlCol="0" anchor="ctr"/>
        <a:lstStyle/>
        <a:p>
          <a:pPr marL="0" indent="0" algn="l"/>
          <a:r>
            <a:rPr lang="hu-HU" sz="1000" b="1">
              <a:solidFill>
                <a:schemeClr val="bg1"/>
              </a:solidFill>
              <a:effectLst/>
              <a:latin typeface="Tahoma" pitchFamily="34" charset="0"/>
              <a:ea typeface="Tahoma" pitchFamily="34" charset="0"/>
              <a:cs typeface="Tahoma" pitchFamily="34" charset="0"/>
            </a:rPr>
            <a:t>Egyéb ingatlan</a:t>
          </a:r>
        </a:p>
      </xdr:txBody>
    </xdr:sp>
    <xdr:clientData/>
  </xdr:twoCellAnchor>
  <xdr:twoCellAnchor>
    <xdr:from>
      <xdr:col>0</xdr:col>
      <xdr:colOff>66674</xdr:colOff>
      <xdr:row>79</xdr:row>
      <xdr:rowOff>76200</xdr:rowOff>
    </xdr:from>
    <xdr:to>
      <xdr:col>8</xdr:col>
      <xdr:colOff>95249</xdr:colOff>
      <xdr:row>80</xdr:row>
      <xdr:rowOff>104775</xdr:rowOff>
    </xdr:to>
    <xdr:sp macro="" textlink="">
      <xdr:nvSpPr>
        <xdr:cNvPr id="15" name="Egy sarkán levágott téglalap 14">
          <a:extLst>
            <a:ext uri="{FF2B5EF4-FFF2-40B4-BE49-F238E27FC236}">
              <a16:creationId xmlns:a16="http://schemas.microsoft.com/office/drawing/2014/main" id="{00000000-0008-0000-0F00-00000F000000}"/>
            </a:ext>
          </a:extLst>
        </xdr:cNvPr>
        <xdr:cNvSpPr/>
      </xdr:nvSpPr>
      <xdr:spPr>
        <a:xfrm>
          <a:off x="66674" y="11536680"/>
          <a:ext cx="1872615" cy="180975"/>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Jövedelmi</a:t>
          </a:r>
          <a:r>
            <a:rPr lang="hu-HU" sz="1000" b="1" baseline="0">
              <a:solidFill>
                <a:schemeClr val="bg1"/>
              </a:solidFill>
              <a:effectLst/>
              <a:latin typeface="Tahoma" pitchFamily="34" charset="0"/>
              <a:ea typeface="Tahoma" pitchFamily="34" charset="0"/>
              <a:cs typeface="Tahoma" pitchFamily="34" charset="0"/>
            </a:rPr>
            <a:t> adatok</a:t>
          </a:r>
          <a:endParaRPr lang="hu-HU" sz="1000" b="1">
            <a:solidFill>
              <a:schemeClr val="bg1"/>
            </a:solidFill>
            <a:effectLst/>
            <a:latin typeface="Tahoma" pitchFamily="34" charset="0"/>
            <a:ea typeface="Tahoma" pitchFamily="34" charset="0"/>
            <a:cs typeface="Tahoma" pitchFamily="34" charset="0"/>
          </a:endParaRPr>
        </a:p>
      </xdr:txBody>
    </xdr:sp>
    <xdr:clientData/>
  </xdr:twoCellAnchor>
  <xdr:twoCellAnchor>
    <xdr:from>
      <xdr:col>1</xdr:col>
      <xdr:colOff>19050</xdr:colOff>
      <xdr:row>113</xdr:row>
      <xdr:rowOff>47624</xdr:rowOff>
    </xdr:from>
    <xdr:to>
      <xdr:col>8</xdr:col>
      <xdr:colOff>114300</xdr:colOff>
      <xdr:row>114</xdr:row>
      <xdr:rowOff>47625</xdr:rowOff>
    </xdr:to>
    <xdr:sp macro="" textlink="">
      <xdr:nvSpPr>
        <xdr:cNvPr id="16" name="Egy sarkán levágott téglalap 15">
          <a:extLst>
            <a:ext uri="{FF2B5EF4-FFF2-40B4-BE49-F238E27FC236}">
              <a16:creationId xmlns:a16="http://schemas.microsoft.com/office/drawing/2014/main" id="{00000000-0008-0000-0F00-000010000000}"/>
            </a:ext>
          </a:extLst>
        </xdr:cNvPr>
        <xdr:cNvSpPr/>
      </xdr:nvSpPr>
      <xdr:spPr>
        <a:xfrm>
          <a:off x="87630" y="16590644"/>
          <a:ext cx="1870710" cy="205741"/>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Megtakarítások</a:t>
          </a:r>
        </a:p>
      </xdr:txBody>
    </xdr:sp>
    <xdr:clientData/>
  </xdr:twoCellAnchor>
  <xdr:twoCellAnchor>
    <xdr:from>
      <xdr:col>1</xdr:col>
      <xdr:colOff>0</xdr:colOff>
      <xdr:row>141</xdr:row>
      <xdr:rowOff>28575</xdr:rowOff>
    </xdr:from>
    <xdr:to>
      <xdr:col>9</xdr:col>
      <xdr:colOff>201705</xdr:colOff>
      <xdr:row>143</xdr:row>
      <xdr:rowOff>1</xdr:rowOff>
    </xdr:to>
    <xdr:sp macro="" textlink="">
      <xdr:nvSpPr>
        <xdr:cNvPr id="17" name="Egy sarkán levágott téglalap 16">
          <a:extLst>
            <a:ext uri="{FF2B5EF4-FFF2-40B4-BE49-F238E27FC236}">
              <a16:creationId xmlns:a16="http://schemas.microsoft.com/office/drawing/2014/main" id="{00000000-0008-0000-0F00-000011000000}"/>
            </a:ext>
          </a:extLst>
        </xdr:cNvPr>
        <xdr:cNvSpPr/>
      </xdr:nvSpPr>
      <xdr:spPr>
        <a:xfrm>
          <a:off x="68580" y="20594955"/>
          <a:ext cx="2221005" cy="253366"/>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hu-HU" sz="1000" b="1">
              <a:solidFill>
                <a:schemeClr val="bg1"/>
              </a:solidFill>
              <a:effectLst/>
              <a:latin typeface="Tahoma" pitchFamily="34" charset="0"/>
              <a:ea typeface="Tahoma" pitchFamily="34" charset="0"/>
              <a:cs typeface="Tahoma" pitchFamily="34" charset="0"/>
            </a:rPr>
            <a:t>Fennálló kölcsön</a:t>
          </a:r>
          <a:r>
            <a:rPr lang="hu-HU" sz="1000" b="1" baseline="0">
              <a:solidFill>
                <a:schemeClr val="bg1"/>
              </a:solidFill>
              <a:effectLst/>
              <a:latin typeface="Tahoma" pitchFamily="34" charset="0"/>
              <a:ea typeface="Tahoma" pitchFamily="34" charset="0"/>
              <a:cs typeface="Tahoma" pitchFamily="34" charset="0"/>
            </a:rPr>
            <a:t> / hitelkeret</a:t>
          </a:r>
          <a:endParaRPr lang="hu-HU" sz="1000" b="1">
            <a:solidFill>
              <a:schemeClr val="bg1"/>
            </a:solidFill>
            <a:effectLst/>
            <a:latin typeface="Tahoma" pitchFamily="34" charset="0"/>
            <a:ea typeface="Tahoma" pitchFamily="34" charset="0"/>
            <a:cs typeface="Tahoma" pitchFamily="34" charset="0"/>
          </a:endParaRPr>
        </a:p>
      </xdr:txBody>
    </xdr:sp>
    <xdr:clientData/>
  </xdr:twoCellAnchor>
  <xdr:twoCellAnchor>
    <xdr:from>
      <xdr:col>22</xdr:col>
      <xdr:colOff>23691</xdr:colOff>
      <xdr:row>101</xdr:row>
      <xdr:rowOff>28575</xdr:rowOff>
    </xdr:from>
    <xdr:to>
      <xdr:col>31</xdr:col>
      <xdr:colOff>114859</xdr:colOff>
      <xdr:row>104</xdr:row>
      <xdr:rowOff>0</xdr:rowOff>
    </xdr:to>
    <xdr:sp macro="" textlink="">
      <xdr:nvSpPr>
        <xdr:cNvPr id="18" name="Egy sarkán levágott téglalap 17">
          <a:extLst>
            <a:ext uri="{FF2B5EF4-FFF2-40B4-BE49-F238E27FC236}">
              <a16:creationId xmlns:a16="http://schemas.microsoft.com/office/drawing/2014/main" id="{00000000-0008-0000-0F00-000012000000}"/>
            </a:ext>
          </a:extLst>
        </xdr:cNvPr>
        <xdr:cNvSpPr/>
      </xdr:nvSpPr>
      <xdr:spPr>
        <a:xfrm>
          <a:off x="5273871" y="14788515"/>
          <a:ext cx="2285728" cy="299085"/>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bg1"/>
              </a:solidFill>
              <a:effectLst/>
              <a:latin typeface="Tahoma" pitchFamily="34" charset="0"/>
              <a:ea typeface="Tahoma" pitchFamily="34" charset="0"/>
              <a:cs typeface="Tahoma" pitchFamily="34" charset="0"/>
            </a:rPr>
            <a:t>GRÁNIT Bank tölti ki!</a:t>
          </a:r>
        </a:p>
      </xdr:txBody>
    </xdr:sp>
    <xdr:clientData/>
  </xdr:twoCellAnchor>
  <xdr:twoCellAnchor>
    <xdr:from>
      <xdr:col>1</xdr:col>
      <xdr:colOff>1</xdr:colOff>
      <xdr:row>123</xdr:row>
      <xdr:rowOff>38099</xdr:rowOff>
    </xdr:from>
    <xdr:to>
      <xdr:col>5</xdr:col>
      <xdr:colOff>76201</xdr:colOff>
      <xdr:row>124</xdr:row>
      <xdr:rowOff>38100</xdr:rowOff>
    </xdr:to>
    <xdr:sp macro="" textlink="">
      <xdr:nvSpPr>
        <xdr:cNvPr id="19" name="Egy sarkán levágott téglalap 18">
          <a:extLst>
            <a:ext uri="{FF2B5EF4-FFF2-40B4-BE49-F238E27FC236}">
              <a16:creationId xmlns:a16="http://schemas.microsoft.com/office/drawing/2014/main" id="{00000000-0008-0000-0F00-000013000000}"/>
            </a:ext>
          </a:extLst>
        </xdr:cNvPr>
        <xdr:cNvSpPr/>
      </xdr:nvSpPr>
      <xdr:spPr>
        <a:xfrm>
          <a:off x="68581" y="17990819"/>
          <a:ext cx="1082040" cy="236221"/>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Gépjármű</a:t>
          </a:r>
        </a:p>
      </xdr:txBody>
    </xdr:sp>
    <xdr:clientData/>
  </xdr:twoCellAnchor>
  <xdr:twoCellAnchor>
    <xdr:from>
      <xdr:col>1</xdr:col>
      <xdr:colOff>0</xdr:colOff>
      <xdr:row>105</xdr:row>
      <xdr:rowOff>47625</xdr:rowOff>
    </xdr:from>
    <xdr:to>
      <xdr:col>8</xdr:col>
      <xdr:colOff>95250</xdr:colOff>
      <xdr:row>105</xdr:row>
      <xdr:rowOff>276225</xdr:rowOff>
    </xdr:to>
    <xdr:sp macro="" textlink="">
      <xdr:nvSpPr>
        <xdr:cNvPr id="20" name="Egy sarkán levágott téglalap 19">
          <a:extLst>
            <a:ext uri="{FF2B5EF4-FFF2-40B4-BE49-F238E27FC236}">
              <a16:creationId xmlns:a16="http://schemas.microsoft.com/office/drawing/2014/main" id="{00000000-0008-0000-0F00-000016000000}"/>
            </a:ext>
          </a:extLst>
        </xdr:cNvPr>
        <xdr:cNvSpPr/>
      </xdr:nvSpPr>
      <xdr:spPr>
        <a:xfrm>
          <a:off x="68580" y="15211425"/>
          <a:ext cx="1870710" cy="228600"/>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bg1"/>
              </a:solidFill>
              <a:effectLst/>
              <a:latin typeface="Tahoma" pitchFamily="34" charset="0"/>
              <a:ea typeface="Tahoma" pitchFamily="34" charset="0"/>
              <a:cs typeface="Tahoma" pitchFamily="34" charset="0"/>
            </a:rPr>
            <a:t>Háztartási</a:t>
          </a:r>
          <a:r>
            <a:rPr lang="hu-HU" sz="1000" b="1" baseline="0">
              <a:solidFill>
                <a:schemeClr val="bg1"/>
              </a:solidFill>
              <a:effectLst/>
              <a:latin typeface="Tahoma" pitchFamily="34" charset="0"/>
              <a:ea typeface="Tahoma" pitchFamily="34" charset="0"/>
              <a:cs typeface="Tahoma" pitchFamily="34" charset="0"/>
            </a:rPr>
            <a:t> adatok</a:t>
          </a:r>
          <a:endParaRPr lang="hu-HU" sz="1000" b="1">
            <a:solidFill>
              <a:schemeClr val="bg1"/>
            </a:solidFill>
            <a:effectLst/>
            <a:latin typeface="Tahoma" pitchFamily="34" charset="0"/>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23691</xdr:colOff>
      <xdr:row>2</xdr:row>
      <xdr:rowOff>28575</xdr:rowOff>
    </xdr:from>
    <xdr:to>
      <xdr:col>31</xdr:col>
      <xdr:colOff>114859</xdr:colOff>
      <xdr:row>5</xdr:row>
      <xdr:rowOff>0</xdr:rowOff>
    </xdr:to>
    <xdr:sp macro="" textlink="">
      <xdr:nvSpPr>
        <xdr:cNvPr id="2" name="Egy sarkán levágott téglalap 1">
          <a:extLst>
            <a:ext uri="{FF2B5EF4-FFF2-40B4-BE49-F238E27FC236}">
              <a16:creationId xmlns:a16="http://schemas.microsoft.com/office/drawing/2014/main" id="{00000000-0008-0000-1000-000002000000}"/>
            </a:ext>
          </a:extLst>
        </xdr:cNvPr>
        <xdr:cNvSpPr/>
      </xdr:nvSpPr>
      <xdr:spPr>
        <a:xfrm>
          <a:off x="5403411" y="699135"/>
          <a:ext cx="2331448" cy="299085"/>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bg1"/>
              </a:solidFill>
              <a:effectLst/>
              <a:latin typeface="Tahoma" pitchFamily="34" charset="0"/>
              <a:ea typeface="Tahoma" pitchFamily="34" charset="0"/>
              <a:cs typeface="Tahoma" pitchFamily="34" charset="0"/>
            </a:rPr>
            <a:t>GRÁNIT Bank tölti ki!</a:t>
          </a:r>
        </a:p>
      </xdr:txBody>
    </xdr:sp>
    <xdr:clientData/>
  </xdr:twoCellAnchor>
  <xdr:twoCellAnchor>
    <xdr:from>
      <xdr:col>1</xdr:col>
      <xdr:colOff>19049</xdr:colOff>
      <xdr:row>107</xdr:row>
      <xdr:rowOff>57150</xdr:rowOff>
    </xdr:from>
    <xdr:to>
      <xdr:col>3</xdr:col>
      <xdr:colOff>219075</xdr:colOff>
      <xdr:row>107</xdr:row>
      <xdr:rowOff>285750</xdr:rowOff>
    </xdr:to>
    <xdr:sp macro="" textlink="">
      <xdr:nvSpPr>
        <xdr:cNvPr id="3" name="Egy sarkán levágott téglalap 2">
          <a:extLst>
            <a:ext uri="{FF2B5EF4-FFF2-40B4-BE49-F238E27FC236}">
              <a16:creationId xmlns:a16="http://schemas.microsoft.com/office/drawing/2014/main" id="{00000000-0008-0000-1000-000003000000}"/>
            </a:ext>
          </a:extLst>
        </xdr:cNvPr>
        <xdr:cNvSpPr/>
      </xdr:nvSpPr>
      <xdr:spPr>
        <a:xfrm>
          <a:off x="87629" y="14809470"/>
          <a:ext cx="687706" cy="228600"/>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bg1"/>
              </a:solidFill>
              <a:effectLst/>
              <a:latin typeface="Trebuchet MS" panose="020B0603020202020204" pitchFamily="34" charset="0"/>
              <a:ea typeface="Tahoma" pitchFamily="34" charset="0"/>
              <a:cs typeface="Tahoma" pitchFamily="34" charset="0"/>
            </a:rPr>
            <a:t>Kelt:</a:t>
          </a:r>
        </a:p>
      </xdr:txBody>
    </xdr:sp>
    <xdr:clientData/>
  </xdr:twoCellAnchor>
  <xdr:twoCellAnchor>
    <xdr:from>
      <xdr:col>0</xdr:col>
      <xdr:colOff>57150</xdr:colOff>
      <xdr:row>7</xdr:row>
      <xdr:rowOff>13445</xdr:rowOff>
    </xdr:from>
    <xdr:to>
      <xdr:col>12</xdr:col>
      <xdr:colOff>47626</xdr:colOff>
      <xdr:row>8</xdr:row>
      <xdr:rowOff>114300</xdr:rowOff>
    </xdr:to>
    <xdr:sp macro="" textlink="">
      <xdr:nvSpPr>
        <xdr:cNvPr id="4" name="Egy sarkán levágott téglalap 3">
          <a:extLst>
            <a:ext uri="{FF2B5EF4-FFF2-40B4-BE49-F238E27FC236}">
              <a16:creationId xmlns:a16="http://schemas.microsoft.com/office/drawing/2014/main" id="{00000000-0008-0000-1000-000004000000}"/>
            </a:ext>
          </a:extLst>
        </xdr:cNvPr>
        <xdr:cNvSpPr/>
      </xdr:nvSpPr>
      <xdr:spPr>
        <a:xfrm>
          <a:off x="57150" y="1118345"/>
          <a:ext cx="2893696" cy="199915"/>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Célingatlan</a:t>
          </a:r>
          <a:r>
            <a:rPr lang="hu-HU" sz="1000" b="1" baseline="0">
              <a:solidFill>
                <a:schemeClr val="bg1"/>
              </a:solidFill>
              <a:effectLst/>
              <a:latin typeface="Tahoma" pitchFamily="34" charset="0"/>
              <a:ea typeface="Tahoma" pitchFamily="34" charset="0"/>
              <a:cs typeface="Tahoma" pitchFamily="34" charset="0"/>
            </a:rPr>
            <a:t> adatai</a:t>
          </a:r>
          <a:endParaRPr lang="hu-HU" sz="1000" b="1">
            <a:solidFill>
              <a:schemeClr val="bg1"/>
            </a:solidFill>
            <a:effectLst/>
            <a:latin typeface="Tahoma" pitchFamily="34" charset="0"/>
            <a:ea typeface="Tahoma" pitchFamily="34" charset="0"/>
            <a:cs typeface="Tahoma" pitchFamily="34" charset="0"/>
          </a:endParaRPr>
        </a:p>
      </xdr:txBody>
    </xdr:sp>
    <xdr:clientData/>
  </xdr:twoCellAnchor>
  <xdr:twoCellAnchor>
    <xdr:from>
      <xdr:col>0</xdr:col>
      <xdr:colOff>57150</xdr:colOff>
      <xdr:row>33</xdr:row>
      <xdr:rowOff>13445</xdr:rowOff>
    </xdr:from>
    <xdr:to>
      <xdr:col>12</xdr:col>
      <xdr:colOff>47626</xdr:colOff>
      <xdr:row>34</xdr:row>
      <xdr:rowOff>114300</xdr:rowOff>
    </xdr:to>
    <xdr:sp macro="" textlink="">
      <xdr:nvSpPr>
        <xdr:cNvPr id="5" name="Egy sarkán levágott téglalap 4">
          <a:extLst>
            <a:ext uri="{FF2B5EF4-FFF2-40B4-BE49-F238E27FC236}">
              <a16:creationId xmlns:a16="http://schemas.microsoft.com/office/drawing/2014/main" id="{00000000-0008-0000-1000-000005000000}"/>
            </a:ext>
          </a:extLst>
        </xdr:cNvPr>
        <xdr:cNvSpPr/>
      </xdr:nvSpPr>
      <xdr:spPr>
        <a:xfrm>
          <a:off x="57150" y="4699745"/>
          <a:ext cx="2893696" cy="199915"/>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Fedezetül szolgáló ingatlan</a:t>
          </a:r>
          <a:r>
            <a:rPr lang="hu-HU" sz="1000" b="1" baseline="0">
              <a:solidFill>
                <a:schemeClr val="bg1"/>
              </a:solidFill>
              <a:effectLst/>
              <a:latin typeface="Tahoma" pitchFamily="34" charset="0"/>
              <a:ea typeface="Tahoma" pitchFamily="34" charset="0"/>
              <a:cs typeface="Tahoma" pitchFamily="34" charset="0"/>
            </a:rPr>
            <a:t> adatai 1.</a:t>
          </a:r>
          <a:endParaRPr lang="hu-HU" sz="1000" b="1">
            <a:solidFill>
              <a:schemeClr val="bg1"/>
            </a:solidFill>
            <a:effectLst/>
            <a:latin typeface="Tahoma" pitchFamily="34" charset="0"/>
            <a:ea typeface="Tahoma" pitchFamily="34" charset="0"/>
            <a:cs typeface="Tahoma" pitchFamily="34" charset="0"/>
          </a:endParaRPr>
        </a:p>
      </xdr:txBody>
    </xdr:sp>
    <xdr:clientData/>
  </xdr:twoCellAnchor>
  <xdr:twoCellAnchor>
    <xdr:from>
      <xdr:col>0</xdr:col>
      <xdr:colOff>57150</xdr:colOff>
      <xdr:row>57</xdr:row>
      <xdr:rowOff>13445</xdr:rowOff>
    </xdr:from>
    <xdr:to>
      <xdr:col>12</xdr:col>
      <xdr:colOff>47626</xdr:colOff>
      <xdr:row>58</xdr:row>
      <xdr:rowOff>114300</xdr:rowOff>
    </xdr:to>
    <xdr:sp macro="" textlink="">
      <xdr:nvSpPr>
        <xdr:cNvPr id="6" name="Egy sarkán levágott téglalap 5">
          <a:extLst>
            <a:ext uri="{FF2B5EF4-FFF2-40B4-BE49-F238E27FC236}">
              <a16:creationId xmlns:a16="http://schemas.microsoft.com/office/drawing/2014/main" id="{00000000-0008-0000-1000-000006000000}"/>
            </a:ext>
          </a:extLst>
        </xdr:cNvPr>
        <xdr:cNvSpPr/>
      </xdr:nvSpPr>
      <xdr:spPr>
        <a:xfrm>
          <a:off x="57150" y="7907765"/>
          <a:ext cx="2893696" cy="199915"/>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Fedezetül szolgáló ingatlan</a:t>
          </a:r>
          <a:r>
            <a:rPr lang="hu-HU" sz="1000" b="1" baseline="0">
              <a:solidFill>
                <a:schemeClr val="bg1"/>
              </a:solidFill>
              <a:effectLst/>
              <a:latin typeface="Tahoma" pitchFamily="34" charset="0"/>
              <a:ea typeface="Tahoma" pitchFamily="34" charset="0"/>
              <a:cs typeface="Tahoma" pitchFamily="34" charset="0"/>
            </a:rPr>
            <a:t> adatai 2.</a:t>
          </a:r>
          <a:endParaRPr lang="hu-HU" sz="1000" b="1">
            <a:solidFill>
              <a:schemeClr val="bg1"/>
            </a:solidFill>
            <a:effectLst/>
            <a:latin typeface="Tahoma" pitchFamily="34" charset="0"/>
            <a:ea typeface="Tahoma" pitchFamily="34" charset="0"/>
            <a:cs typeface="Tahoma" pitchFamily="34" charset="0"/>
          </a:endParaRPr>
        </a:p>
      </xdr:txBody>
    </xdr:sp>
    <xdr:clientData/>
  </xdr:twoCellAnchor>
  <xdr:twoCellAnchor>
    <xdr:from>
      <xdr:col>0</xdr:col>
      <xdr:colOff>57150</xdr:colOff>
      <xdr:row>81</xdr:row>
      <xdr:rowOff>13445</xdr:rowOff>
    </xdr:from>
    <xdr:to>
      <xdr:col>12</xdr:col>
      <xdr:colOff>47626</xdr:colOff>
      <xdr:row>82</xdr:row>
      <xdr:rowOff>114300</xdr:rowOff>
    </xdr:to>
    <xdr:sp macro="" textlink="">
      <xdr:nvSpPr>
        <xdr:cNvPr id="7" name="Egy sarkán levágott téglalap 6">
          <a:extLst>
            <a:ext uri="{FF2B5EF4-FFF2-40B4-BE49-F238E27FC236}">
              <a16:creationId xmlns:a16="http://schemas.microsoft.com/office/drawing/2014/main" id="{00000000-0008-0000-1000-000007000000}"/>
            </a:ext>
          </a:extLst>
        </xdr:cNvPr>
        <xdr:cNvSpPr/>
      </xdr:nvSpPr>
      <xdr:spPr>
        <a:xfrm>
          <a:off x="57150" y="11207225"/>
          <a:ext cx="2893696" cy="199915"/>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Fedezetül szolgáló ingatlan</a:t>
          </a:r>
          <a:r>
            <a:rPr lang="hu-HU" sz="1000" b="1" baseline="0">
              <a:solidFill>
                <a:schemeClr val="bg1"/>
              </a:solidFill>
              <a:effectLst/>
              <a:latin typeface="Tahoma" pitchFamily="34" charset="0"/>
              <a:ea typeface="Tahoma" pitchFamily="34" charset="0"/>
              <a:cs typeface="Tahoma" pitchFamily="34" charset="0"/>
            </a:rPr>
            <a:t> adatai 3.</a:t>
          </a:r>
          <a:endParaRPr lang="hu-HU" sz="1000" b="1">
            <a:solidFill>
              <a:schemeClr val="bg1"/>
            </a:solidFill>
            <a:effectLst/>
            <a:latin typeface="Tahoma" pitchFamily="34" charset="0"/>
            <a:ea typeface="Tahoma" pitchFamily="34" charset="0"/>
            <a:cs typeface="Tahoma"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9524</xdr:colOff>
      <xdr:row>1</xdr:row>
      <xdr:rowOff>66674</xdr:rowOff>
    </xdr:from>
    <xdr:to>
      <xdr:col>9</xdr:col>
      <xdr:colOff>38100</xdr:colOff>
      <xdr:row>1</xdr:row>
      <xdr:rowOff>304800</xdr:rowOff>
    </xdr:to>
    <xdr:sp macro="" textlink="">
      <xdr:nvSpPr>
        <xdr:cNvPr id="2" name="Egy sarkán levágott téglalap 1">
          <a:extLst>
            <a:ext uri="{FF2B5EF4-FFF2-40B4-BE49-F238E27FC236}">
              <a16:creationId xmlns:a16="http://schemas.microsoft.com/office/drawing/2014/main" id="{00000000-0008-0000-1200-000002000000}"/>
            </a:ext>
          </a:extLst>
        </xdr:cNvPr>
        <xdr:cNvSpPr/>
      </xdr:nvSpPr>
      <xdr:spPr>
        <a:xfrm>
          <a:off x="116204" y="813434"/>
          <a:ext cx="1979296" cy="238126"/>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MUNKÁLTATÓI</a:t>
          </a:r>
          <a:r>
            <a:rPr lang="hu-HU" sz="1000" b="1" baseline="0">
              <a:solidFill>
                <a:schemeClr val="bg1"/>
              </a:solidFill>
              <a:effectLst/>
              <a:latin typeface="Tahoma" pitchFamily="34" charset="0"/>
              <a:ea typeface="Tahoma" pitchFamily="34" charset="0"/>
              <a:cs typeface="Tahoma" pitchFamily="34" charset="0"/>
            </a:rPr>
            <a:t> ADATAI</a:t>
          </a:r>
          <a:endParaRPr lang="hu-HU" sz="1000" b="1">
            <a:solidFill>
              <a:schemeClr val="bg1"/>
            </a:solidFill>
            <a:effectLst/>
            <a:latin typeface="Tahoma" pitchFamily="34" charset="0"/>
            <a:ea typeface="Tahoma" pitchFamily="34" charset="0"/>
            <a:cs typeface="Tahoma" pitchFamily="34" charset="0"/>
          </a:endParaRPr>
        </a:p>
      </xdr:txBody>
    </xdr:sp>
    <xdr:clientData/>
  </xdr:twoCellAnchor>
  <xdr:twoCellAnchor>
    <xdr:from>
      <xdr:col>0</xdr:col>
      <xdr:colOff>95249</xdr:colOff>
      <xdr:row>20</xdr:row>
      <xdr:rowOff>57150</xdr:rowOff>
    </xdr:from>
    <xdr:to>
      <xdr:col>13</xdr:col>
      <xdr:colOff>76200</xdr:colOff>
      <xdr:row>20</xdr:row>
      <xdr:rowOff>295276</xdr:rowOff>
    </xdr:to>
    <xdr:sp macro="" textlink="">
      <xdr:nvSpPr>
        <xdr:cNvPr id="3" name="Egy sarkán levágott téglalap 2">
          <a:extLst>
            <a:ext uri="{FF2B5EF4-FFF2-40B4-BE49-F238E27FC236}">
              <a16:creationId xmlns:a16="http://schemas.microsoft.com/office/drawing/2014/main" id="{00000000-0008-0000-1200-000003000000}"/>
            </a:ext>
          </a:extLst>
        </xdr:cNvPr>
        <xdr:cNvSpPr/>
      </xdr:nvSpPr>
      <xdr:spPr>
        <a:xfrm>
          <a:off x="95249" y="3493770"/>
          <a:ext cx="3013711" cy="238126"/>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MUNKAVÁLLALÓ</a:t>
          </a:r>
          <a:r>
            <a:rPr lang="hu-HU" sz="1000" b="1" baseline="0">
              <a:solidFill>
                <a:schemeClr val="bg1"/>
              </a:solidFill>
              <a:effectLst/>
              <a:latin typeface="Tahoma" pitchFamily="34" charset="0"/>
              <a:ea typeface="Tahoma" pitchFamily="34" charset="0"/>
              <a:cs typeface="Tahoma" pitchFamily="34" charset="0"/>
            </a:rPr>
            <a:t> ADATAI</a:t>
          </a:r>
          <a:endParaRPr lang="hu-HU" sz="1000" b="1">
            <a:solidFill>
              <a:schemeClr val="bg1"/>
            </a:solidFill>
            <a:effectLst/>
            <a:latin typeface="Tahoma" pitchFamily="34" charset="0"/>
            <a:ea typeface="Tahoma" pitchFamily="34" charset="0"/>
            <a:cs typeface="Tahoma" pitchFamily="34" charset="0"/>
          </a:endParaRPr>
        </a:p>
      </xdr:txBody>
    </xdr:sp>
    <xdr:clientData/>
  </xdr:twoCellAnchor>
  <xdr:twoCellAnchor>
    <xdr:from>
      <xdr:col>1</xdr:col>
      <xdr:colOff>0</xdr:colOff>
      <xdr:row>30</xdr:row>
      <xdr:rowOff>123825</xdr:rowOff>
    </xdr:from>
    <xdr:to>
      <xdr:col>13</xdr:col>
      <xdr:colOff>85726</xdr:colOff>
      <xdr:row>30</xdr:row>
      <xdr:rowOff>361951</xdr:rowOff>
    </xdr:to>
    <xdr:sp macro="" textlink="">
      <xdr:nvSpPr>
        <xdr:cNvPr id="4" name="Egy sarkán levágott téglalap 3">
          <a:extLst>
            <a:ext uri="{FF2B5EF4-FFF2-40B4-BE49-F238E27FC236}">
              <a16:creationId xmlns:a16="http://schemas.microsoft.com/office/drawing/2014/main" id="{00000000-0008-0000-1200-000004000000}"/>
            </a:ext>
          </a:extLst>
        </xdr:cNvPr>
        <xdr:cNvSpPr/>
      </xdr:nvSpPr>
      <xdr:spPr>
        <a:xfrm>
          <a:off x="106680" y="5053965"/>
          <a:ext cx="3011806" cy="238126"/>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MUNKAVISZONY</a:t>
          </a:r>
          <a:r>
            <a:rPr lang="hu-HU" sz="1000" b="1" baseline="0">
              <a:solidFill>
                <a:schemeClr val="bg1"/>
              </a:solidFill>
              <a:effectLst/>
              <a:latin typeface="Tahoma" pitchFamily="34" charset="0"/>
              <a:ea typeface="Tahoma" pitchFamily="34" charset="0"/>
              <a:cs typeface="Tahoma" pitchFamily="34" charset="0"/>
            </a:rPr>
            <a:t> ADATAI</a:t>
          </a:r>
          <a:endParaRPr lang="hu-HU" sz="1000" b="1">
            <a:solidFill>
              <a:schemeClr val="bg1"/>
            </a:solidFill>
            <a:effectLst/>
            <a:latin typeface="Tahoma" pitchFamily="34" charset="0"/>
            <a:ea typeface="Tahoma" pitchFamily="34" charset="0"/>
            <a:cs typeface="Tahoma" pitchFamily="34" charset="0"/>
          </a:endParaRPr>
        </a:p>
      </xdr:txBody>
    </xdr:sp>
    <xdr:clientData/>
  </xdr:twoCellAnchor>
  <xdr:twoCellAnchor>
    <xdr:from>
      <xdr:col>1</xdr:col>
      <xdr:colOff>0</xdr:colOff>
      <xdr:row>45</xdr:row>
      <xdr:rowOff>47626</xdr:rowOff>
    </xdr:from>
    <xdr:to>
      <xdr:col>13</xdr:col>
      <xdr:colOff>85726</xdr:colOff>
      <xdr:row>45</xdr:row>
      <xdr:rowOff>285750</xdr:rowOff>
    </xdr:to>
    <xdr:sp macro="" textlink="">
      <xdr:nvSpPr>
        <xdr:cNvPr id="5" name="Egy sarkán levágott téglalap 4">
          <a:extLst>
            <a:ext uri="{FF2B5EF4-FFF2-40B4-BE49-F238E27FC236}">
              <a16:creationId xmlns:a16="http://schemas.microsoft.com/office/drawing/2014/main" id="{00000000-0008-0000-1200-000005000000}"/>
            </a:ext>
          </a:extLst>
        </xdr:cNvPr>
        <xdr:cNvSpPr/>
      </xdr:nvSpPr>
      <xdr:spPr>
        <a:xfrm>
          <a:off x="106680" y="7195186"/>
          <a:ext cx="3011806" cy="238124"/>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bg1"/>
              </a:solidFill>
              <a:effectLst/>
              <a:latin typeface="Tahoma" pitchFamily="34" charset="0"/>
              <a:ea typeface="Tahoma" pitchFamily="34" charset="0"/>
              <a:cs typeface="Tahoma" pitchFamily="34" charset="0"/>
            </a:rPr>
            <a:t>JÖVEDELMI</a:t>
          </a:r>
          <a:r>
            <a:rPr lang="hu-HU" sz="1000" b="1" baseline="0">
              <a:solidFill>
                <a:schemeClr val="bg1"/>
              </a:solidFill>
              <a:effectLst/>
              <a:latin typeface="Tahoma" pitchFamily="34" charset="0"/>
              <a:ea typeface="Tahoma" pitchFamily="34" charset="0"/>
              <a:cs typeface="Tahoma" pitchFamily="34" charset="0"/>
            </a:rPr>
            <a:t> ADATOK</a:t>
          </a:r>
          <a:endParaRPr lang="hu-HU" sz="1000" b="1">
            <a:solidFill>
              <a:schemeClr val="bg1"/>
            </a:solidFill>
            <a:effectLst/>
            <a:latin typeface="Tahoma" pitchFamily="34" charset="0"/>
            <a:ea typeface="Tahoma" pitchFamily="34" charset="0"/>
            <a:cs typeface="Tahoma" pitchFamily="34" charset="0"/>
          </a:endParaRPr>
        </a:p>
      </xdr:txBody>
    </xdr:sp>
    <xdr:clientData/>
  </xdr:twoCellAnchor>
  <xdr:twoCellAnchor>
    <xdr:from>
      <xdr:col>1</xdr:col>
      <xdr:colOff>9524</xdr:colOff>
      <xdr:row>87</xdr:row>
      <xdr:rowOff>57150</xdr:rowOff>
    </xdr:from>
    <xdr:to>
      <xdr:col>3</xdr:col>
      <xdr:colOff>209550</xdr:colOff>
      <xdr:row>88</xdr:row>
      <xdr:rowOff>209550</xdr:rowOff>
    </xdr:to>
    <xdr:sp macro="" textlink="">
      <xdr:nvSpPr>
        <xdr:cNvPr id="6" name="Egy sarkán levágott téglalap 5">
          <a:extLst>
            <a:ext uri="{FF2B5EF4-FFF2-40B4-BE49-F238E27FC236}">
              <a16:creationId xmlns:a16="http://schemas.microsoft.com/office/drawing/2014/main" id="{00000000-0008-0000-1200-000006000000}"/>
            </a:ext>
          </a:extLst>
        </xdr:cNvPr>
        <xdr:cNvSpPr/>
      </xdr:nvSpPr>
      <xdr:spPr>
        <a:xfrm>
          <a:off x="116204" y="13323570"/>
          <a:ext cx="687706" cy="228600"/>
        </a:xfrm>
        <a:prstGeom prst="snip1Rect">
          <a:avLst>
            <a:gd name="adj" fmla="val 46296"/>
          </a:avLst>
        </a:prstGeom>
        <a:solidFill>
          <a:srgbClr val="695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bg1"/>
              </a:solidFill>
              <a:effectLst/>
              <a:latin typeface="Trebuchet MS" panose="020B0603020202020204" pitchFamily="34" charset="0"/>
              <a:ea typeface="Tahoma" pitchFamily="34" charset="0"/>
              <a:cs typeface="Tahoma" pitchFamily="34" charset="0"/>
            </a:rPr>
            <a:t>Kelt</a:t>
          </a:r>
          <a:r>
            <a:rPr lang="hu-HU" sz="1000" b="1">
              <a:solidFill>
                <a:schemeClr val="bg1"/>
              </a:solidFill>
              <a:effectLst/>
              <a:latin typeface="Tahoma" pitchFamily="34" charset="0"/>
              <a:ea typeface="Tahoma" pitchFamily="34" charset="0"/>
              <a:cs typeface="Tahoma" pitchFamily="34" charset="0"/>
            </a:rPr>
            <a:t>:</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161</xdr:row>
      <xdr:rowOff>35114</xdr:rowOff>
    </xdr:from>
    <xdr:ext cx="10894665" cy="862855"/>
    <xdr:sp macro="" textlink="">
      <xdr:nvSpPr>
        <xdr:cNvPr id="2" name="Szövegdoboz 1">
          <a:extLst>
            <a:ext uri="{FF2B5EF4-FFF2-40B4-BE49-F238E27FC236}">
              <a16:creationId xmlns:a16="http://schemas.microsoft.com/office/drawing/2014/main" id="{00000000-0008-0000-1800-000002000000}"/>
            </a:ext>
          </a:extLst>
        </xdr:cNvPr>
        <xdr:cNvSpPr txBox="1"/>
      </xdr:nvSpPr>
      <xdr:spPr>
        <a:xfrm>
          <a:off x="0" y="72310814"/>
          <a:ext cx="10894665" cy="8628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hu-HU" sz="1100" b="0"/>
        </a:p>
        <a:p>
          <a:endParaRPr lang="hu-HU" sz="1100" b="0"/>
        </a:p>
        <a:p>
          <a:r>
            <a:rPr lang="hu-HU" sz="1300" b="0">
              <a:latin typeface="Tahoma" panose="020B0604030504040204" pitchFamily="34" charset="0"/>
              <a:ea typeface="Tahoma" panose="020B0604030504040204" pitchFamily="34" charset="0"/>
              <a:cs typeface="Tahoma" panose="020B0604030504040204" pitchFamily="34" charset="0"/>
            </a:rPr>
            <a:t>Kelt: ........................................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		.....................................................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Ügyfél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Ügyintéző</a:t>
          </a:r>
          <a:endParaRPr lang="hu-HU" sz="1300">
            <a:effectLst/>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0</xdr:col>
      <xdr:colOff>8659</xdr:colOff>
      <xdr:row>146</xdr:row>
      <xdr:rowOff>22260</xdr:rowOff>
    </xdr:from>
    <xdr:ext cx="10894665" cy="863005"/>
    <xdr:sp macro="" textlink="">
      <xdr:nvSpPr>
        <xdr:cNvPr id="3" name="Szövegdoboz 2">
          <a:extLst>
            <a:ext uri="{FF2B5EF4-FFF2-40B4-BE49-F238E27FC236}">
              <a16:creationId xmlns:a16="http://schemas.microsoft.com/office/drawing/2014/main" id="{00000000-0008-0000-1800-000003000000}"/>
            </a:ext>
          </a:extLst>
        </xdr:cNvPr>
        <xdr:cNvSpPr txBox="1"/>
      </xdr:nvSpPr>
      <xdr:spPr>
        <a:xfrm>
          <a:off x="8659" y="68899440"/>
          <a:ext cx="10894665" cy="8630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hu-HU" sz="1100" b="0"/>
        </a:p>
        <a:p>
          <a:endParaRPr lang="hu-HU" sz="1100" b="0"/>
        </a:p>
        <a:p>
          <a:r>
            <a:rPr lang="hu-HU" sz="1300" b="0">
              <a:latin typeface="Tahoma" panose="020B0604030504040204" pitchFamily="34" charset="0"/>
              <a:ea typeface="Tahoma" panose="020B0604030504040204" pitchFamily="34" charset="0"/>
              <a:cs typeface="Tahoma" panose="020B0604030504040204" pitchFamily="34" charset="0"/>
            </a:rPr>
            <a:t>Kelt: ........................................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		.....................................................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Ügyfél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Ügyintéző</a:t>
          </a:r>
          <a:endParaRPr lang="hu-HU" sz="1300">
            <a:effectLst/>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0</xdr:col>
      <xdr:colOff>11205</xdr:colOff>
      <xdr:row>152</xdr:row>
      <xdr:rowOff>22411</xdr:rowOff>
    </xdr:from>
    <xdr:ext cx="10894665" cy="863005"/>
    <xdr:sp macro="" textlink="">
      <xdr:nvSpPr>
        <xdr:cNvPr id="4" name="Szövegdoboz 3">
          <a:extLst>
            <a:ext uri="{FF2B5EF4-FFF2-40B4-BE49-F238E27FC236}">
              <a16:creationId xmlns:a16="http://schemas.microsoft.com/office/drawing/2014/main" id="{00000000-0008-0000-1800-000004000000}"/>
            </a:ext>
          </a:extLst>
        </xdr:cNvPr>
        <xdr:cNvSpPr txBox="1"/>
      </xdr:nvSpPr>
      <xdr:spPr>
        <a:xfrm>
          <a:off x="11205" y="69996871"/>
          <a:ext cx="10894665" cy="8630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hu-HU" sz="1100" b="0"/>
        </a:p>
        <a:p>
          <a:endParaRPr lang="hu-HU" sz="1100" b="0"/>
        </a:p>
        <a:p>
          <a:r>
            <a:rPr lang="hu-HU" sz="1300" b="0">
              <a:latin typeface="Tahoma" panose="020B0604030504040204" pitchFamily="34" charset="0"/>
              <a:ea typeface="Tahoma" panose="020B0604030504040204" pitchFamily="34" charset="0"/>
              <a:cs typeface="Tahoma" panose="020B0604030504040204" pitchFamily="34" charset="0"/>
            </a:rPr>
            <a:t>Kelt: ........................................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		.....................................................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Ügyfél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Ügyintéző</a:t>
          </a:r>
          <a:endParaRPr lang="hu-HU" sz="1300">
            <a:effectLst/>
            <a:latin typeface="Tahoma" panose="020B0604030504040204" pitchFamily="34" charset="0"/>
            <a:ea typeface="Tahoma" panose="020B0604030504040204" pitchFamily="34" charset="0"/>
            <a:cs typeface="Tahoma" panose="020B0604030504040204" pitchFamily="34" charset="0"/>
          </a:endParaRPr>
        </a:p>
      </xdr:txBody>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914400</xdr:colOff>
          <xdr:row>26</xdr:row>
          <xdr:rowOff>106680</xdr:rowOff>
        </xdr:to>
        <xdr:sp macro="" textlink="">
          <xdr:nvSpPr>
            <xdr:cNvPr id="14339" name="Object 3" hidden="1">
              <a:extLst>
                <a:ext uri="{63B3BB69-23CF-44E3-9099-C40C66FF867C}">
                  <a14:compatExt spid="_x0000_s14339"/>
                </a:ext>
                <a:ext uri="{FF2B5EF4-FFF2-40B4-BE49-F238E27FC236}">
                  <a16:creationId xmlns:a16="http://schemas.microsoft.com/office/drawing/2014/main" id="{00000000-0008-0000-13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xdr:row>
          <xdr:rowOff>182880</xdr:rowOff>
        </xdr:from>
        <xdr:to>
          <xdr:col>2</xdr:col>
          <xdr:colOff>0</xdr:colOff>
          <xdr:row>9</xdr:row>
          <xdr:rowOff>99060</xdr:rowOff>
        </xdr:to>
        <xdr:sp macro="" textlink="">
          <xdr:nvSpPr>
            <xdr:cNvPr id="14340" name="Object 4" hidden="1">
              <a:extLst>
                <a:ext uri="{63B3BB69-23CF-44E3-9099-C40C66FF867C}">
                  <a14:compatExt spid="_x0000_s14340"/>
                </a:ext>
                <a:ext uri="{FF2B5EF4-FFF2-40B4-BE49-F238E27FC236}">
                  <a16:creationId xmlns:a16="http://schemas.microsoft.com/office/drawing/2014/main" id="{00000000-0008-0000-13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68580</xdr:rowOff>
        </xdr:from>
        <xdr:to>
          <xdr:col>1</xdr:col>
          <xdr:colOff>914400</xdr:colOff>
          <xdr:row>4</xdr:row>
          <xdr:rowOff>175260</xdr:rowOff>
        </xdr:to>
        <xdr:sp macro="" textlink="">
          <xdr:nvSpPr>
            <xdr:cNvPr id="14353" name="Object 17" hidden="1">
              <a:extLst>
                <a:ext uri="{63B3BB69-23CF-44E3-9099-C40C66FF867C}">
                  <a14:compatExt spid="_x0000_s14353"/>
                </a:ext>
                <a:ext uri="{FF2B5EF4-FFF2-40B4-BE49-F238E27FC236}">
                  <a16:creationId xmlns:a16="http://schemas.microsoft.com/office/drawing/2014/main" id="{00000000-0008-0000-1300-000011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9</xdr:row>
          <xdr:rowOff>76200</xdr:rowOff>
        </xdr:from>
        <xdr:to>
          <xdr:col>1</xdr:col>
          <xdr:colOff>937260</xdr:colOff>
          <xdr:row>12</xdr:row>
          <xdr:rowOff>182880</xdr:rowOff>
        </xdr:to>
        <xdr:sp macro="" textlink="">
          <xdr:nvSpPr>
            <xdr:cNvPr id="14354" name="Object 18" hidden="1">
              <a:extLst>
                <a:ext uri="{63B3BB69-23CF-44E3-9099-C40C66FF867C}">
                  <a14:compatExt spid="_x0000_s14354"/>
                </a:ext>
                <a:ext uri="{FF2B5EF4-FFF2-40B4-BE49-F238E27FC236}">
                  <a16:creationId xmlns:a16="http://schemas.microsoft.com/office/drawing/2014/main" id="{00000000-0008-0000-1300-000012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13</xdr:row>
          <xdr:rowOff>99060</xdr:rowOff>
        </xdr:from>
        <xdr:to>
          <xdr:col>1</xdr:col>
          <xdr:colOff>944880</xdr:colOff>
          <xdr:row>17</xdr:row>
          <xdr:rowOff>0</xdr:rowOff>
        </xdr:to>
        <xdr:sp macro="" textlink="">
          <xdr:nvSpPr>
            <xdr:cNvPr id="14355" name="Object 19" hidden="1">
              <a:extLst>
                <a:ext uri="{63B3BB69-23CF-44E3-9099-C40C66FF867C}">
                  <a14:compatExt spid="_x0000_s14355"/>
                </a:ext>
                <a:ext uri="{FF2B5EF4-FFF2-40B4-BE49-F238E27FC236}">
                  <a16:creationId xmlns:a16="http://schemas.microsoft.com/office/drawing/2014/main" id="{00000000-0008-0000-1300-000013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12700</xdr:colOff>
      <xdr:row>17</xdr:row>
      <xdr:rowOff>76200</xdr:rowOff>
    </xdr:from>
    <xdr:to>
      <xdr:col>1</xdr:col>
      <xdr:colOff>927100</xdr:colOff>
      <xdr:row>20</xdr:row>
      <xdr:rowOff>184150</xdr:rowOff>
    </xdr:to>
    <xdr:sp macro="" textlink="">
      <xdr:nvSpPr>
        <xdr:cNvPr id="13332" name="Object 20" hidden="1">
          <a:extLst>
            <a:ext uri="{63B3BB69-23CF-44E3-9099-C40C66FF867C}">
              <a14:compatExt xmlns:a14="http://schemas.microsoft.com/office/drawing/2010/main" spid="_x0000_s13332"/>
            </a:ext>
            <a:ext uri="{FF2B5EF4-FFF2-40B4-BE49-F238E27FC236}">
              <a16:creationId xmlns:a16="http://schemas.microsoft.com/office/drawing/2014/main" id="{00000000-0008-0000-1300-0000143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1</xdr:col>
      <xdr:colOff>12700</xdr:colOff>
      <xdr:row>26</xdr:row>
      <xdr:rowOff>76200</xdr:rowOff>
    </xdr:from>
    <xdr:to>
      <xdr:col>1</xdr:col>
      <xdr:colOff>927100</xdr:colOff>
      <xdr:row>29</xdr:row>
      <xdr:rowOff>184150</xdr:rowOff>
    </xdr:to>
    <xdr:sp macro="" textlink="">
      <xdr:nvSpPr>
        <xdr:cNvPr id="13333" name="Object 21" hidden="1">
          <a:extLst>
            <a:ext uri="{63B3BB69-23CF-44E3-9099-C40C66FF867C}">
              <a14:compatExt xmlns:a14="http://schemas.microsoft.com/office/drawing/2010/main" spid="_x0000_s13333"/>
            </a:ext>
            <a:ext uri="{FF2B5EF4-FFF2-40B4-BE49-F238E27FC236}">
              <a16:creationId xmlns:a16="http://schemas.microsoft.com/office/drawing/2014/main" id="{00000000-0008-0000-1300-0000153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1</xdr:col>
      <xdr:colOff>31750</xdr:colOff>
      <xdr:row>30</xdr:row>
      <xdr:rowOff>69850</xdr:rowOff>
    </xdr:from>
    <xdr:to>
      <xdr:col>1</xdr:col>
      <xdr:colOff>946150</xdr:colOff>
      <xdr:row>33</xdr:row>
      <xdr:rowOff>171450</xdr:rowOff>
    </xdr:to>
    <xdr:sp macro="" textlink="">
      <xdr:nvSpPr>
        <xdr:cNvPr id="13334" name="Object 22" hidden="1">
          <a:extLst>
            <a:ext uri="{63B3BB69-23CF-44E3-9099-C40C66FF867C}">
              <a14:compatExt xmlns:a14="http://schemas.microsoft.com/office/drawing/2010/main" spid="_x0000_s13334"/>
            </a:ext>
            <a:ext uri="{FF2B5EF4-FFF2-40B4-BE49-F238E27FC236}">
              <a16:creationId xmlns:a16="http://schemas.microsoft.com/office/drawing/2014/main" id="{00000000-0008-0000-1300-0000163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0</xdr:row>
      <xdr:rowOff>0</xdr:rowOff>
    </xdr:from>
    <xdr:to>
      <xdr:col>0</xdr:col>
      <xdr:colOff>914400</xdr:colOff>
      <xdr:row>4</xdr:row>
      <xdr:rowOff>175260</xdr:rowOff>
    </xdr:to>
    <xdr:sp macro="" textlink="">
      <xdr:nvSpPr>
        <xdr:cNvPr id="14356" name="AutoShape 1044">
          <a:extLst>
            <a:ext uri="{FF2B5EF4-FFF2-40B4-BE49-F238E27FC236}">
              <a16:creationId xmlns:a16="http://schemas.microsoft.com/office/drawing/2014/main" id="{00000000-0008-0000-1300-000014380000}"/>
            </a:ext>
          </a:extLst>
        </xdr:cNvPr>
        <xdr:cNvSpPr>
          <a:spLocks noChangeAspect="1" noChangeArrowheads="1"/>
        </xdr:cNvSpPr>
      </xdr:nvSpPr>
      <xdr:spPr bwMode="auto">
        <a:xfrm>
          <a:off x="0" y="0"/>
          <a:ext cx="914400" cy="914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914400</xdr:colOff>
      <xdr:row>4</xdr:row>
      <xdr:rowOff>175260</xdr:rowOff>
    </xdr:to>
    <xdr:sp macro="" textlink="">
      <xdr:nvSpPr>
        <xdr:cNvPr id="14357" name="AutoShape 1045">
          <a:extLst>
            <a:ext uri="{FF2B5EF4-FFF2-40B4-BE49-F238E27FC236}">
              <a16:creationId xmlns:a16="http://schemas.microsoft.com/office/drawing/2014/main" id="{00000000-0008-0000-1300-000015380000}"/>
            </a:ext>
          </a:extLst>
        </xdr:cNvPr>
        <xdr:cNvSpPr>
          <a:spLocks noChangeAspect="1" noChangeArrowheads="1"/>
        </xdr:cNvSpPr>
      </xdr:nvSpPr>
      <xdr:spPr bwMode="auto">
        <a:xfrm>
          <a:off x="0" y="0"/>
          <a:ext cx="914400" cy="914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914400</xdr:colOff>
      <xdr:row>4</xdr:row>
      <xdr:rowOff>175260</xdr:rowOff>
    </xdr:to>
    <xdr:sp macro="" textlink="">
      <xdr:nvSpPr>
        <xdr:cNvPr id="14358" name="AutoShape 1046">
          <a:extLst>
            <a:ext uri="{FF2B5EF4-FFF2-40B4-BE49-F238E27FC236}">
              <a16:creationId xmlns:a16="http://schemas.microsoft.com/office/drawing/2014/main" id="{00000000-0008-0000-1300-000016380000}"/>
            </a:ext>
          </a:extLst>
        </xdr:cNvPr>
        <xdr:cNvSpPr>
          <a:spLocks noChangeAspect="1" noChangeArrowheads="1"/>
        </xdr:cNvSpPr>
      </xdr:nvSpPr>
      <xdr:spPr bwMode="auto">
        <a:xfrm>
          <a:off x="0" y="0"/>
          <a:ext cx="914400" cy="914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ltonbank.local\granitdfs\Group\Lakoss&#225;gi%20&#220;zlet&#225;g\Jelz&#225;loghitelek\JZH%20Akci&#243;%202015\Seg&#233;dlet\jelz&#225;loghitel%20kalkul&#225;tor_150504_v19_adatt&#225;bla_AKCI&#211;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ltonbank.local\granitdfs\Group\Lakoss&#225;gi%20&#220;zlet&#225;g\Jelz&#225;loghitelek\Jelz&#225;loghitel%20kalkul&#225;tor\tamogatott_jelzaloghitel%20kalkulator_180308_v02_adatt&#225;bla_AKCI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ltonbank.local\granitdfs\Group\Lakoss&#225;gi%20&#220;zlet&#225;g\Jelz&#225;loghitelek\Jelz&#225;loghitel%20kalkul&#225;tor\tamogatott_jelzaloghitel%20kalkulator_180308_v02_internet_AKCI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Lakoss&#225;gi%20&#220;zlet&#225;g/&#214;n&#225;ll&#243;%20z&#225;logjog/&#193;tn&#233;zend&#337;/tamogatott_jelzaloghitel%20kalkulator_180101_v02_adatt&#225;bla_AKCIOS_munkaanya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Lakoss&#225;gi%20&#220;zlet&#225;g/Hitelez&#233;s/5_&#218;j%20log&#243;s%20hiteldokumentumok/Lak&#225;shitel/jelzaloghitel%20kalkulator_230410_v33_AKCI&#211;S_v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eckert\Desktop\Lik\GB\Bankos\Jelz&#225;log\jelzaloghitel%20kalkulator_201010_v26_adatt&#225;bla_AKCI&#211;S_vr&#233;g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Ált tájék"/>
      <sheetName val="Személyes tájék"/>
      <sheetName val="Jz.kötelezett tájék"/>
      <sheetName val="Törl.r_Jöv változása_tájék"/>
      <sheetName val="Előterjesztés"/>
      <sheetName val="Kalkulációs adatlap"/>
      <sheetName val="Kölcsön adatai_igény"/>
      <sheetName val="Igénylő adatai_igény"/>
      <sheetName val="Ingatlan adatai_igény"/>
      <sheetName val="munkáltatói"/>
      <sheetName val="Termékösszehasonlító tábla"/>
      <sheetName val="jövedelemtípusok_NEM hitelkivál"/>
      <sheetName val="jövedelemtípusok_hitelkivál"/>
      <sheetName val="Településlista"/>
      <sheetName val="Benyújtandó dok_NEM_hitelkivált"/>
      <sheetName val="Benyújtandó dok_hitelkiváltás"/>
      <sheetName val="Csatolt dokumentumok"/>
      <sheetName val="Hird_nem ért_110630"/>
      <sheetName val="Hird_már nem ért_111014"/>
      <sheetName val="Hird_már nem ért_150131"/>
    </sheetNames>
    <sheetDataSet>
      <sheetData sheetId="0">
        <row r="6">
          <cell r="O6">
            <v>36300</v>
          </cell>
        </row>
        <row r="7">
          <cell r="V7">
            <v>6250</v>
          </cell>
        </row>
        <row r="8">
          <cell r="O8">
            <v>0.01</v>
          </cell>
        </row>
        <row r="10">
          <cell r="O10">
            <v>5000</v>
          </cell>
        </row>
        <row r="12">
          <cell r="O12">
            <v>12600</v>
          </cell>
        </row>
        <row r="36">
          <cell r="E36">
            <v>1.9099999999999999E-2</v>
          </cell>
        </row>
        <row r="55">
          <cell r="E55">
            <v>1.0999999999999999E-2</v>
          </cell>
        </row>
        <row r="72">
          <cell r="E72">
            <v>0.02</v>
          </cell>
        </row>
        <row r="74">
          <cell r="E74">
            <v>5.0000000000000001E-3</v>
          </cell>
        </row>
        <row r="75">
          <cell r="E75">
            <v>5.4999999999999997E-3</v>
          </cell>
        </row>
      </sheetData>
      <sheetData sheetId="1">
        <row r="8">
          <cell r="B8" t="str">
            <v>nem</v>
          </cell>
        </row>
        <row r="9">
          <cell r="B9">
            <v>240</v>
          </cell>
        </row>
        <row r="11">
          <cell r="B11" t="str">
            <v>igen</v>
          </cell>
        </row>
        <row r="13">
          <cell r="B13" t="str">
            <v>nem</v>
          </cell>
        </row>
        <row r="64">
          <cell r="H64">
            <v>11476.745183180486</v>
          </cell>
          <cell r="J64">
            <v>23512.322297044517</v>
          </cell>
        </row>
      </sheetData>
      <sheetData sheetId="2">
        <row r="5">
          <cell r="K5">
            <v>240</v>
          </cell>
        </row>
        <row r="7">
          <cell r="H7" t="str">
            <v>igen</v>
          </cell>
        </row>
        <row r="8">
          <cell r="H8" t="str">
            <v>nem</v>
          </cell>
        </row>
        <row r="13">
          <cell r="E13" t="str">
            <v>igen</v>
          </cell>
        </row>
        <row r="348">
          <cell r="D348">
            <v>21000000</v>
          </cell>
        </row>
        <row r="349">
          <cell r="H349">
            <v>50920.504331945704</v>
          </cell>
          <cell r="N349">
            <v>88005.555555555562</v>
          </cell>
        </row>
      </sheetData>
      <sheetData sheetId="3">
        <row r="1">
          <cell r="O1">
            <v>87510</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73">
          <cell r="A173" t="str">
            <v>Lakáscélú hitel</v>
          </cell>
        </row>
        <row r="174">
          <cell r="A174" t="str">
            <v>Szabad felhasználású hitel</v>
          </cell>
        </row>
        <row r="177">
          <cell r="A177" t="str">
            <v>Használt lakás vásárlás</v>
          </cell>
        </row>
        <row r="178">
          <cell r="A178" t="str">
            <v>Új lakás vásárlás</v>
          </cell>
        </row>
        <row r="179">
          <cell r="A179" t="str">
            <v>Felújítás</v>
          </cell>
        </row>
        <row r="180">
          <cell r="A180" t="str">
            <v>Telek vásárlás</v>
          </cell>
        </row>
        <row r="181">
          <cell r="A181" t="str">
            <v>Lakáscélú hitel kiváltás</v>
          </cell>
        </row>
        <row r="182">
          <cell r="A182" t="str">
            <v>Szabad felhasználás</v>
          </cell>
        </row>
        <row r="183">
          <cell r="A183" t="str">
            <v>Szabfel hitel kiváltás, adósságrendezés</v>
          </cell>
        </row>
        <row r="184">
          <cell r="A184" t="str">
            <v>Hitel kiváltás és szabad felhasználás</v>
          </cell>
        </row>
        <row r="187">
          <cell r="A187" t="str">
            <v>Hibátlan 12 havi hitelmúlt</v>
          </cell>
        </row>
        <row r="188">
          <cell r="A188" t="str">
            <v>Rendszertelen hiteltörlesztés</v>
          </cell>
        </row>
        <row r="201">
          <cell r="A201" t="str">
            <v>fedezet</v>
          </cell>
        </row>
        <row r="202">
          <cell r="A202" t="str">
            <v>fedezet és hitelcél</v>
          </cell>
        </row>
        <row r="203">
          <cell r="A203" t="str">
            <v>csak hitelcél</v>
          </cell>
        </row>
        <row r="207">
          <cell r="A207" t="str">
            <v>lakás</v>
          </cell>
        </row>
        <row r="208">
          <cell r="A208" t="str">
            <v>lakóház, családi ház</v>
          </cell>
        </row>
        <row r="209">
          <cell r="A209" t="str">
            <v>építési telek</v>
          </cell>
        </row>
        <row r="210">
          <cell r="A210" t="str">
            <v>nyaraló, üdülő</v>
          </cell>
        </row>
        <row r="211">
          <cell r="A211" t="str">
            <v>garázs, gépkocsibeálló</v>
          </cell>
        </row>
        <row r="212">
          <cell r="A212" t="str">
            <v>tároló</v>
          </cell>
        </row>
        <row r="213">
          <cell r="A213" t="str">
            <v>gazdasági épület</v>
          </cell>
        </row>
        <row r="214">
          <cell r="A214" t="str">
            <v>üzlethelység</v>
          </cell>
        </row>
        <row r="215">
          <cell r="A215" t="str">
            <v>iroda</v>
          </cell>
        </row>
        <row r="219">
          <cell r="A219" t="str">
            <v>jelz.jog és elidegenítési és terhelési til.</v>
          </cell>
        </row>
        <row r="220">
          <cell r="A220" t="str">
            <v>jelzálogjog</v>
          </cell>
        </row>
        <row r="221">
          <cell r="A221" t="str">
            <v>haszonélvezeti jog</v>
          </cell>
        </row>
        <row r="222">
          <cell r="A222" t="str">
            <v>özvegyi jog</v>
          </cell>
        </row>
        <row r="223">
          <cell r="A223" t="str">
            <v>végrehajtási jog</v>
          </cell>
        </row>
        <row r="224">
          <cell r="A224" t="str">
            <v>vételi jog</v>
          </cell>
        </row>
        <row r="225">
          <cell r="A225" t="str">
            <v>szolgalmi jog</v>
          </cell>
        </row>
        <row r="229">
          <cell r="A229" t="str">
            <v>Bankot megelőzően fennmaradó</v>
          </cell>
        </row>
        <row r="230">
          <cell r="A230" t="str">
            <v>Folyósításig törlendő</v>
          </cell>
        </row>
        <row r="231">
          <cell r="A231" t="str">
            <v>Bank által kiváltandó</v>
          </cell>
        </row>
        <row r="232">
          <cell r="A232" t="str">
            <v>Bankot követő ranghelyen fennmaradó</v>
          </cell>
        </row>
        <row r="235">
          <cell r="A235" t="str">
            <v>Bank meghitelezi</v>
          </cell>
        </row>
        <row r="236">
          <cell r="A236" t="str">
            <v>Ügyfél fizeti</v>
          </cell>
        </row>
        <row r="263">
          <cell r="A263" t="str">
            <v>Bajnok Plusz</v>
          </cell>
        </row>
        <row r="264">
          <cell r="A264" t="str">
            <v>Bajnok</v>
          </cell>
        </row>
        <row r="265">
          <cell r="A265" t="str">
            <v>Ász</v>
          </cell>
        </row>
        <row r="266">
          <cell r="A266" t="str">
            <v>Sztár</v>
          </cell>
        </row>
        <row r="267">
          <cell r="A267" t="str">
            <v>Magas Kamat</v>
          </cell>
        </row>
        <row r="268">
          <cell r="A268" t="str">
            <v>Alapszámla-csomag</v>
          </cell>
        </row>
        <row r="269">
          <cell r="A269" t="str">
            <v>Diploma</v>
          </cell>
        </row>
        <row r="270">
          <cell r="A270" t="str">
            <v>Elektronikus</v>
          </cell>
        </row>
        <row r="271">
          <cell r="A271" t="str">
            <v>COOP Dolgozói</v>
          </cell>
        </row>
        <row r="272">
          <cell r="A272" t="str">
            <v>COOP Prémium Dolgozói</v>
          </cell>
        </row>
        <row r="273">
          <cell r="A273" t="str">
            <v>COOP Törzsvásárlói</v>
          </cell>
        </row>
        <row r="274">
          <cell r="A274" t="str">
            <v>BROKERNET</v>
          </cell>
        </row>
        <row r="275">
          <cell r="A275" t="str">
            <v>Westend</v>
          </cell>
        </row>
        <row r="276">
          <cell r="A276" t="str">
            <v>Universitas</v>
          </cell>
        </row>
        <row r="277">
          <cell r="A277" t="str">
            <v>Universitas Plusz</v>
          </cell>
        </row>
        <row r="278">
          <cell r="A278" t="str">
            <v>Medicina</v>
          </cell>
        </row>
        <row r="279">
          <cell r="A279" t="str">
            <v>Bestens</v>
          </cell>
        </row>
        <row r="280">
          <cell r="A280" t="str">
            <v>Pannónia</v>
          </cell>
        </row>
        <row r="281">
          <cell r="A281" t="str">
            <v>GOLD</v>
          </cell>
        </row>
        <row r="282">
          <cell r="A282" t="str">
            <v>FŐGÁZ Prémium</v>
          </cell>
        </row>
        <row r="283">
          <cell r="A283" t="str">
            <v>Aranykor Prémium</v>
          </cell>
        </row>
        <row r="284">
          <cell r="A284" t="str">
            <v>Aranykor</v>
          </cell>
        </row>
        <row r="287">
          <cell r="C287">
            <v>0.5</v>
          </cell>
        </row>
        <row r="288">
          <cell r="C288">
            <v>0.6</v>
          </cell>
        </row>
        <row r="291">
          <cell r="A291" t="str">
            <v>Hitelkiváltás</v>
          </cell>
        </row>
        <row r="292">
          <cell r="A292" t="str">
            <v>Új hitel felvétele</v>
          </cell>
        </row>
      </sheetData>
      <sheetData sheetId="4"/>
      <sheetData sheetId="5"/>
      <sheetData sheetId="6"/>
      <sheetData sheetId="7"/>
      <sheetData sheetId="8"/>
      <sheetData sheetId="9">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Ált tájék"/>
      <sheetName val="Személyes tájék"/>
      <sheetName val="Jz.kötelezett tájék"/>
      <sheetName val="Törl.r_Jöv változása_tájék"/>
      <sheetName val="Előterjesztés"/>
      <sheetName val="Kalkulációs adatlap"/>
      <sheetName val="Kölcsön adatai_igény"/>
      <sheetName val="Igénylő adatai_igény"/>
      <sheetName val="Ingatlan adatai_igény"/>
      <sheetName val="munkáltatói"/>
      <sheetName val="Termékösszehasonlító tábla"/>
      <sheetName val="jövedelemtípusok"/>
      <sheetName val="Településlista"/>
      <sheetName val="Benyújtandó dok"/>
      <sheetName val="Csatolt dokumentumok"/>
    </sheetNames>
    <sheetDataSet>
      <sheetData sheetId="0">
        <row r="6">
          <cell r="P6">
            <v>36300</v>
          </cell>
        </row>
        <row r="7">
          <cell r="W7">
            <v>6250</v>
          </cell>
        </row>
        <row r="8">
          <cell r="P8">
            <v>0.01</v>
          </cell>
        </row>
        <row r="10">
          <cell r="P10">
            <v>5000</v>
          </cell>
        </row>
        <row r="12">
          <cell r="P12">
            <v>12600</v>
          </cell>
        </row>
        <row r="38">
          <cell r="E38">
            <v>0</v>
          </cell>
        </row>
        <row r="57">
          <cell r="E57">
            <v>1.0999999999999999E-2</v>
          </cell>
        </row>
        <row r="74">
          <cell r="E74">
            <v>0.02</v>
          </cell>
        </row>
        <row r="76">
          <cell r="E76">
            <v>5.0000000000000001E-3</v>
          </cell>
        </row>
      </sheetData>
      <sheetData sheetId="1">
        <row r="10">
          <cell r="B10">
            <v>240</v>
          </cell>
        </row>
        <row r="12">
          <cell r="B12" t="str">
            <v>igen</v>
          </cell>
        </row>
        <row r="14">
          <cell r="B14" t="str">
            <v>nem</v>
          </cell>
        </row>
        <row r="77">
          <cell r="H77">
            <v>15160.675472420769</v>
          </cell>
          <cell r="J77">
            <v>12673.611111111111</v>
          </cell>
        </row>
      </sheetData>
      <sheetData sheetId="2">
        <row r="5">
          <cell r="K5">
            <v>240</v>
          </cell>
        </row>
        <row r="7">
          <cell r="H7" t="str">
            <v>igen</v>
          </cell>
        </row>
        <row r="8">
          <cell r="H8" t="str">
            <v>igen</v>
          </cell>
        </row>
        <row r="350">
          <cell r="D350">
            <v>5000000</v>
          </cell>
        </row>
        <row r="351">
          <cell r="H351">
            <v>15160.675472420769</v>
          </cell>
          <cell r="N351">
            <v>12673.611111111111</v>
          </cell>
        </row>
      </sheetData>
      <sheetData sheetId="3">
        <row r="1">
          <cell r="O1">
            <v>88619</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88">
          <cell r="A188" t="str">
            <v>Hibátlan 12 havi hitelmúlt</v>
          </cell>
        </row>
        <row r="189">
          <cell r="A189" t="str">
            <v>Rendszertelen hiteltörlesztés</v>
          </cell>
        </row>
        <row r="202">
          <cell r="A202" t="str">
            <v>fedezet</v>
          </cell>
        </row>
        <row r="203">
          <cell r="A203" t="str">
            <v>fedezet és hitelcél</v>
          </cell>
        </row>
        <row r="204">
          <cell r="A204" t="str">
            <v>csak hitelcél</v>
          </cell>
        </row>
        <row r="208">
          <cell r="A208" t="str">
            <v>lakás</v>
          </cell>
        </row>
        <row r="209">
          <cell r="A209" t="str">
            <v>lakóház, családi ház</v>
          </cell>
        </row>
        <row r="210">
          <cell r="A210" t="str">
            <v>építési telek</v>
          </cell>
        </row>
        <row r="211">
          <cell r="A211" t="str">
            <v>nyaraló, üdülő</v>
          </cell>
        </row>
        <row r="212">
          <cell r="A212" t="str">
            <v>garázs, gépkocsibeálló</v>
          </cell>
        </row>
        <row r="213">
          <cell r="A213" t="str">
            <v>tároló</v>
          </cell>
        </row>
        <row r="214">
          <cell r="A214" t="str">
            <v>gazdasági épület</v>
          </cell>
        </row>
        <row r="215">
          <cell r="A215" t="str">
            <v>üzlethelység</v>
          </cell>
        </row>
        <row r="216">
          <cell r="A216" t="str">
            <v>iroda</v>
          </cell>
        </row>
        <row r="220">
          <cell r="A220" t="str">
            <v>jelz.jog és elidegenítési és terhelési til.</v>
          </cell>
        </row>
        <row r="221">
          <cell r="A221" t="str">
            <v>jelzálogjog</v>
          </cell>
        </row>
        <row r="222">
          <cell r="A222" t="str">
            <v>haszonélvezeti jog</v>
          </cell>
        </row>
        <row r="223">
          <cell r="A223" t="str">
            <v>özvegyi jog</v>
          </cell>
        </row>
        <row r="224">
          <cell r="A224" t="str">
            <v>végrehajtási jog</v>
          </cell>
        </row>
        <row r="225">
          <cell r="A225" t="str">
            <v>vételi jog</v>
          </cell>
        </row>
        <row r="226">
          <cell r="A226" t="str">
            <v>szolgalmi jog</v>
          </cell>
        </row>
        <row r="230">
          <cell r="A230" t="str">
            <v>Bankot megelőzően fennmaradó</v>
          </cell>
        </row>
        <row r="231">
          <cell r="A231" t="str">
            <v>Folyósításig törlendő</v>
          </cell>
        </row>
        <row r="232">
          <cell r="A232" t="str">
            <v>Bank által kiváltandó</v>
          </cell>
        </row>
        <row r="233">
          <cell r="A233" t="str">
            <v>Bankot követő ranghelyen fennmaradó</v>
          </cell>
        </row>
        <row r="236">
          <cell r="A236" t="str">
            <v>Bank meghitelezi</v>
          </cell>
        </row>
        <row r="237">
          <cell r="A237" t="str">
            <v>Ügyfél fizeti</v>
          </cell>
        </row>
        <row r="264">
          <cell r="A264" t="str">
            <v>Bajnok Plusz</v>
          </cell>
        </row>
        <row r="265">
          <cell r="A265" t="str">
            <v>Bajnok</v>
          </cell>
        </row>
        <row r="266">
          <cell r="A266" t="str">
            <v>Ász</v>
          </cell>
        </row>
        <row r="267">
          <cell r="A267" t="str">
            <v>Sztár</v>
          </cell>
        </row>
        <row r="268">
          <cell r="A268" t="str">
            <v>Digitális</v>
          </cell>
        </row>
        <row r="269">
          <cell r="A269" t="str">
            <v>Magas Kamat</v>
          </cell>
        </row>
        <row r="270">
          <cell r="A270" t="str">
            <v>Alapszámla-csomag</v>
          </cell>
        </row>
        <row r="271">
          <cell r="A271" t="str">
            <v>Diploma</v>
          </cell>
        </row>
        <row r="272">
          <cell r="A272" t="str">
            <v>Elektronikus</v>
          </cell>
        </row>
        <row r="273">
          <cell r="A273" t="str">
            <v>COOP Dolgozói</v>
          </cell>
        </row>
        <row r="274">
          <cell r="A274" t="str">
            <v>COOP Prémium Dolgozói</v>
          </cell>
        </row>
        <row r="275">
          <cell r="A275" t="str">
            <v>COOP Törzsvásárlói</v>
          </cell>
        </row>
        <row r="276">
          <cell r="A276" t="str">
            <v>BROKERNET</v>
          </cell>
        </row>
        <row r="277">
          <cell r="A277" t="str">
            <v>Westend</v>
          </cell>
        </row>
        <row r="278">
          <cell r="A278" t="str">
            <v>Universitas</v>
          </cell>
        </row>
        <row r="279">
          <cell r="A279" t="str">
            <v>Universitas Plusz</v>
          </cell>
        </row>
        <row r="280">
          <cell r="A280" t="str">
            <v>Medicina</v>
          </cell>
        </row>
        <row r="281">
          <cell r="A281" t="str">
            <v>Bestens</v>
          </cell>
        </row>
        <row r="282">
          <cell r="A282" t="str">
            <v>Pannónia</v>
          </cell>
        </row>
        <row r="283">
          <cell r="A283" t="str">
            <v>GOLD</v>
          </cell>
        </row>
        <row r="284">
          <cell r="A284" t="str">
            <v>FŐGÁZ Prémium</v>
          </cell>
        </row>
        <row r="285">
          <cell r="A285" t="str">
            <v>Aranykor Prémium</v>
          </cell>
        </row>
        <row r="286">
          <cell r="A286" t="str">
            <v>Aranykor</v>
          </cell>
        </row>
        <row r="289">
          <cell r="C289">
            <v>0.5</v>
          </cell>
        </row>
        <row r="290">
          <cell r="C290">
            <v>0.6</v>
          </cell>
        </row>
      </sheetData>
      <sheetData sheetId="4" refreshError="1"/>
      <sheetData sheetId="5" refreshError="1"/>
      <sheetData sheetId="6" refreshError="1"/>
      <sheetData sheetId="7" refreshError="1"/>
      <sheetData sheetId="8" refreshError="1"/>
      <sheetData sheetId="9">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paraméterek"/>
      <sheetName val="tr"/>
      <sheetName val="Ált tájék"/>
      <sheetName val="Személyes tájék"/>
      <sheetName val="Jz.kötelezett tájék"/>
      <sheetName val="Törl.r_Jöv változása_tájék"/>
      <sheetName val="Előterjesztés"/>
      <sheetName val="Termékösszehasonlító tábla"/>
    </sheetNames>
    <sheetDataSet>
      <sheetData sheetId="0">
        <row r="6">
          <cell r="P6">
            <v>36300</v>
          </cell>
        </row>
        <row r="7">
          <cell r="W7">
            <v>6250</v>
          </cell>
        </row>
        <row r="8">
          <cell r="P8">
            <v>0.01</v>
          </cell>
        </row>
        <row r="10">
          <cell r="P10">
            <v>5000</v>
          </cell>
        </row>
        <row r="12">
          <cell r="P12">
            <v>12600</v>
          </cell>
        </row>
        <row r="38">
          <cell r="E38">
            <v>0</v>
          </cell>
        </row>
        <row r="57">
          <cell r="E57">
            <v>1.0999999999999999E-2</v>
          </cell>
        </row>
        <row r="74">
          <cell r="E74">
            <v>0.02</v>
          </cell>
        </row>
        <row r="76">
          <cell r="E76">
            <v>5.0000000000000001E-3</v>
          </cell>
        </row>
      </sheetData>
      <sheetData sheetId="1">
        <row r="10">
          <cell r="B10">
            <v>240</v>
          </cell>
        </row>
        <row r="12">
          <cell r="B12" t="str">
            <v>igen</v>
          </cell>
        </row>
        <row r="14">
          <cell r="B14" t="str">
            <v>nem</v>
          </cell>
        </row>
        <row r="77">
          <cell r="H77">
            <v>15160.675472420769</v>
          </cell>
          <cell r="J77">
            <v>12673.611111111111</v>
          </cell>
        </row>
      </sheetData>
      <sheetData sheetId="2">
        <row r="1">
          <cell r="O1">
            <v>88619</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88">
          <cell r="A188" t="str">
            <v>Hibátlan 12 havi hitelmúlt</v>
          </cell>
        </row>
        <row r="189">
          <cell r="A189" t="str">
            <v>Rendszertelen hiteltörlesztés</v>
          </cell>
        </row>
        <row r="202">
          <cell r="A202" t="str">
            <v>fedezet</v>
          </cell>
        </row>
        <row r="203">
          <cell r="A203" t="str">
            <v>fedezet és hitelcél</v>
          </cell>
        </row>
        <row r="204">
          <cell r="A204" t="str">
            <v>csak hitelcél</v>
          </cell>
        </row>
        <row r="208">
          <cell r="A208" t="str">
            <v>lakás</v>
          </cell>
        </row>
        <row r="209">
          <cell r="A209" t="str">
            <v>lakóház, családi ház</v>
          </cell>
        </row>
        <row r="210">
          <cell r="A210" t="str">
            <v>építési telek</v>
          </cell>
        </row>
        <row r="211">
          <cell r="A211" t="str">
            <v>nyaraló, üdülő</v>
          </cell>
        </row>
        <row r="212">
          <cell r="A212" t="str">
            <v>garázs, gépkocsibeálló</v>
          </cell>
        </row>
        <row r="213">
          <cell r="A213" t="str">
            <v>tároló</v>
          </cell>
        </row>
        <row r="214">
          <cell r="A214" t="str">
            <v>gazdasági épület</v>
          </cell>
        </row>
        <row r="215">
          <cell r="A215" t="str">
            <v>üzlethelység</v>
          </cell>
        </row>
        <row r="216">
          <cell r="A216" t="str">
            <v>iroda</v>
          </cell>
        </row>
        <row r="220">
          <cell r="A220" t="str">
            <v>jelz.jog és elidegenítési és terhelési til.</v>
          </cell>
        </row>
        <row r="221">
          <cell r="A221" t="str">
            <v>jelzálogjog</v>
          </cell>
        </row>
        <row r="222">
          <cell r="A222" t="str">
            <v>haszonélvezeti jog</v>
          </cell>
        </row>
        <row r="223">
          <cell r="A223" t="str">
            <v>özvegyi jog</v>
          </cell>
        </row>
        <row r="224">
          <cell r="A224" t="str">
            <v>végrehajtási jog</v>
          </cell>
        </row>
        <row r="225">
          <cell r="A225" t="str">
            <v>vételi jog</v>
          </cell>
        </row>
        <row r="226">
          <cell r="A226" t="str">
            <v>szolgalmi jog</v>
          </cell>
        </row>
        <row r="230">
          <cell r="A230" t="str">
            <v>Bankot megelőzően fennmaradó</v>
          </cell>
        </row>
        <row r="231">
          <cell r="A231" t="str">
            <v>Folyósításig törlendő</v>
          </cell>
        </row>
        <row r="232">
          <cell r="A232" t="str">
            <v>Bank által kiváltandó</v>
          </cell>
        </row>
        <row r="233">
          <cell r="A233" t="str">
            <v>Bankot követő ranghelyen fennmaradó</v>
          </cell>
        </row>
        <row r="236">
          <cell r="A236" t="str">
            <v>Bank meghitelezi</v>
          </cell>
        </row>
        <row r="237">
          <cell r="A237" t="str">
            <v>Ügyfél fizeti</v>
          </cell>
        </row>
        <row r="264">
          <cell r="A264" t="str">
            <v>Bajnok Plusz</v>
          </cell>
        </row>
        <row r="265">
          <cell r="A265" t="str">
            <v>Bajnok</v>
          </cell>
        </row>
        <row r="266">
          <cell r="A266" t="str">
            <v>Ász</v>
          </cell>
        </row>
        <row r="267">
          <cell r="A267" t="str">
            <v>Sztár</v>
          </cell>
        </row>
        <row r="268">
          <cell r="A268" t="str">
            <v>Digitális</v>
          </cell>
        </row>
        <row r="269">
          <cell r="A269" t="str">
            <v>Magas Kamat</v>
          </cell>
        </row>
        <row r="270">
          <cell r="A270" t="str">
            <v>Alapszámla-csomag</v>
          </cell>
        </row>
        <row r="271">
          <cell r="A271" t="str">
            <v>Diploma</v>
          </cell>
        </row>
        <row r="272">
          <cell r="A272" t="str">
            <v>Elektronikus</v>
          </cell>
        </row>
        <row r="273">
          <cell r="A273" t="str">
            <v>COOP Dolgozói</v>
          </cell>
        </row>
        <row r="274">
          <cell r="A274" t="str">
            <v>COOP Prémium Dolgozói</v>
          </cell>
        </row>
        <row r="275">
          <cell r="A275" t="str">
            <v>COOP Törzsvásárlói</v>
          </cell>
        </row>
        <row r="276">
          <cell r="A276" t="str">
            <v>BROKERNET</v>
          </cell>
        </row>
        <row r="277">
          <cell r="A277" t="str">
            <v>Westend</v>
          </cell>
        </row>
        <row r="278">
          <cell r="A278" t="str">
            <v>Universitas</v>
          </cell>
        </row>
        <row r="279">
          <cell r="A279" t="str">
            <v>Universitas Plusz</v>
          </cell>
        </row>
        <row r="280">
          <cell r="A280" t="str">
            <v>Medicina</v>
          </cell>
        </row>
        <row r="281">
          <cell r="A281" t="str">
            <v>Bestens</v>
          </cell>
        </row>
        <row r="282">
          <cell r="A282" t="str">
            <v>Pannónia</v>
          </cell>
        </row>
        <row r="283">
          <cell r="A283" t="str">
            <v>GOLD</v>
          </cell>
        </row>
        <row r="284">
          <cell r="A284" t="str">
            <v>FŐGÁZ Prémium</v>
          </cell>
        </row>
        <row r="285">
          <cell r="A285" t="str">
            <v>Aranykor Prémium</v>
          </cell>
        </row>
        <row r="286">
          <cell r="A286" t="str">
            <v>Aranykor</v>
          </cell>
        </row>
        <row r="289">
          <cell r="C289">
            <v>0.5</v>
          </cell>
        </row>
        <row r="290">
          <cell r="C290">
            <v>0.6</v>
          </cell>
        </row>
      </sheetData>
      <sheetData sheetId="3" refreshError="1"/>
      <sheetData sheetId="4" refreshError="1"/>
      <sheetData sheetId="5" refreshError="1"/>
      <sheetData sheetId="6" refreshError="1"/>
      <sheetData sheetId="7" refreshError="1"/>
      <sheetData sheetId="8">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Ált tájék"/>
      <sheetName val="Személyes tájék"/>
      <sheetName val="Jz.kötelezett tájék"/>
      <sheetName val="Törl.r_Jöv változása_tájék"/>
      <sheetName val="Előterjesztés"/>
      <sheetName val="Kalkulációs adatlap"/>
      <sheetName val="Kölcsön adatai_igény"/>
      <sheetName val="Igénylő adatai_igény"/>
      <sheetName val="Ingatlan adatai_igény"/>
      <sheetName val="munkáltatói"/>
      <sheetName val="Termékösszehasonlító tábla"/>
      <sheetName val="jövedelemtípusok"/>
      <sheetName val="Településlista"/>
      <sheetName val="Benyújtandó dok"/>
      <sheetName val="Csatolt dokumentumok"/>
    </sheetNames>
    <sheetDataSet>
      <sheetData sheetId="0">
        <row r="6">
          <cell r="P6">
            <v>36300</v>
          </cell>
        </row>
        <row r="7">
          <cell r="W7">
            <v>6250</v>
          </cell>
        </row>
        <row r="8">
          <cell r="P8">
            <v>0.01</v>
          </cell>
        </row>
        <row r="10">
          <cell r="P10">
            <v>5000</v>
          </cell>
        </row>
        <row r="12">
          <cell r="P12">
            <v>12600</v>
          </cell>
        </row>
        <row r="38">
          <cell r="E38">
            <v>0</v>
          </cell>
        </row>
        <row r="57">
          <cell r="E57">
            <v>1.0999999999999999E-2</v>
          </cell>
        </row>
        <row r="74">
          <cell r="E74">
            <v>0.02</v>
          </cell>
        </row>
        <row r="76">
          <cell r="E76">
            <v>5.0000000000000001E-3</v>
          </cell>
        </row>
      </sheetData>
      <sheetData sheetId="1">
        <row r="10">
          <cell r="B10">
            <v>240</v>
          </cell>
        </row>
        <row r="12">
          <cell r="B12" t="str">
            <v>igen</v>
          </cell>
        </row>
        <row r="14">
          <cell r="B14" t="str">
            <v>nem</v>
          </cell>
        </row>
        <row r="77">
          <cell r="H77">
            <v>15160.675472420769</v>
          </cell>
          <cell r="J77">
            <v>12673.611111111111</v>
          </cell>
        </row>
      </sheetData>
      <sheetData sheetId="2">
        <row r="5">
          <cell r="K5">
            <v>240</v>
          </cell>
        </row>
        <row r="7">
          <cell r="H7" t="str">
            <v>igen</v>
          </cell>
        </row>
        <row r="8">
          <cell r="H8" t="str">
            <v>igen</v>
          </cell>
        </row>
        <row r="350">
          <cell r="D350">
            <v>5000000</v>
          </cell>
        </row>
        <row r="351">
          <cell r="H351">
            <v>15160.675472420769</v>
          </cell>
          <cell r="N351">
            <v>12673.611111111111</v>
          </cell>
        </row>
      </sheetData>
      <sheetData sheetId="3">
        <row r="1">
          <cell r="O1">
            <v>88619</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88">
          <cell r="A188" t="str">
            <v>Hibátlan 12 havi hitelmúlt</v>
          </cell>
        </row>
        <row r="189">
          <cell r="A189" t="str">
            <v>Rendszertelen hiteltörlesztés</v>
          </cell>
        </row>
        <row r="202">
          <cell r="A202" t="str">
            <v>fedezet</v>
          </cell>
        </row>
        <row r="203">
          <cell r="A203" t="str">
            <v>fedezet és hitelcél</v>
          </cell>
        </row>
        <row r="204">
          <cell r="A204" t="str">
            <v>csak hitelcél</v>
          </cell>
        </row>
        <row r="208">
          <cell r="A208" t="str">
            <v>lakás</v>
          </cell>
        </row>
        <row r="209">
          <cell r="A209" t="str">
            <v>lakóház, családi ház</v>
          </cell>
        </row>
        <row r="210">
          <cell r="A210" t="str">
            <v>építési telek</v>
          </cell>
        </row>
        <row r="211">
          <cell r="A211" t="str">
            <v>nyaraló, üdülő</v>
          </cell>
        </row>
        <row r="212">
          <cell r="A212" t="str">
            <v>garázs, gépkocsibeálló</v>
          </cell>
        </row>
        <row r="213">
          <cell r="A213" t="str">
            <v>tároló</v>
          </cell>
        </row>
        <row r="214">
          <cell r="A214" t="str">
            <v>gazdasági épület</v>
          </cell>
        </row>
        <row r="215">
          <cell r="A215" t="str">
            <v>üzlethelység</v>
          </cell>
        </row>
        <row r="216">
          <cell r="A216" t="str">
            <v>iroda</v>
          </cell>
        </row>
        <row r="220">
          <cell r="A220" t="str">
            <v>jelz.jog és elidegenítési és terhelési til.</v>
          </cell>
        </row>
        <row r="221">
          <cell r="A221" t="str">
            <v>jelzálogjog</v>
          </cell>
        </row>
        <row r="222">
          <cell r="A222" t="str">
            <v>haszonélvezeti jog</v>
          </cell>
        </row>
        <row r="223">
          <cell r="A223" t="str">
            <v>özvegyi jog</v>
          </cell>
        </row>
        <row r="224">
          <cell r="A224" t="str">
            <v>végrehajtási jog</v>
          </cell>
        </row>
        <row r="225">
          <cell r="A225" t="str">
            <v>vételi jog</v>
          </cell>
        </row>
        <row r="226">
          <cell r="A226" t="str">
            <v>szolgalmi jog</v>
          </cell>
        </row>
        <row r="230">
          <cell r="A230" t="str">
            <v>Bankot megelőzően fennmaradó</v>
          </cell>
        </row>
        <row r="231">
          <cell r="A231" t="str">
            <v>Folyósításig törlendő</v>
          </cell>
        </row>
        <row r="232">
          <cell r="A232" t="str">
            <v>Bank által kiváltandó</v>
          </cell>
        </row>
        <row r="233">
          <cell r="A233" t="str">
            <v>Bankot követő ranghelyen fennmaradó</v>
          </cell>
        </row>
        <row r="236">
          <cell r="A236" t="str">
            <v>Bank meghitelezi</v>
          </cell>
        </row>
        <row r="237">
          <cell r="A237" t="str">
            <v>Ügyfél fizeti</v>
          </cell>
        </row>
        <row r="264">
          <cell r="A264" t="str">
            <v>Bajnok Plusz</v>
          </cell>
        </row>
        <row r="265">
          <cell r="A265" t="str">
            <v>Bajnok</v>
          </cell>
        </row>
        <row r="266">
          <cell r="A266" t="str">
            <v>Ász</v>
          </cell>
        </row>
        <row r="267">
          <cell r="A267" t="str">
            <v>Sztár</v>
          </cell>
        </row>
        <row r="268">
          <cell r="A268" t="str">
            <v>Digitális</v>
          </cell>
        </row>
        <row r="269">
          <cell r="A269" t="str">
            <v>Magas Kamat</v>
          </cell>
        </row>
        <row r="270">
          <cell r="A270" t="str">
            <v>Alapszámla-csomag</v>
          </cell>
        </row>
        <row r="271">
          <cell r="A271" t="str">
            <v>Diploma</v>
          </cell>
        </row>
        <row r="272">
          <cell r="A272" t="str">
            <v>Elektronikus</v>
          </cell>
        </row>
        <row r="273">
          <cell r="A273" t="str">
            <v>COOP Dolgozói</v>
          </cell>
        </row>
        <row r="274">
          <cell r="A274" t="str">
            <v>COOP Prémium Dolgozói</v>
          </cell>
        </row>
        <row r="275">
          <cell r="A275" t="str">
            <v>COOP Törzsvásárlói</v>
          </cell>
        </row>
        <row r="276">
          <cell r="A276" t="str">
            <v>BROKERNET</v>
          </cell>
        </row>
        <row r="277">
          <cell r="A277" t="str">
            <v>Westend</v>
          </cell>
        </row>
        <row r="278">
          <cell r="A278" t="str">
            <v>Universitas</v>
          </cell>
        </row>
        <row r="279">
          <cell r="A279" t="str">
            <v>Universitas Plusz</v>
          </cell>
        </row>
        <row r="280">
          <cell r="A280" t="str">
            <v>Medicina</v>
          </cell>
        </row>
        <row r="281">
          <cell r="A281" t="str">
            <v>Bestens</v>
          </cell>
        </row>
        <row r="282">
          <cell r="A282" t="str">
            <v>Pannónia</v>
          </cell>
        </row>
        <row r="283">
          <cell r="A283" t="str">
            <v>GOLD</v>
          </cell>
        </row>
        <row r="284">
          <cell r="A284" t="str">
            <v>FŐGÁZ Prémium</v>
          </cell>
        </row>
        <row r="285">
          <cell r="A285" t="str">
            <v>Aranykor Prémium</v>
          </cell>
        </row>
        <row r="286">
          <cell r="A286" t="str">
            <v>Aranykor</v>
          </cell>
        </row>
        <row r="289">
          <cell r="C289">
            <v>0.5</v>
          </cell>
        </row>
        <row r="290">
          <cell r="C290">
            <v>0.6</v>
          </cell>
        </row>
      </sheetData>
      <sheetData sheetId="4" refreshError="1"/>
      <sheetData sheetId="5" refreshError="1"/>
      <sheetData sheetId="6" refreshError="1"/>
      <sheetData sheetId="7" refreshError="1"/>
      <sheetData sheetId="8" refreshError="1"/>
      <sheetData sheetId="9">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2)"/>
      <sheetName val="Hirdetmény (3)-szerkeszthető"/>
      <sheetName val="Hirdetmény-THM táblázat"/>
      <sheetName val="Hirdetmény"/>
      <sheetName val="egyszerűsített_kalkulátor"/>
      <sheetName val="komplex kalkulátor"/>
      <sheetName val="paraméterek"/>
      <sheetName val="Személyes tájék"/>
      <sheetName val="tr"/>
      <sheetName val="Ált tájék"/>
      <sheetName val="Jz.kötelezett tájék"/>
      <sheetName val="Törl.r_Jöv változása_tájék"/>
      <sheetName val="Előterjesztés"/>
      <sheetName val="Kalkulációs adatlap"/>
      <sheetName val="Kölcsön adatai_igény"/>
      <sheetName val="Igénylő adatai_igény"/>
      <sheetName val="Ingatlan adatai_igény"/>
      <sheetName val="munkáltatói_EN"/>
      <sheetName val="munkáltatói"/>
      <sheetName val="Termékösszehasonlító tábla"/>
      <sheetName val="jövedelemtípusok_NEM hitelkivál"/>
      <sheetName val="jövedelemtípusok_hitelkivál"/>
      <sheetName val="Településlista"/>
      <sheetName val="Benyújtandó dok_hitelkiváltás"/>
      <sheetName val="Benyújtandó dok_nemkiváltás"/>
      <sheetName val="Csatolt dokumentumok"/>
      <sheetName val="Már nem értékesített-Hirdetmény"/>
      <sheetName val="Mar_nem_ertekesített_Hirdetmeny"/>
    </sheetNames>
    <sheetDataSet>
      <sheetData sheetId="0"/>
      <sheetData sheetId="1"/>
      <sheetData sheetId="2"/>
      <sheetData sheetId="3">
        <row r="6">
          <cell r="O6">
            <v>42000</v>
          </cell>
        </row>
        <row r="8">
          <cell r="O8">
            <v>0.01</v>
          </cell>
        </row>
        <row r="12">
          <cell r="O12">
            <v>12600</v>
          </cell>
        </row>
        <row r="44">
          <cell r="E44">
            <v>0.16300000000000001</v>
          </cell>
        </row>
        <row r="50">
          <cell r="E50">
            <v>0</v>
          </cell>
        </row>
        <row r="53">
          <cell r="E53">
            <v>0.01</v>
          </cell>
        </row>
      </sheetData>
      <sheetData sheetId="4">
        <row r="9">
          <cell r="B9">
            <v>12000000</v>
          </cell>
        </row>
        <row r="11">
          <cell r="B11">
            <v>240</v>
          </cell>
        </row>
        <row r="17">
          <cell r="B17" t="str">
            <v>250 000-nél kevesebb</v>
          </cell>
          <cell r="D17">
            <v>0</v>
          </cell>
        </row>
        <row r="19">
          <cell r="B19" t="str">
            <v>igen</v>
          </cell>
        </row>
      </sheetData>
      <sheetData sheetId="5">
        <row r="4">
          <cell r="K4">
            <v>12000000</v>
          </cell>
        </row>
        <row r="5">
          <cell r="K5">
            <v>240</v>
          </cell>
        </row>
        <row r="7">
          <cell r="H7" t="str">
            <v>250 000-nél kevesebb</v>
          </cell>
          <cell r="O7">
            <v>0</v>
          </cell>
        </row>
        <row r="8">
          <cell r="H8" t="str">
            <v>igen</v>
          </cell>
        </row>
      </sheetData>
      <sheetData sheetId="6">
        <row r="1">
          <cell r="O1">
            <v>158869</v>
          </cell>
        </row>
        <row r="2">
          <cell r="W2" t="str">
            <v>Budapest</v>
          </cell>
        </row>
        <row r="3">
          <cell r="W3" t="str">
            <v>Abony</v>
          </cell>
        </row>
        <row r="4">
          <cell r="W4" t="str">
            <v>Ács</v>
          </cell>
        </row>
        <row r="5">
          <cell r="W5" t="str">
            <v>Ajka</v>
          </cell>
        </row>
        <row r="6">
          <cell r="W6" t="str">
            <v xml:space="preserve">Albertirsa </v>
          </cell>
        </row>
        <row r="7">
          <cell r="W7" t="str">
            <v xml:space="preserve">Alsónémedi </v>
          </cell>
        </row>
        <row r="8">
          <cell r="W8" t="str">
            <v>Alsóörs</v>
          </cell>
        </row>
        <row r="9">
          <cell r="W9" t="str">
            <v>Alsózsolca</v>
          </cell>
        </row>
        <row r="10">
          <cell r="W10" t="str">
            <v>Aszód</v>
          </cell>
        </row>
        <row r="11">
          <cell r="A11" t="str">
            <v>8 általánosnál kevesebb</v>
          </cell>
          <cell r="W11" t="str">
            <v>Bácsalmás</v>
          </cell>
        </row>
        <row r="12">
          <cell r="A12" t="str">
            <v>8 általános</v>
          </cell>
          <cell r="W12" t="str">
            <v xml:space="preserve">Baja </v>
          </cell>
        </row>
        <row r="13">
          <cell r="A13" t="str">
            <v>1 középfokú</v>
          </cell>
          <cell r="W13" t="str">
            <v>Balassagyarmat</v>
          </cell>
        </row>
        <row r="14">
          <cell r="A14" t="str">
            <v>2 középfokú</v>
          </cell>
          <cell r="W14" t="str">
            <v>Balatonalmádi</v>
          </cell>
        </row>
        <row r="15">
          <cell r="A15" t="str">
            <v>3 középfokú</v>
          </cell>
          <cell r="W15" t="str">
            <v>Balatonboglár</v>
          </cell>
        </row>
        <row r="16">
          <cell r="A16" t="str">
            <v>1 felsőfokú</v>
          </cell>
          <cell r="W16" t="str">
            <v>Balatonföldvár</v>
          </cell>
        </row>
        <row r="17">
          <cell r="A17" t="str">
            <v>2 felsőfokú</v>
          </cell>
          <cell r="W17" t="str">
            <v>Balatonfüred</v>
          </cell>
        </row>
        <row r="18">
          <cell r="A18" t="str">
            <v>3 felsőfokú</v>
          </cell>
          <cell r="W18" t="str">
            <v>Balatonfűzfő</v>
          </cell>
        </row>
        <row r="19">
          <cell r="W19" t="str">
            <v>Balatongyörök</v>
          </cell>
        </row>
        <row r="20">
          <cell r="W20" t="str">
            <v>Balatonlelle</v>
          </cell>
        </row>
        <row r="21">
          <cell r="W21" t="str">
            <v>Balatonmáriafürdő</v>
          </cell>
        </row>
        <row r="22">
          <cell r="A22" t="str">
            <v>Nincs</v>
          </cell>
          <cell r="W22" t="str">
            <v xml:space="preserve">Balatonszabadi </v>
          </cell>
        </row>
        <row r="23">
          <cell r="A23" t="str">
            <v>Alapfokú</v>
          </cell>
          <cell r="W23" t="str">
            <v>Balkány</v>
          </cell>
        </row>
        <row r="24">
          <cell r="A24" t="str">
            <v>1 középfokú</v>
          </cell>
          <cell r="W24" t="str">
            <v>Balmazújváros</v>
          </cell>
        </row>
        <row r="25">
          <cell r="A25" t="str">
            <v>2 középfokú</v>
          </cell>
          <cell r="W25" t="str">
            <v>Barcs</v>
          </cell>
        </row>
        <row r="26">
          <cell r="A26" t="str">
            <v>3 középfokú</v>
          </cell>
          <cell r="W26" t="str">
            <v>Bátaszék</v>
          </cell>
        </row>
        <row r="27">
          <cell r="A27" t="str">
            <v>1 felsőfokú</v>
          </cell>
          <cell r="W27" t="str">
            <v>Bátonyterenye</v>
          </cell>
        </row>
        <row r="28">
          <cell r="A28" t="str">
            <v>2 felsőfokú</v>
          </cell>
          <cell r="W28" t="str">
            <v>Battonya</v>
          </cell>
        </row>
        <row r="29">
          <cell r="A29" t="str">
            <v>3 felsőfokú</v>
          </cell>
          <cell r="W29" t="str">
            <v>Békés</v>
          </cell>
        </row>
        <row r="30">
          <cell r="A30" t="str">
            <v>közép és 1 felsőfokú</v>
          </cell>
          <cell r="W30" t="str">
            <v xml:space="preserve">Békéscsaba </v>
          </cell>
        </row>
        <row r="31">
          <cell r="A31" t="str">
            <v>közép és 2 felsőfokú</v>
          </cell>
          <cell r="W31" t="str">
            <v>Berettyóújfalu</v>
          </cell>
        </row>
        <row r="32">
          <cell r="A32" t="str">
            <v>közép és 3 felsőfokú</v>
          </cell>
          <cell r="W32" t="str">
            <v>Berhida</v>
          </cell>
        </row>
        <row r="33">
          <cell r="W33" t="str">
            <v xml:space="preserve">Biatorbágy </v>
          </cell>
        </row>
        <row r="34">
          <cell r="W34" t="str">
            <v>Bicske</v>
          </cell>
        </row>
        <row r="35">
          <cell r="W35" t="str">
            <v>Bóly</v>
          </cell>
        </row>
        <row r="36">
          <cell r="A36" t="str">
            <v>Nincs</v>
          </cell>
          <cell r="W36" t="str">
            <v>Bonyhád</v>
          </cell>
        </row>
        <row r="37">
          <cell r="A37" t="str">
            <v>Van</v>
          </cell>
          <cell r="W37" t="str">
            <v xml:space="preserve">Budajenő </v>
          </cell>
        </row>
        <row r="38">
          <cell r="A38" t="str">
            <v>van, rendszeres átutalással</v>
          </cell>
          <cell r="W38" t="str">
            <v xml:space="preserve">Budakalász </v>
          </cell>
        </row>
        <row r="39">
          <cell r="W39" t="str">
            <v xml:space="preserve">Budakeszi </v>
          </cell>
        </row>
        <row r="40">
          <cell r="W40" t="str">
            <v xml:space="preserve">Budaörs </v>
          </cell>
        </row>
        <row r="41">
          <cell r="W41" t="str">
            <v>Bük</v>
          </cell>
        </row>
        <row r="42">
          <cell r="A42" t="str">
            <v>kevesebb mint 1000 Ft</v>
          </cell>
          <cell r="W42" t="str">
            <v xml:space="preserve">Cegléd </v>
          </cell>
        </row>
        <row r="43">
          <cell r="A43" t="str">
            <v>1.000 Ft és 10.000 Ft között</v>
          </cell>
          <cell r="W43" t="str">
            <v>Celldömölk</v>
          </cell>
        </row>
        <row r="44">
          <cell r="A44" t="str">
            <v>több mint 10.000 Ft</v>
          </cell>
          <cell r="W44" t="str">
            <v>Csákvár</v>
          </cell>
        </row>
        <row r="45">
          <cell r="W45" t="str">
            <v xml:space="preserve">Csobánka </v>
          </cell>
        </row>
        <row r="46">
          <cell r="W46" t="str">
            <v>Csomád</v>
          </cell>
        </row>
        <row r="47">
          <cell r="A47">
            <v>0</v>
          </cell>
          <cell r="W47" t="str">
            <v>Csongrád</v>
          </cell>
        </row>
        <row r="48">
          <cell r="A48">
            <v>1</v>
          </cell>
          <cell r="W48" t="str">
            <v>Csopak</v>
          </cell>
        </row>
        <row r="49">
          <cell r="A49">
            <v>2</v>
          </cell>
          <cell r="W49" t="str">
            <v>Csorna</v>
          </cell>
        </row>
        <row r="50">
          <cell r="A50" t="str">
            <v>3 vagy több mint 3</v>
          </cell>
          <cell r="W50" t="str">
            <v xml:space="preserve">Csömör </v>
          </cell>
        </row>
        <row r="51">
          <cell r="W51" t="str">
            <v xml:space="preserve">Csörög </v>
          </cell>
        </row>
        <row r="52">
          <cell r="W52" t="str">
            <v xml:space="preserve">Dabas </v>
          </cell>
        </row>
        <row r="53">
          <cell r="A53" t="str">
            <v>nincs</v>
          </cell>
          <cell r="W53" t="str">
            <v xml:space="preserve">Debrecen </v>
          </cell>
        </row>
        <row r="54">
          <cell r="A54" t="str">
            <v>van</v>
          </cell>
          <cell r="W54" t="str">
            <v xml:space="preserve">Délegyháza </v>
          </cell>
        </row>
        <row r="55">
          <cell r="W55" t="str">
            <v>Derecske</v>
          </cell>
        </row>
        <row r="56">
          <cell r="W56" t="str">
            <v>Dévaványa</v>
          </cell>
        </row>
        <row r="57">
          <cell r="W57" t="str">
            <v>Diósd</v>
          </cell>
        </row>
        <row r="58">
          <cell r="W58" t="str">
            <v xml:space="preserve">Dombóvár </v>
          </cell>
        </row>
        <row r="59">
          <cell r="W59" t="str">
            <v>Dorog</v>
          </cell>
        </row>
        <row r="60">
          <cell r="W60" t="str">
            <v xml:space="preserve">Dunabogdány </v>
          </cell>
        </row>
        <row r="61">
          <cell r="W61" t="str">
            <v>Dunaföldvár</v>
          </cell>
        </row>
        <row r="62">
          <cell r="W62" t="str">
            <v xml:space="preserve">Dunaharaszti </v>
          </cell>
        </row>
        <row r="63">
          <cell r="W63" t="str">
            <v xml:space="preserve">Dunakeszi </v>
          </cell>
        </row>
        <row r="64">
          <cell r="W64" t="str">
            <v xml:space="preserve">Dunaújváros </v>
          </cell>
        </row>
        <row r="65">
          <cell r="W65" t="str">
            <v xml:space="preserve">Dunavarsány </v>
          </cell>
        </row>
        <row r="66">
          <cell r="W66" t="str">
            <v xml:space="preserve">Ecser </v>
          </cell>
        </row>
        <row r="67">
          <cell r="W67" t="str">
            <v>Edelény</v>
          </cell>
        </row>
        <row r="68">
          <cell r="W68" t="str">
            <v xml:space="preserve">Eger </v>
          </cell>
        </row>
        <row r="69">
          <cell r="W69" t="str">
            <v>Encs</v>
          </cell>
        </row>
        <row r="70">
          <cell r="W70" t="str">
            <v>Enying</v>
          </cell>
        </row>
        <row r="71">
          <cell r="W71" t="str">
            <v>Ercsi</v>
          </cell>
        </row>
        <row r="72">
          <cell r="W72" t="str">
            <v xml:space="preserve">Érd </v>
          </cell>
        </row>
        <row r="73">
          <cell r="W73" t="str">
            <v>Erdőkertes</v>
          </cell>
        </row>
        <row r="74">
          <cell r="W74" t="str">
            <v xml:space="preserve">Esztergom </v>
          </cell>
        </row>
        <row r="75">
          <cell r="W75" t="str">
            <v xml:space="preserve">Etyek </v>
          </cell>
        </row>
        <row r="76">
          <cell r="W76" t="str">
            <v>Fegyvernek</v>
          </cell>
        </row>
        <row r="77">
          <cell r="W77" t="str">
            <v>Fehérgyarmat</v>
          </cell>
        </row>
        <row r="78">
          <cell r="W78" t="str">
            <v xml:space="preserve">Felsőpakony </v>
          </cell>
        </row>
        <row r="79">
          <cell r="W79" t="str">
            <v>Felsőzsolca</v>
          </cell>
        </row>
        <row r="80">
          <cell r="W80" t="str">
            <v xml:space="preserve">Fót </v>
          </cell>
        </row>
        <row r="81">
          <cell r="W81" t="str">
            <v>Füzesabony</v>
          </cell>
        </row>
        <row r="82">
          <cell r="W82" t="str">
            <v>Füzesgyarmat</v>
          </cell>
        </row>
        <row r="83">
          <cell r="W83" t="str">
            <v>Gárdony</v>
          </cell>
        </row>
        <row r="84">
          <cell r="A84" t="str">
            <v>Nem szerepel</v>
          </cell>
          <cell r="W84" t="str">
            <v xml:space="preserve">Göd </v>
          </cell>
        </row>
        <row r="85">
          <cell r="A85" t="str">
            <v>Passzív státusz</v>
          </cell>
          <cell r="W85" t="str">
            <v xml:space="preserve">Gödöllő </v>
          </cell>
        </row>
        <row r="86">
          <cell r="W86" t="str">
            <v xml:space="preserve">Gyál </v>
          </cell>
        </row>
        <row r="87">
          <cell r="W87" t="str">
            <v>Gyomaendrőd</v>
          </cell>
        </row>
        <row r="88">
          <cell r="W88" t="str">
            <v>Gyömrő</v>
          </cell>
        </row>
        <row r="89">
          <cell r="W89" t="str">
            <v xml:space="preserve">Gyöngyös </v>
          </cell>
        </row>
        <row r="90">
          <cell r="W90" t="str">
            <v>Győr</v>
          </cell>
        </row>
        <row r="91">
          <cell r="W91" t="str">
            <v xml:space="preserve">Gyula </v>
          </cell>
        </row>
        <row r="92">
          <cell r="W92" t="str">
            <v>Hajdúböszörmény</v>
          </cell>
        </row>
        <row r="93">
          <cell r="W93" t="str">
            <v>Hajdúdorog</v>
          </cell>
        </row>
        <row r="94">
          <cell r="W94" t="str">
            <v>Hajdúhadház</v>
          </cell>
        </row>
        <row r="95">
          <cell r="W95" t="str">
            <v>Hajdúnánás</v>
          </cell>
        </row>
        <row r="96">
          <cell r="W96" t="str">
            <v>Hajdúsámson</v>
          </cell>
        </row>
        <row r="97">
          <cell r="W97" t="str">
            <v>Hajdúszoboszló</v>
          </cell>
        </row>
        <row r="98">
          <cell r="A98" t="str">
            <v>munkáltatói igazolás</v>
          </cell>
          <cell r="W98" t="str">
            <v xml:space="preserve">Halásztelek </v>
          </cell>
        </row>
        <row r="99">
          <cell r="A99" t="str">
            <v>munkáltatói ig. + folyószámla</v>
          </cell>
          <cell r="W99" t="str">
            <v>Harkány</v>
          </cell>
        </row>
        <row r="100">
          <cell r="A100" t="str">
            <v>APEH jövedelem igazolás</v>
          </cell>
          <cell r="W100" t="str">
            <v>Hatvan</v>
          </cell>
        </row>
        <row r="101">
          <cell r="W101" t="str">
            <v xml:space="preserve">Herceghalom </v>
          </cell>
        </row>
        <row r="102">
          <cell r="W102" t="str">
            <v>Heves</v>
          </cell>
        </row>
        <row r="103">
          <cell r="W103" t="str">
            <v xml:space="preserve">Hévíz </v>
          </cell>
        </row>
        <row r="104">
          <cell r="W104" t="str">
            <v xml:space="preserve">Hódmezővásárhely </v>
          </cell>
        </row>
        <row r="105">
          <cell r="W105" t="str">
            <v>Ibrány</v>
          </cell>
        </row>
        <row r="106">
          <cell r="A106" t="str">
            <v>munkabér, alkalmazotti munkaviszony</v>
          </cell>
          <cell r="W106" t="str">
            <v xml:space="preserve">Isaszeg </v>
          </cell>
        </row>
        <row r="107">
          <cell r="A107" t="str">
            <v>társas vállalkozásból származó jövedelem</v>
          </cell>
          <cell r="W107" t="str">
            <v>Izsák</v>
          </cell>
        </row>
        <row r="108">
          <cell r="A108" t="str">
            <v>egyéni vállalkozásból származó jövedelem</v>
          </cell>
          <cell r="W108" t="str">
            <v>Jánoshalma</v>
          </cell>
        </row>
        <row r="109">
          <cell r="A109" t="str">
            <v>GYED, GYES, családi pótlék</v>
          </cell>
          <cell r="W109" t="str">
            <v>Jánossomorja</v>
          </cell>
        </row>
        <row r="110">
          <cell r="A110" t="str">
            <v>EVA hatálya alatt adózott jövedelem</v>
          </cell>
          <cell r="W110" t="str">
            <v>Jászapáti</v>
          </cell>
        </row>
        <row r="111">
          <cell r="A111" t="str">
            <v>nyugdíj</v>
          </cell>
          <cell r="W111" t="str">
            <v>Jászárokszállás</v>
          </cell>
        </row>
        <row r="112">
          <cell r="A112" t="str">
            <v>életjáradék</v>
          </cell>
          <cell r="W112" t="str">
            <v>Jászberény</v>
          </cell>
        </row>
        <row r="113">
          <cell r="A113" t="str">
            <v>ösztöndíjas foglalkoztatottság</v>
          </cell>
          <cell r="W113" t="str">
            <v>Jászfényszaru</v>
          </cell>
        </row>
        <row r="114">
          <cell r="A114" t="str">
            <v>külföldről származó jövedelem</v>
          </cell>
          <cell r="W114" t="str">
            <v>Jászkisér</v>
          </cell>
        </row>
        <row r="115">
          <cell r="A115" t="str">
            <v>cafetéria</v>
          </cell>
          <cell r="W115" t="str">
            <v>Kaba</v>
          </cell>
        </row>
        <row r="116">
          <cell r="A116" t="str">
            <v>osztalék</v>
          </cell>
          <cell r="W116" t="str">
            <v>Kalocsa</v>
          </cell>
        </row>
        <row r="117">
          <cell r="A117" t="str">
            <v>megbízási díj</v>
          </cell>
          <cell r="W117" t="str">
            <v>Kaposvár</v>
          </cell>
        </row>
        <row r="118">
          <cell r="A118" t="str">
            <v>ingatlan bérbeadásából származó jöv.</v>
          </cell>
          <cell r="W118" t="str">
            <v>Kapuvár</v>
          </cell>
        </row>
        <row r="119">
          <cell r="W119" t="str">
            <v>Karcag</v>
          </cell>
        </row>
        <row r="120">
          <cell r="W120" t="str">
            <v>Kazincbarcika</v>
          </cell>
        </row>
        <row r="121">
          <cell r="W121" t="str">
            <v>Kecel</v>
          </cell>
        </row>
        <row r="122">
          <cell r="W122" t="str">
            <v xml:space="preserve">Kecskemét </v>
          </cell>
        </row>
        <row r="123">
          <cell r="A123" t="str">
            <v>lakáshitel</v>
          </cell>
          <cell r="W123" t="str">
            <v>Kerekegyháza</v>
          </cell>
        </row>
        <row r="124">
          <cell r="A124" t="str">
            <v>szab. fel. hitel</v>
          </cell>
          <cell r="W124" t="str">
            <v>Kerepes</v>
          </cell>
        </row>
        <row r="125">
          <cell r="A125" t="str">
            <v>hitelkártya</v>
          </cell>
          <cell r="W125" t="str">
            <v>Keszthely</v>
          </cell>
        </row>
        <row r="126">
          <cell r="A126" t="str">
            <v>folyószámlahitel</v>
          </cell>
          <cell r="W126" t="str">
            <v>Kisbér</v>
          </cell>
        </row>
        <row r="127">
          <cell r="A127" t="str">
            <v>autóhitel</v>
          </cell>
          <cell r="W127" t="str">
            <v>Kiskőrös</v>
          </cell>
        </row>
        <row r="128">
          <cell r="A128" t="str">
            <v>személyi kölcsön</v>
          </cell>
          <cell r="W128" t="str">
            <v>Kiskunfélegyháza</v>
          </cell>
        </row>
        <row r="129">
          <cell r="A129" t="str">
            <v>diákhitel</v>
          </cell>
          <cell r="W129" t="str">
            <v>Kiskunhalas</v>
          </cell>
        </row>
        <row r="130">
          <cell r="A130" t="str">
            <v>áruhitel</v>
          </cell>
          <cell r="W130" t="str">
            <v>Kiskunmajsa</v>
          </cell>
        </row>
        <row r="131">
          <cell r="A131" t="str">
            <v>gyerektartás</v>
          </cell>
          <cell r="W131" t="str">
            <v>Kisoroszi</v>
          </cell>
        </row>
        <row r="132">
          <cell r="A132" t="str">
            <v>egyéb</v>
          </cell>
          <cell r="W132" t="str">
            <v>Kistarcsa</v>
          </cell>
        </row>
        <row r="133">
          <cell r="W133" t="str">
            <v>Kistelek</v>
          </cell>
        </row>
        <row r="134">
          <cell r="W134" t="str">
            <v>Kisújszállás</v>
          </cell>
        </row>
        <row r="135">
          <cell r="W135" t="str">
            <v>Kisvárda</v>
          </cell>
        </row>
        <row r="136">
          <cell r="A136" t="str">
            <v>hivatalos igazolás</v>
          </cell>
          <cell r="W136" t="str">
            <v>Komádi</v>
          </cell>
        </row>
        <row r="137">
          <cell r="A137" t="str">
            <v>nem hivatalos igazolás</v>
          </cell>
          <cell r="W137" t="str">
            <v>Komárom</v>
          </cell>
        </row>
        <row r="138">
          <cell r="W138" t="str">
            <v>Komló</v>
          </cell>
        </row>
        <row r="139">
          <cell r="W139" t="str">
            <v>Kozármisleny</v>
          </cell>
        </row>
        <row r="140">
          <cell r="W140" t="str">
            <v>Körmend</v>
          </cell>
        </row>
        <row r="141">
          <cell r="W141" t="str">
            <v>Kőszeg</v>
          </cell>
        </row>
        <row r="142">
          <cell r="A142" t="str">
            <v>igen</v>
          </cell>
          <cell r="W142" t="str">
            <v>Kunhegyes</v>
          </cell>
        </row>
        <row r="143">
          <cell r="A143" t="str">
            <v>nem</v>
          </cell>
          <cell r="W143" t="str">
            <v>Kunszentmárton</v>
          </cell>
        </row>
        <row r="144">
          <cell r="W144" t="str">
            <v>Kunszentmiklós</v>
          </cell>
        </row>
        <row r="145">
          <cell r="W145" t="str">
            <v>Lajosmizse</v>
          </cell>
        </row>
        <row r="146">
          <cell r="W146" t="str">
            <v>Leányfalu</v>
          </cell>
        </row>
        <row r="147">
          <cell r="W147" t="str">
            <v>Lébény</v>
          </cell>
        </row>
        <row r="148">
          <cell r="A148" t="str">
            <v>hibátlan</v>
          </cell>
          <cell r="W148" t="str">
            <v>Lenti</v>
          </cell>
        </row>
        <row r="149">
          <cell r="A149" t="str">
            <v>30 napon belüli késedelmek</v>
          </cell>
          <cell r="W149" t="str">
            <v>Létavértes</v>
          </cell>
        </row>
        <row r="150">
          <cell r="A150" t="str">
            <v>rossz</v>
          </cell>
          <cell r="W150" t="str">
            <v>Lovas</v>
          </cell>
        </row>
        <row r="151">
          <cell r="W151" t="str">
            <v>Lőrinci</v>
          </cell>
        </row>
        <row r="152">
          <cell r="W152" t="str">
            <v>Maglód</v>
          </cell>
        </row>
        <row r="153">
          <cell r="W153" t="str">
            <v>Majosháza</v>
          </cell>
        </row>
        <row r="154">
          <cell r="W154" t="str">
            <v>Makó</v>
          </cell>
        </row>
        <row r="155">
          <cell r="W155" t="str">
            <v>Marcali</v>
          </cell>
        </row>
        <row r="156">
          <cell r="W156" t="str">
            <v>Martfű</v>
          </cell>
        </row>
        <row r="157">
          <cell r="W157" t="str">
            <v>Martonvásár</v>
          </cell>
        </row>
        <row r="158">
          <cell r="W158" t="str">
            <v>Mátészalka</v>
          </cell>
        </row>
        <row r="159">
          <cell r="W159" t="str">
            <v>Mezőberény</v>
          </cell>
        </row>
        <row r="160">
          <cell r="W160" t="str">
            <v>Mezőcsát</v>
          </cell>
        </row>
        <row r="161">
          <cell r="W161" t="str">
            <v>Mezőhegyes</v>
          </cell>
        </row>
        <row r="162">
          <cell r="W162" t="str">
            <v>Mezőkovácsháza</v>
          </cell>
        </row>
        <row r="163">
          <cell r="W163" t="str">
            <v>Mezőkövesd</v>
          </cell>
        </row>
        <row r="164">
          <cell r="W164" t="str">
            <v>Mezőtúr</v>
          </cell>
        </row>
        <row r="165">
          <cell r="W165" t="str">
            <v>Mindszent</v>
          </cell>
        </row>
        <row r="166">
          <cell r="W166" t="str">
            <v>Miskolc</v>
          </cell>
        </row>
        <row r="167">
          <cell r="W167" t="str">
            <v>Mogyoród</v>
          </cell>
        </row>
        <row r="168">
          <cell r="W168" t="str">
            <v>Mohács</v>
          </cell>
        </row>
        <row r="169">
          <cell r="W169" t="str">
            <v>Monor</v>
          </cell>
        </row>
        <row r="170">
          <cell r="W170" t="str">
            <v>Mór</v>
          </cell>
        </row>
        <row r="171">
          <cell r="W171" t="str">
            <v>Mórahalom</v>
          </cell>
        </row>
        <row r="172">
          <cell r="A172" t="str">
            <v>Lakáscélú hitel</v>
          </cell>
          <cell r="W172" t="str">
            <v>Mosonmagyaróvár</v>
          </cell>
        </row>
        <row r="173">
          <cell r="A173" t="str">
            <v>Szabad felhasználású hitel</v>
          </cell>
          <cell r="W173" t="str">
            <v>Nádudvar</v>
          </cell>
        </row>
        <row r="174">
          <cell r="W174" t="str">
            <v>Nagyatád</v>
          </cell>
        </row>
        <row r="175">
          <cell r="W175" t="str">
            <v>Nagyecsed</v>
          </cell>
        </row>
        <row r="176">
          <cell r="W176" t="str">
            <v>Nagyhalász</v>
          </cell>
        </row>
        <row r="177">
          <cell r="A177" t="str">
            <v>Használt lakás vásárlás</v>
          </cell>
          <cell r="W177" t="str">
            <v>Nagykálló</v>
          </cell>
        </row>
        <row r="178">
          <cell r="A178" t="str">
            <v>Újépítésű lakás vásárlás</v>
          </cell>
          <cell r="W178" t="str">
            <v>Nagykanizsa</v>
          </cell>
        </row>
        <row r="179">
          <cell r="A179" t="str">
            <v>Új lakás építés</v>
          </cell>
          <cell r="W179" t="str">
            <v>Nagykáta</v>
          </cell>
        </row>
        <row r="180">
          <cell r="A180" t="str">
            <v>Lakás bővítés</v>
          </cell>
          <cell r="W180" t="str">
            <v>Nagykovácsi</v>
          </cell>
        </row>
        <row r="181">
          <cell r="A181" t="str">
            <v>Felújítás</v>
          </cell>
          <cell r="W181" t="str">
            <v>Nagykőrös</v>
          </cell>
        </row>
        <row r="182">
          <cell r="A182" t="str">
            <v>Telek vásárlás</v>
          </cell>
          <cell r="W182" t="str">
            <v>Nagymaros</v>
          </cell>
        </row>
        <row r="183">
          <cell r="A183" t="str">
            <v>Lakáscélú hitel kiváltás</v>
          </cell>
          <cell r="W183" t="str">
            <v>Nyáregyháza</v>
          </cell>
        </row>
        <row r="184">
          <cell r="A184" t="str">
            <v>Szabad felhasználás</v>
          </cell>
          <cell r="W184" t="str">
            <v>Nyergesújfalu</v>
          </cell>
        </row>
        <row r="185">
          <cell r="A185" t="str">
            <v>Szabfel hitel kiváltás, adósságrendezés</v>
          </cell>
          <cell r="W185" t="str">
            <v>Nyíradony</v>
          </cell>
        </row>
        <row r="186">
          <cell r="A186" t="str">
            <v>Hitel kiváltás és szabad felhasználás</v>
          </cell>
          <cell r="W186" t="str">
            <v>Nyírbátor</v>
          </cell>
        </row>
        <row r="187">
          <cell r="W187" t="str">
            <v>Nyíregyháza</v>
          </cell>
        </row>
        <row r="188">
          <cell r="W188" t="str">
            <v>Nyírtelek</v>
          </cell>
        </row>
        <row r="189">
          <cell r="A189" t="str">
            <v>Hibátlan 12 havi hitelmúlt</v>
          </cell>
          <cell r="W189" t="str">
            <v>Ócsa</v>
          </cell>
        </row>
        <row r="190">
          <cell r="A190" t="str">
            <v>Rendszertelen hiteltörlesztés</v>
          </cell>
          <cell r="W190" t="str">
            <v>Orosháza</v>
          </cell>
        </row>
        <row r="191">
          <cell r="W191" t="str">
            <v>Oroszlány</v>
          </cell>
        </row>
        <row r="192">
          <cell r="W192" t="str">
            <v>Ózd</v>
          </cell>
        </row>
        <row r="193">
          <cell r="W193" t="str">
            <v>Őrbottyán</v>
          </cell>
        </row>
        <row r="194">
          <cell r="W194" t="str">
            <v>Örkény</v>
          </cell>
        </row>
        <row r="195">
          <cell r="W195" t="str">
            <v>Paks</v>
          </cell>
        </row>
        <row r="196">
          <cell r="W196" t="str">
            <v>Paloznak</v>
          </cell>
        </row>
        <row r="197">
          <cell r="W197" t="str">
            <v>Pápa</v>
          </cell>
        </row>
        <row r="198">
          <cell r="W198" t="str">
            <v>Pásztó</v>
          </cell>
        </row>
        <row r="199">
          <cell r="W199" t="str">
            <v>Páty</v>
          </cell>
        </row>
        <row r="200">
          <cell r="W200" t="str">
            <v>Pécel</v>
          </cell>
        </row>
        <row r="201">
          <cell r="W201" t="str">
            <v>Pécs</v>
          </cell>
        </row>
        <row r="202">
          <cell r="W202" t="str">
            <v>Perbál</v>
          </cell>
        </row>
        <row r="203">
          <cell r="A203" t="str">
            <v>fedezet</v>
          </cell>
          <cell r="W203" t="str">
            <v>Pilis</v>
          </cell>
        </row>
        <row r="204">
          <cell r="A204" t="str">
            <v>fedezet és hitelcél</v>
          </cell>
          <cell r="W204" t="str">
            <v>Pilisborosjenő</v>
          </cell>
        </row>
        <row r="205">
          <cell r="A205" t="str">
            <v>csak hitelcél</v>
          </cell>
          <cell r="W205" t="str">
            <v>Piliscsaba</v>
          </cell>
        </row>
        <row r="206">
          <cell r="W206" t="str">
            <v>Pilisjászfalu</v>
          </cell>
        </row>
        <row r="207">
          <cell r="W207" t="str">
            <v>Pilisvörösvár</v>
          </cell>
        </row>
        <row r="208">
          <cell r="W208" t="str">
            <v>Pilisszántó</v>
          </cell>
        </row>
        <row r="209">
          <cell r="A209" t="str">
            <v>lakás</v>
          </cell>
          <cell r="W209" t="str">
            <v>Pilisszentiván</v>
          </cell>
        </row>
        <row r="210">
          <cell r="A210" t="str">
            <v>lakóház, családi ház</v>
          </cell>
          <cell r="W210" t="str">
            <v>Pilisszentkereszt</v>
          </cell>
        </row>
        <row r="211">
          <cell r="A211" t="str">
            <v>építési telek</v>
          </cell>
          <cell r="W211" t="str">
            <v>Pilisszentlászló</v>
          </cell>
        </row>
        <row r="212">
          <cell r="A212" t="str">
            <v>nyaraló, üdülő</v>
          </cell>
          <cell r="W212" t="str">
            <v>Pócsmegyer</v>
          </cell>
        </row>
        <row r="213">
          <cell r="A213" t="str">
            <v>garázs, gépkocsibeálló</v>
          </cell>
          <cell r="W213" t="str">
            <v>Polgár</v>
          </cell>
        </row>
        <row r="214">
          <cell r="A214" t="str">
            <v>tároló</v>
          </cell>
          <cell r="W214" t="str">
            <v>Polgárdi</v>
          </cell>
        </row>
        <row r="215">
          <cell r="A215" t="str">
            <v>gazdasági épület</v>
          </cell>
          <cell r="W215" t="str">
            <v>Pomáz</v>
          </cell>
        </row>
        <row r="216">
          <cell r="A216" t="str">
            <v>üzlethelység</v>
          </cell>
          <cell r="W216" t="str">
            <v>Pusztaszabolcs</v>
          </cell>
        </row>
        <row r="217">
          <cell r="A217" t="str">
            <v>iroda</v>
          </cell>
          <cell r="W217" t="str">
            <v>Pusztazámor</v>
          </cell>
        </row>
        <row r="218">
          <cell r="W218" t="str">
            <v>Putnok</v>
          </cell>
        </row>
        <row r="219">
          <cell r="W219" t="str">
            <v>Püspökladány</v>
          </cell>
        </row>
        <row r="220">
          <cell r="W220" t="str">
            <v>Rácalmás</v>
          </cell>
        </row>
        <row r="221">
          <cell r="A221" t="str">
            <v>jelz.jog és elidegenítési és terhelési til.</v>
          </cell>
          <cell r="W221" t="str">
            <v xml:space="preserve">Ráckeve </v>
          </cell>
        </row>
        <row r="222">
          <cell r="A222" t="str">
            <v>jelzálogjog</v>
          </cell>
          <cell r="W222" t="str">
            <v>Rákóczifalva</v>
          </cell>
        </row>
        <row r="223">
          <cell r="A223" t="str">
            <v>haszonélvezeti jog</v>
          </cell>
          <cell r="W223" t="str">
            <v>Remeteszőlős</v>
          </cell>
        </row>
        <row r="224">
          <cell r="A224" t="str">
            <v>özvegyi jog</v>
          </cell>
          <cell r="W224" t="str">
            <v>Sajószentpéter</v>
          </cell>
        </row>
        <row r="225">
          <cell r="A225" t="str">
            <v>végrehajtási jog</v>
          </cell>
          <cell r="W225" t="str">
            <v>Salgótarján</v>
          </cell>
        </row>
        <row r="226">
          <cell r="A226" t="str">
            <v>vételi jog</v>
          </cell>
          <cell r="W226" t="str">
            <v>Sándorfalva</v>
          </cell>
        </row>
        <row r="227">
          <cell r="A227" t="str">
            <v>szolgalmi jog</v>
          </cell>
          <cell r="W227" t="str">
            <v>Sárbogárd</v>
          </cell>
        </row>
        <row r="228">
          <cell r="W228" t="str">
            <v>Sarkad</v>
          </cell>
        </row>
        <row r="229">
          <cell r="W229" t="str">
            <v>Sárospatak</v>
          </cell>
        </row>
        <row r="230">
          <cell r="W230" t="str">
            <v>Sárvár</v>
          </cell>
        </row>
        <row r="231">
          <cell r="A231" t="str">
            <v>Bankot megelőzően fennmaradó</v>
          </cell>
          <cell r="W231" t="str">
            <v>Sátoraljaújhely</v>
          </cell>
        </row>
        <row r="232">
          <cell r="A232" t="str">
            <v>Folyósításig törlendő</v>
          </cell>
          <cell r="W232" t="str">
            <v>Siklós</v>
          </cell>
        </row>
        <row r="233">
          <cell r="A233" t="str">
            <v>Bank által kiváltandó</v>
          </cell>
          <cell r="W233" t="str">
            <v>Siófok</v>
          </cell>
        </row>
        <row r="234">
          <cell r="A234" t="str">
            <v>Bankot követő ranghelyen fennmaradó</v>
          </cell>
          <cell r="W234" t="str">
            <v>Solt</v>
          </cell>
        </row>
        <row r="235">
          <cell r="W235" t="str">
            <v>Soltvadkert</v>
          </cell>
        </row>
        <row r="236">
          <cell r="W236" t="str">
            <v>Solymár</v>
          </cell>
        </row>
        <row r="237">
          <cell r="A237" t="str">
            <v>Bank meghitelezi</v>
          </cell>
          <cell r="W237" t="str">
            <v>Sopron</v>
          </cell>
        </row>
        <row r="238">
          <cell r="A238" t="str">
            <v>Ügyfél fizeti</v>
          </cell>
          <cell r="W238" t="str">
            <v>Sóskút</v>
          </cell>
        </row>
        <row r="239">
          <cell r="W239" t="str">
            <v>Sukoró</v>
          </cell>
        </row>
        <row r="240">
          <cell r="W240" t="str">
            <v>Sülysáp</v>
          </cell>
        </row>
        <row r="241">
          <cell r="W241" t="str">
            <v>Sümeg</v>
          </cell>
        </row>
        <row r="242">
          <cell r="W242" t="str">
            <v>Szabadszállás</v>
          </cell>
        </row>
        <row r="243">
          <cell r="W243" t="str">
            <v>Szada</v>
          </cell>
        </row>
        <row r="244">
          <cell r="W244" t="str">
            <v>Szántód</v>
          </cell>
        </row>
        <row r="245">
          <cell r="W245" t="str">
            <v>Szarvas</v>
          </cell>
        </row>
        <row r="246">
          <cell r="W246" t="str">
            <v>Százhalombatta</v>
          </cell>
        </row>
        <row r="247">
          <cell r="W247" t="str">
            <v>Szécsény</v>
          </cell>
        </row>
        <row r="248">
          <cell r="W248" t="str">
            <v>Szeged</v>
          </cell>
        </row>
        <row r="249">
          <cell r="W249" t="str">
            <v>Szeghalom</v>
          </cell>
        </row>
        <row r="250">
          <cell r="W250" t="str">
            <v>Székesfehérvár</v>
          </cell>
        </row>
        <row r="251">
          <cell r="W251" t="str">
            <v>Szekszárd</v>
          </cell>
        </row>
        <row r="252">
          <cell r="W252" t="str">
            <v>Szentendre</v>
          </cell>
        </row>
        <row r="253">
          <cell r="W253" t="str">
            <v>Szentes</v>
          </cell>
        </row>
        <row r="254">
          <cell r="W254" t="str">
            <v>Szentgotthárd</v>
          </cell>
        </row>
        <row r="255">
          <cell r="W255" t="str">
            <v>Szentlőrinc</v>
          </cell>
        </row>
        <row r="256">
          <cell r="W256" t="str">
            <v>Szerencs</v>
          </cell>
        </row>
        <row r="257">
          <cell r="W257" t="str">
            <v>Szigethalom</v>
          </cell>
        </row>
        <row r="258">
          <cell r="W258" t="str">
            <v>Szigetmonostor</v>
          </cell>
        </row>
        <row r="259">
          <cell r="W259" t="str">
            <v>Szigetszentmiklós</v>
          </cell>
        </row>
        <row r="260">
          <cell r="W260" t="str">
            <v>Szigetvár</v>
          </cell>
        </row>
        <row r="261">
          <cell r="W261" t="str">
            <v>Szikszó</v>
          </cell>
        </row>
        <row r="262">
          <cell r="W262" t="str">
            <v>Szob</v>
          </cell>
        </row>
        <row r="263">
          <cell r="W263" t="str">
            <v>Szolnok</v>
          </cell>
        </row>
        <row r="264">
          <cell r="W264" t="str">
            <v>Szombathely</v>
          </cell>
        </row>
        <row r="265">
          <cell r="A265" t="str">
            <v>Bajnok Plusz</v>
          </cell>
          <cell r="W265" t="str">
            <v>Sződ</v>
          </cell>
        </row>
        <row r="266">
          <cell r="A266" t="str">
            <v>Bajnok</v>
          </cell>
          <cell r="W266" t="str">
            <v>Sződliget</v>
          </cell>
        </row>
        <row r="267">
          <cell r="A267" t="str">
            <v>Ász</v>
          </cell>
          <cell r="W267" t="str">
            <v>Tahitótfalu</v>
          </cell>
        </row>
        <row r="268">
          <cell r="A268" t="str">
            <v>Hős</v>
          </cell>
          <cell r="W268" t="str">
            <v>Taksony</v>
          </cell>
        </row>
        <row r="269">
          <cell r="A269" t="str">
            <v xml:space="preserve">Family </v>
          </cell>
          <cell r="W269" t="str">
            <v>Tamási</v>
          </cell>
        </row>
        <row r="270">
          <cell r="A270" t="str">
            <v>Sztár</v>
          </cell>
          <cell r="W270" t="str">
            <v>Tápiószele</v>
          </cell>
        </row>
        <row r="271">
          <cell r="A271" t="str">
            <v>Digitális</v>
          </cell>
          <cell r="W271" t="str">
            <v>Tapolca</v>
          </cell>
        </row>
        <row r="272">
          <cell r="A272" t="str">
            <v>Magas Kamat</v>
          </cell>
          <cell r="W272" t="str">
            <v>Tárnok</v>
          </cell>
        </row>
        <row r="273">
          <cell r="A273" t="str">
            <v>Alapszámla-csomag</v>
          </cell>
          <cell r="W273" t="str">
            <v>Tát</v>
          </cell>
        </row>
        <row r="274">
          <cell r="A274" t="str">
            <v>Diploma</v>
          </cell>
          <cell r="W274" t="str">
            <v>Tata</v>
          </cell>
        </row>
        <row r="275">
          <cell r="A275" t="str">
            <v>Elektronikus</v>
          </cell>
          <cell r="W275" t="str">
            <v>Tatabánya</v>
          </cell>
        </row>
        <row r="276">
          <cell r="A276" t="str">
            <v>COOP Dolgozói</v>
          </cell>
          <cell r="W276" t="str">
            <v>Téglás</v>
          </cell>
        </row>
        <row r="277">
          <cell r="A277" t="str">
            <v>COOP Prémium Dolgozói</v>
          </cell>
          <cell r="W277" t="str">
            <v>Telki</v>
          </cell>
        </row>
        <row r="278">
          <cell r="A278" t="str">
            <v>COOP Törzsvásárlói</v>
          </cell>
          <cell r="W278" t="str">
            <v xml:space="preserve">Tinnye </v>
          </cell>
        </row>
        <row r="279">
          <cell r="A279" t="str">
            <v>BROKERNET</v>
          </cell>
          <cell r="W279" t="str">
            <v>Tiszaföldvár</v>
          </cell>
        </row>
        <row r="280">
          <cell r="A280" t="str">
            <v>Westend</v>
          </cell>
          <cell r="W280" t="str">
            <v>Tiszafüred</v>
          </cell>
        </row>
        <row r="281">
          <cell r="A281" t="str">
            <v>Universitas</v>
          </cell>
          <cell r="W281" t="str">
            <v>Tiszakécske</v>
          </cell>
        </row>
        <row r="282">
          <cell r="A282" t="str">
            <v>Universitas Plusz</v>
          </cell>
          <cell r="W282" t="str">
            <v>Tiszalök</v>
          </cell>
        </row>
        <row r="283">
          <cell r="A283" t="str">
            <v>Medicina</v>
          </cell>
          <cell r="W283" t="str">
            <v>Tiszaújváros</v>
          </cell>
        </row>
        <row r="284">
          <cell r="A284" t="str">
            <v>Bestens</v>
          </cell>
          <cell r="W284" t="str">
            <v>Tiszavasvári</v>
          </cell>
        </row>
        <row r="285">
          <cell r="A285" t="str">
            <v>Pannónia</v>
          </cell>
          <cell r="W285" t="str">
            <v>Tolna</v>
          </cell>
        </row>
        <row r="286">
          <cell r="A286" t="str">
            <v>GOLD</v>
          </cell>
          <cell r="W286" t="str">
            <v>Tótkomlós</v>
          </cell>
        </row>
        <row r="287">
          <cell r="A287" t="str">
            <v>FŐGÁZ Prémium</v>
          </cell>
          <cell r="W287" t="str">
            <v>Tök</v>
          </cell>
        </row>
        <row r="288">
          <cell r="A288" t="str">
            <v>Kajak Kenu</v>
          </cell>
          <cell r="W288" t="str">
            <v>Tököl</v>
          </cell>
        </row>
        <row r="289">
          <cell r="A289" t="str">
            <v>BKV</v>
          </cell>
          <cell r="W289" t="str">
            <v>Törökbálint</v>
          </cell>
        </row>
        <row r="290">
          <cell r="A290" t="str">
            <v>Aranykor Prémium</v>
          </cell>
          <cell r="W290" t="str">
            <v>Törökszentmiklós</v>
          </cell>
        </row>
        <row r="291">
          <cell r="A291" t="str">
            <v>Aranykor</v>
          </cell>
          <cell r="W291" t="str">
            <v>Tura</v>
          </cell>
        </row>
        <row r="292">
          <cell r="A292" t="str">
            <v>Digitális Plusz</v>
          </cell>
          <cell r="W292" t="str">
            <v>Túrkeve</v>
          </cell>
        </row>
        <row r="293">
          <cell r="A293" t="str">
            <v>Basic</v>
          </cell>
          <cell r="W293" t="str">
            <v>Újfehértó</v>
          </cell>
        </row>
        <row r="294">
          <cell r="W294" t="str">
            <v>Újszász</v>
          </cell>
        </row>
        <row r="295">
          <cell r="W295" t="str">
            <v>Üllő</v>
          </cell>
        </row>
        <row r="296">
          <cell r="W296" t="str">
            <v>Üröm</v>
          </cell>
        </row>
        <row r="297">
          <cell r="W297" t="str">
            <v>Vác</v>
          </cell>
        </row>
        <row r="298">
          <cell r="W298" t="str">
            <v>Vácrátót</v>
          </cell>
        </row>
        <row r="299">
          <cell r="W299" t="str">
            <v>Vámospércs</v>
          </cell>
        </row>
        <row r="300">
          <cell r="A300" t="str">
            <v>Hitelkiváltás</v>
          </cell>
          <cell r="W300" t="str">
            <v>Várpalota</v>
          </cell>
        </row>
        <row r="301">
          <cell r="A301" t="str">
            <v>Új hitel felvétele</v>
          </cell>
          <cell r="W301" t="str">
            <v>Vásárosnamény</v>
          </cell>
        </row>
        <row r="302">
          <cell r="W302" t="str">
            <v>Vecsés</v>
          </cell>
        </row>
        <row r="303">
          <cell r="W303" t="str">
            <v>Velence</v>
          </cell>
        </row>
        <row r="304">
          <cell r="W304" t="str">
            <v>Veresegyház</v>
          </cell>
        </row>
        <row r="305">
          <cell r="W305" t="str">
            <v>Veszprém</v>
          </cell>
        </row>
        <row r="306">
          <cell r="W306" t="str">
            <v>Vésztő</v>
          </cell>
        </row>
        <row r="307">
          <cell r="W307" t="str">
            <v>Visegrád</v>
          </cell>
        </row>
        <row r="308">
          <cell r="W308" t="str">
            <v>Vonyarcvashegy</v>
          </cell>
        </row>
        <row r="309">
          <cell r="W309" t="str">
            <v>Zalaegerszeg</v>
          </cell>
        </row>
        <row r="310">
          <cell r="W310" t="str">
            <v>Zalakaros</v>
          </cell>
        </row>
        <row r="311">
          <cell r="W311" t="str">
            <v>Zalaszentgrót</v>
          </cell>
        </row>
        <row r="312">
          <cell r="W312" t="str">
            <v>Zamárdi</v>
          </cell>
        </row>
        <row r="313">
          <cell r="B313" t="str">
            <v>havi</v>
          </cell>
          <cell r="W313" t="str">
            <v>Zirc</v>
          </cell>
        </row>
        <row r="314">
          <cell r="B314" t="str">
            <v>negyedéves</v>
          </cell>
          <cell r="W314" t="str">
            <v xml:space="preserve">Zsámbék </v>
          </cell>
        </row>
        <row r="315">
          <cell r="B315" t="str">
            <v>féléves</v>
          </cell>
        </row>
        <row r="316">
          <cell r="B316" t="str">
            <v>éves</v>
          </cell>
        </row>
      </sheetData>
      <sheetData sheetId="7"/>
      <sheetData sheetId="8"/>
      <sheetData sheetId="9"/>
      <sheetData sheetId="10"/>
      <sheetData sheetId="11"/>
      <sheetData sheetId="12">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Ált tájék"/>
      <sheetName val="Személyes tájék"/>
      <sheetName val="Jz.kötelezett tájék"/>
      <sheetName val="Törl.r_Jöv változása_tájék"/>
      <sheetName val="Előterjesztés"/>
      <sheetName val="Kalkulációs adatlap"/>
      <sheetName val="Kölcsön adatai_igény"/>
      <sheetName val="Igénylő adatai_igény"/>
      <sheetName val="Ingatlan adatai_igény"/>
      <sheetName val="munkáltatói"/>
      <sheetName val="Termékösszehasonlító tábla"/>
      <sheetName val="jövedelemtípusok_NEM hitelkivál"/>
      <sheetName val="jövedelemtípusok_hitelkivál"/>
      <sheetName val="Településlista"/>
      <sheetName val="Benyújtandó dok_hitelkiváltás"/>
      <sheetName val="Benyújtandó dok_nemkiváltás"/>
      <sheetName val="Csatolt dokumentumok"/>
      <sheetName val="Hird_nem ért_110630"/>
      <sheetName val="Hird_már nem ért_111014"/>
      <sheetName val="Hird_már nem ért_150131"/>
      <sheetName val="Hird_már nem ért_160321"/>
    </sheetNames>
    <sheetDataSet>
      <sheetData sheetId="0"/>
      <sheetData sheetId="1">
        <row r="11">
          <cell r="B11" t="str">
            <v>igen</v>
          </cell>
        </row>
      </sheetData>
      <sheetData sheetId="2">
        <row r="5">
          <cell r="K5">
            <v>420</v>
          </cell>
        </row>
        <row r="8">
          <cell r="H8" t="str">
            <v>igen</v>
          </cell>
        </row>
        <row r="13">
          <cell r="E13" t="str">
            <v>igen</v>
          </cell>
        </row>
      </sheetData>
      <sheetData sheetId="3">
        <row r="1">
          <cell r="O1">
            <v>94820</v>
          </cell>
        </row>
      </sheetData>
      <sheetData sheetId="4" refreshError="1"/>
      <sheetData sheetId="5" refreshError="1"/>
      <sheetData sheetId="6" refreshError="1"/>
      <sheetData sheetId="7" refreshError="1"/>
      <sheetData sheetId="8" refreshError="1"/>
      <sheetData sheetId="9">
        <row r="2">
          <cell r="R2" t="str">
            <v>Adós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8.emf"/><Relationship Id="rId3" Type="http://schemas.openxmlformats.org/officeDocument/2006/relationships/vmlDrawing" Target="../drawings/vmlDrawing14.vml"/><Relationship Id="rId7" Type="http://schemas.openxmlformats.org/officeDocument/2006/relationships/image" Target="../media/image5.emf"/><Relationship Id="rId12" Type="http://schemas.openxmlformats.org/officeDocument/2006/relationships/oleObject" Target="../embeddings/oleObject5.bin"/><Relationship Id="rId2" Type="http://schemas.openxmlformats.org/officeDocument/2006/relationships/drawing" Target="../drawings/drawing6.xml"/><Relationship Id="rId1" Type="http://schemas.openxmlformats.org/officeDocument/2006/relationships/printerSettings" Target="../printerSettings/printerSettings19.bin"/><Relationship Id="rId6" Type="http://schemas.openxmlformats.org/officeDocument/2006/relationships/oleObject" Target="../embeddings/oleObject2.bin"/><Relationship Id="rId11" Type="http://schemas.openxmlformats.org/officeDocument/2006/relationships/image" Target="../media/image7.emf"/><Relationship Id="rId5" Type="http://schemas.openxmlformats.org/officeDocument/2006/relationships/image" Target="../media/image4.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6.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F770"/>
  <sheetViews>
    <sheetView topLeftCell="G1" zoomScale="80" zoomScaleNormal="80" zoomScaleSheetLayoutView="70" zoomScalePageLayoutView="85" workbookViewId="0">
      <selection activeCell="H459" sqref="H459"/>
    </sheetView>
  </sheetViews>
  <sheetFormatPr defaultColWidth="18.33203125" defaultRowHeight="14.4" outlineLevelCol="1" x14ac:dyDescent="0.35"/>
  <cols>
    <col min="1" max="3" width="13.6640625" style="299" hidden="1" customWidth="1" outlineLevel="1"/>
    <col min="4" max="4" width="26.33203125" style="299" hidden="1" customWidth="1" outlineLevel="1"/>
    <col min="5" max="6" width="13.6640625" style="299" hidden="1" customWidth="1" outlineLevel="1"/>
    <col min="7" max="7" width="9.6640625" style="1" customWidth="1" collapsed="1"/>
    <col min="8" max="9" width="3.33203125" style="641" customWidth="1"/>
    <col min="10" max="19" width="3.33203125" style="641" hidden="1" customWidth="1"/>
    <col min="20" max="21" width="7" style="641" customWidth="1"/>
    <col min="22" max="22" width="18.5546875" style="641" customWidth="1"/>
    <col min="23" max="23" width="16.33203125" style="641" hidden="1" customWidth="1"/>
    <col min="24" max="24" width="37.6640625" style="641" customWidth="1"/>
    <col min="25" max="25" width="18.33203125" style="641" hidden="1" customWidth="1"/>
    <col min="26" max="26" width="0.33203125" style="641" customWidth="1"/>
    <col min="27" max="27" width="17.33203125" style="757" customWidth="1"/>
    <col min="28" max="28" width="20" style="757" customWidth="1"/>
    <col min="29" max="29" width="19.6640625" style="757" hidden="1" customWidth="1"/>
    <col min="30" max="30" width="24.33203125" style="641" customWidth="1"/>
    <col min="31" max="37" width="9.33203125" style="299" hidden="1" customWidth="1"/>
    <col min="38" max="38" width="17" style="299" hidden="1" customWidth="1"/>
    <col min="39" max="39" width="17.33203125" style="299" hidden="1" customWidth="1"/>
    <col min="40" max="40" width="15.33203125" style="299" hidden="1" customWidth="1"/>
    <col min="41" max="41" width="15.6640625" style="299" hidden="1" customWidth="1"/>
    <col min="42" max="42" width="20" style="299" hidden="1" customWidth="1"/>
    <col min="43" max="43" width="9.33203125" style="299" hidden="1" customWidth="1"/>
    <col min="44" max="44" width="17.44140625" style="299" hidden="1" customWidth="1"/>
    <col min="45" max="45" width="13.6640625" style="299" hidden="1" customWidth="1"/>
    <col min="46" max="46" width="11.6640625" style="299" hidden="1" customWidth="1"/>
    <col min="47" max="48" width="9.33203125" style="299" hidden="1" customWidth="1"/>
    <col min="49" max="49" width="14.6640625" style="299" hidden="1" customWidth="1"/>
    <col min="50" max="50" width="11.6640625" style="299" hidden="1" customWidth="1"/>
    <col min="51" max="51" width="9.33203125" style="299" hidden="1" customWidth="1"/>
    <col min="52" max="52" width="10.44140625" style="299" hidden="1" customWidth="1"/>
    <col min="53" max="53" width="9.33203125" style="299" hidden="1" customWidth="1"/>
    <col min="54" max="54" width="10.44140625" style="299" hidden="1" customWidth="1"/>
    <col min="55" max="60" width="9.33203125" style="299" hidden="1" customWidth="1"/>
    <col min="61" max="162" width="9.33203125" style="1" hidden="1" customWidth="1"/>
    <col min="163" max="256" width="9.33203125" style="1" customWidth="1"/>
    <col min="257" max="262" width="0" style="1" hidden="1" customWidth="1"/>
    <col min="263" max="263" width="1.5546875" style="1" customWidth="1"/>
    <col min="264" max="266" width="7" style="1" customWidth="1"/>
    <col min="267" max="267" width="13" style="1" customWidth="1"/>
    <col min="268" max="268" width="5.5546875" style="1" customWidth="1"/>
    <col min="269" max="16384" width="18.33203125" style="1"/>
  </cols>
  <sheetData>
    <row r="1" spans="1:60" ht="233.25" customHeight="1" x14ac:dyDescent="0.25">
      <c r="G1" s="299"/>
      <c r="H1" s="1519" t="s">
        <v>1904</v>
      </c>
      <c r="I1" s="1519"/>
      <c r="J1" s="1519"/>
      <c r="K1" s="1519"/>
      <c r="L1" s="1519"/>
      <c r="M1" s="1519"/>
      <c r="N1" s="1519"/>
      <c r="O1" s="1519"/>
      <c r="P1" s="1519"/>
      <c r="Q1" s="1519"/>
      <c r="R1" s="1519"/>
      <c r="S1" s="1519"/>
      <c r="T1" s="1519"/>
      <c r="U1" s="1519"/>
      <c r="V1" s="1519"/>
      <c r="W1" s="1519"/>
      <c r="X1" s="1519"/>
      <c r="Y1" s="1519"/>
      <c r="Z1" s="1519"/>
      <c r="AA1" s="1519"/>
      <c r="AB1" s="1519"/>
      <c r="AC1" s="1519"/>
      <c r="AD1" s="1519"/>
    </row>
    <row r="2" spans="1:60" ht="105.75" customHeight="1" x14ac:dyDescent="0.25">
      <c r="A2" s="1"/>
      <c r="B2" s="1"/>
      <c r="C2" s="1"/>
      <c r="D2" s="1"/>
      <c r="E2" s="1"/>
      <c r="F2" s="1"/>
      <c r="H2" s="1520" t="s">
        <v>1498</v>
      </c>
      <c r="I2" s="1520"/>
      <c r="J2" s="1520"/>
      <c r="K2" s="1520"/>
      <c r="L2" s="1520"/>
      <c r="M2" s="1520"/>
      <c r="N2" s="1520"/>
      <c r="O2" s="1520"/>
      <c r="P2" s="1520"/>
      <c r="Q2" s="1520"/>
      <c r="R2" s="1520"/>
      <c r="S2" s="1520"/>
      <c r="T2" s="1520"/>
      <c r="U2" s="1520"/>
      <c r="V2" s="1520"/>
      <c r="W2" s="1520"/>
      <c r="X2" s="1520"/>
      <c r="Y2" s="1520"/>
      <c r="Z2" s="1520"/>
      <c r="AA2" s="1520"/>
      <c r="AB2" s="1520"/>
      <c r="AC2" s="1520"/>
      <c r="AD2" s="1520"/>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row>
    <row r="3" spans="1:60" x14ac:dyDescent="0.25">
      <c r="A3" s="1"/>
      <c r="B3" s="1"/>
      <c r="C3" s="1"/>
      <c r="D3" s="1"/>
      <c r="E3" s="1"/>
      <c r="F3" s="1"/>
      <c r="H3" s="1497" t="s">
        <v>1505</v>
      </c>
      <c r="I3" s="1497"/>
      <c r="J3" s="1497"/>
      <c r="K3" s="1497"/>
      <c r="L3" s="1497"/>
      <c r="M3" s="1497"/>
      <c r="N3" s="1497"/>
      <c r="O3" s="1497"/>
      <c r="P3" s="1497"/>
      <c r="Q3" s="1497"/>
      <c r="R3" s="1497"/>
      <c r="S3" s="1497"/>
      <c r="T3" s="1497"/>
      <c r="U3" s="1497"/>
      <c r="V3" s="1497"/>
      <c r="W3" s="1497"/>
      <c r="X3" s="1497"/>
      <c r="Y3" s="1497"/>
      <c r="Z3" s="1497"/>
      <c r="AA3" s="1497"/>
      <c r="AB3" s="1497"/>
      <c r="AC3" s="1497"/>
      <c r="AD3" s="1497"/>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row>
    <row r="4" spans="1:60" ht="70.2" customHeight="1" x14ac:dyDescent="0.35">
      <c r="A4" s="1"/>
      <c r="B4" s="1"/>
      <c r="C4" s="1"/>
      <c r="D4" s="1"/>
      <c r="E4" s="1"/>
      <c r="F4" s="1"/>
      <c r="H4" s="1500" t="s">
        <v>1508</v>
      </c>
      <c r="I4" s="1500"/>
      <c r="J4" s="1500"/>
      <c r="K4" s="1500"/>
      <c r="L4" s="1500"/>
      <c r="M4" s="1500"/>
      <c r="N4" s="1500"/>
      <c r="O4" s="1500"/>
      <c r="P4" s="1500"/>
      <c r="Q4" s="1500"/>
      <c r="R4" s="1500"/>
      <c r="S4" s="1500"/>
      <c r="T4" s="1501"/>
      <c r="U4" s="1501"/>
      <c r="V4" s="1501"/>
      <c r="W4" s="1501"/>
      <c r="X4" s="1501"/>
      <c r="Y4" s="1501"/>
      <c r="Z4" s="1501"/>
      <c r="AA4" s="1501"/>
      <c r="AB4" s="1501"/>
      <c r="AC4" s="1501"/>
      <c r="AD4" s="150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row>
    <row r="5" spans="1:60" ht="12" customHeight="1" x14ac:dyDescent="0.35">
      <c r="A5" s="1"/>
      <c r="B5" s="1"/>
      <c r="C5" s="1"/>
      <c r="D5" s="1"/>
      <c r="E5" s="1"/>
      <c r="F5" s="1"/>
      <c r="H5" s="639" t="s">
        <v>1</v>
      </c>
      <c r="I5" s="639"/>
      <c r="J5" s="639"/>
      <c r="K5" s="639"/>
      <c r="L5" s="639"/>
      <c r="M5" s="639"/>
      <c r="N5" s="639"/>
      <c r="O5" s="639"/>
      <c r="P5" s="639"/>
      <c r="Q5" s="639"/>
      <c r="R5" s="639"/>
      <c r="S5" s="639"/>
      <c r="T5" s="640"/>
      <c r="U5" s="639"/>
      <c r="V5" s="639"/>
      <c r="W5" s="639"/>
      <c r="X5" s="639"/>
      <c r="Y5" s="639"/>
      <c r="Z5" s="639"/>
      <c r="AA5" s="1526" t="s">
        <v>0</v>
      </c>
      <c r="AB5" s="1526"/>
      <c r="AC5" s="1526"/>
      <c r="AD5" s="639"/>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row>
    <row r="6" spans="1:60" ht="12" customHeight="1" x14ac:dyDescent="0.35">
      <c r="A6" s="1"/>
      <c r="B6" s="1"/>
      <c r="C6" s="1"/>
      <c r="D6" s="1"/>
      <c r="E6" s="1"/>
      <c r="F6" s="1"/>
      <c r="T6" s="1498" t="s">
        <v>1905</v>
      </c>
      <c r="U6" s="1498"/>
      <c r="V6" s="1498"/>
      <c r="W6" s="642"/>
      <c r="X6" s="642" t="s">
        <v>1438</v>
      </c>
      <c r="Y6" s="642"/>
      <c r="Z6" s="642"/>
      <c r="AA6" s="1495">
        <v>36300</v>
      </c>
      <c r="AB6" s="1495"/>
      <c r="AC6" s="1495"/>
      <c r="AD6" s="1498" t="s">
        <v>2</v>
      </c>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row>
    <row r="7" spans="1:60" ht="14.4" customHeight="1" x14ac:dyDescent="0.35">
      <c r="A7" s="1"/>
      <c r="B7" s="1"/>
      <c r="C7" s="1"/>
      <c r="D7" s="1"/>
      <c r="E7" s="1"/>
      <c r="F7" s="1"/>
      <c r="T7" s="1499"/>
      <c r="U7" s="1499"/>
      <c r="V7" s="1499"/>
      <c r="W7" s="642"/>
      <c r="X7" s="642" t="s">
        <v>1439</v>
      </c>
      <c r="Y7" s="642"/>
      <c r="Z7" s="642"/>
      <c r="AA7" s="1495">
        <v>42000</v>
      </c>
      <c r="AB7" s="1495"/>
      <c r="AC7" s="1495"/>
      <c r="AD7" s="1499"/>
      <c r="AE7" s="1"/>
      <c r="AF7" s="1" t="s">
        <v>3</v>
      </c>
      <c r="AG7" s="1"/>
      <c r="AH7" s="1" t="s">
        <v>1779</v>
      </c>
      <c r="AI7" s="1" t="s">
        <v>1778</v>
      </c>
      <c r="AJ7" s="1"/>
      <c r="AK7" s="1" t="s">
        <v>1782</v>
      </c>
      <c r="AL7" s="1" t="s">
        <v>1783</v>
      </c>
      <c r="AM7" s="1" t="s">
        <v>1784</v>
      </c>
      <c r="AN7" s="1"/>
      <c r="AO7" s="1"/>
      <c r="AP7" s="1"/>
      <c r="AQ7" s="1"/>
      <c r="AR7" s="1"/>
      <c r="AS7" s="1"/>
      <c r="AT7" s="1"/>
      <c r="AU7" s="1"/>
      <c r="AV7" s="1"/>
      <c r="AW7" s="1"/>
      <c r="AX7" s="1"/>
      <c r="AY7" s="1"/>
      <c r="AZ7" s="1"/>
      <c r="BA7" s="1"/>
      <c r="BB7" s="1"/>
      <c r="BC7" s="1"/>
      <c r="BD7" s="1"/>
      <c r="BE7" s="1"/>
      <c r="BF7" s="1"/>
      <c r="BG7" s="1"/>
      <c r="BH7" s="1"/>
    </row>
    <row r="8" spans="1:60" ht="43.2" hidden="1" customHeight="1" x14ac:dyDescent="0.35">
      <c r="A8" s="1"/>
      <c r="B8" s="1"/>
      <c r="C8" s="1"/>
      <c r="D8" s="1"/>
      <c r="E8" s="1"/>
      <c r="F8" s="1"/>
      <c r="T8" s="643"/>
      <c r="U8" s="644"/>
      <c r="V8" s="644"/>
      <c r="W8" s="644"/>
      <c r="X8" s="644"/>
      <c r="Y8" s="644"/>
      <c r="Z8" s="644"/>
      <c r="AA8" s="1521"/>
      <c r="AB8" s="1521"/>
      <c r="AC8" s="1521"/>
      <c r="AD8" s="1531" t="s">
        <v>2</v>
      </c>
      <c r="AE8" s="1"/>
      <c r="AF8" s="1" t="s">
        <v>3</v>
      </c>
      <c r="AG8" s="1"/>
      <c r="AH8" s="1">
        <v>3000</v>
      </c>
      <c r="AI8" s="1">
        <v>3000</v>
      </c>
      <c r="AJ8" s="1"/>
      <c r="AK8" s="572">
        <v>32000</v>
      </c>
      <c r="AL8" s="1">
        <v>7200</v>
      </c>
      <c r="AM8" s="572">
        <v>16000</v>
      </c>
      <c r="AN8" s="1"/>
      <c r="AO8" s="1"/>
      <c r="AP8" s="1"/>
      <c r="AQ8" s="1"/>
      <c r="AR8" s="1"/>
      <c r="AS8" s="1"/>
      <c r="AT8" s="1"/>
      <c r="AU8" s="1"/>
      <c r="AV8" s="1"/>
      <c r="AW8" s="1"/>
      <c r="AX8" s="1"/>
      <c r="AY8" s="1"/>
      <c r="AZ8" s="1"/>
      <c r="BA8" s="1"/>
      <c r="BB8" s="1"/>
      <c r="BC8" s="1"/>
      <c r="BD8" s="1"/>
      <c r="BE8" s="1"/>
      <c r="BF8" s="1"/>
      <c r="BG8" s="1"/>
      <c r="BH8" s="1"/>
    </row>
    <row r="9" spans="1:60" ht="30" customHeight="1" x14ac:dyDescent="0.35">
      <c r="A9" s="1"/>
      <c r="B9" s="1"/>
      <c r="C9" s="1"/>
      <c r="D9" s="1"/>
      <c r="E9" s="1"/>
      <c r="F9" s="1"/>
      <c r="T9" s="1522" t="s">
        <v>1863</v>
      </c>
      <c r="U9" s="1522"/>
      <c r="V9" s="1522"/>
      <c r="W9" s="1522"/>
      <c r="X9" s="1522"/>
      <c r="Y9" s="644"/>
      <c r="Z9" s="644"/>
      <c r="AA9" s="1495">
        <v>3000</v>
      </c>
      <c r="AB9" s="1495"/>
      <c r="AC9" s="1461"/>
      <c r="AD9" s="1532"/>
      <c r="AE9" s="1"/>
      <c r="AF9" s="1"/>
      <c r="AG9" s="1"/>
      <c r="AH9" s="1"/>
      <c r="AI9" s="1"/>
      <c r="AJ9" s="1"/>
      <c r="AK9" s="572"/>
      <c r="AL9" s="1"/>
      <c r="AM9" s="572"/>
      <c r="AN9" s="1"/>
      <c r="AO9" s="1"/>
      <c r="AP9" s="1"/>
      <c r="AQ9" s="1"/>
      <c r="AR9" s="1"/>
      <c r="AS9" s="1"/>
      <c r="AT9" s="1"/>
      <c r="AU9" s="1"/>
      <c r="AV9" s="1"/>
      <c r="AW9" s="1"/>
      <c r="AX9" s="1"/>
      <c r="AY9" s="1"/>
      <c r="AZ9" s="1"/>
      <c r="BA9" s="1"/>
      <c r="BB9" s="1"/>
      <c r="BC9" s="1"/>
      <c r="BD9" s="1"/>
      <c r="BE9" s="1"/>
      <c r="BF9" s="1"/>
      <c r="BG9" s="1"/>
      <c r="BH9" s="1"/>
    </row>
    <row r="10" spans="1:60" ht="16.2" x14ac:dyDescent="0.35">
      <c r="A10" s="1"/>
      <c r="B10" s="1"/>
      <c r="C10" s="1"/>
      <c r="D10" s="1"/>
      <c r="E10" s="1"/>
      <c r="F10" s="1"/>
      <c r="T10" s="645" t="s">
        <v>1906</v>
      </c>
      <c r="U10" s="643"/>
      <c r="V10" s="643"/>
      <c r="W10" s="643"/>
      <c r="X10" s="643"/>
      <c r="Y10" s="643"/>
      <c r="Z10" s="643"/>
      <c r="AA10" s="1496">
        <v>0.01</v>
      </c>
      <c r="AB10" s="1496"/>
      <c r="AC10" s="1496"/>
      <c r="AD10" s="643" t="s">
        <v>1105</v>
      </c>
      <c r="AE10" s="1"/>
      <c r="AF10" s="1" t="s">
        <v>3</v>
      </c>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row>
    <row r="11" spans="1:60" ht="14.25" customHeight="1" x14ac:dyDescent="0.35">
      <c r="A11" s="1"/>
      <c r="B11" s="1"/>
      <c r="C11" s="1"/>
      <c r="D11" s="1"/>
      <c r="E11" s="1"/>
      <c r="F11" s="1"/>
      <c r="T11" s="646" t="s">
        <v>998</v>
      </c>
      <c r="U11" s="647"/>
      <c r="V11" s="647"/>
      <c r="W11" s="647"/>
      <c r="X11" s="647"/>
      <c r="Y11" s="647"/>
      <c r="Z11" s="647"/>
      <c r="AA11" s="1529">
        <v>0</v>
      </c>
      <c r="AB11" s="1529"/>
      <c r="AC11" s="1529"/>
      <c r="AD11" s="647"/>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row>
    <row r="12" spans="1:60" ht="16.2" x14ac:dyDescent="0.35">
      <c r="A12" s="1"/>
      <c r="B12" s="1"/>
      <c r="C12" s="1"/>
      <c r="D12" s="1"/>
      <c r="E12" s="1"/>
      <c r="F12" s="1"/>
      <c r="T12" s="645" t="s">
        <v>1907</v>
      </c>
      <c r="U12" s="643"/>
      <c r="V12" s="643"/>
      <c r="W12" s="643"/>
      <c r="X12" s="643"/>
      <c r="Y12" s="643"/>
      <c r="Z12" s="643"/>
      <c r="AA12" s="1495">
        <v>19000</v>
      </c>
      <c r="AB12" s="1495"/>
      <c r="AC12" s="1495"/>
      <c r="AD12" s="648" t="s">
        <v>2</v>
      </c>
      <c r="AE12" s="1"/>
      <c r="AF12" s="1" t="s">
        <v>3</v>
      </c>
      <c r="AG12" s="1"/>
      <c r="AH12" s="1"/>
      <c r="AI12" s="1"/>
      <c r="AJ12" s="1"/>
      <c r="AK12" s="1" t="s">
        <v>997</v>
      </c>
      <c r="AL12" s="1"/>
      <c r="AM12" s="1"/>
      <c r="AN12" s="1"/>
      <c r="AO12" s="1"/>
      <c r="AP12" s="1"/>
      <c r="AQ12" s="1"/>
      <c r="AR12" s="1"/>
      <c r="AS12" s="1"/>
      <c r="AT12" s="1"/>
      <c r="AU12" s="1"/>
      <c r="AV12" s="1"/>
      <c r="AW12" s="1"/>
      <c r="AX12" s="1"/>
      <c r="AY12" s="1"/>
      <c r="AZ12" s="1"/>
      <c r="BA12" s="1"/>
      <c r="BB12" s="1"/>
      <c r="BC12" s="1"/>
      <c r="BD12" s="1"/>
      <c r="BE12" s="1"/>
      <c r="BF12" s="1"/>
      <c r="BG12" s="1"/>
      <c r="BH12" s="1"/>
    </row>
    <row r="13" spans="1:60" x14ac:dyDescent="0.35">
      <c r="A13" s="1"/>
      <c r="B13" s="1"/>
      <c r="C13" s="1"/>
      <c r="D13" s="1"/>
      <c r="E13" s="1"/>
      <c r="F13" s="1"/>
      <c r="T13" s="643" t="s">
        <v>992</v>
      </c>
      <c r="U13" s="643"/>
      <c r="V13" s="643"/>
      <c r="W13" s="643"/>
      <c r="X13" s="643"/>
      <c r="Y13" s="643"/>
      <c r="Z13" s="643"/>
      <c r="AA13" s="1521" t="s">
        <v>4</v>
      </c>
      <c r="AB13" s="1521"/>
      <c r="AC13" s="1521"/>
      <c r="AD13" s="648"/>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row>
    <row r="14" spans="1:60" ht="16.2" x14ac:dyDescent="0.35">
      <c r="A14" s="1"/>
      <c r="B14" s="1"/>
      <c r="C14" s="1"/>
      <c r="D14" s="1"/>
      <c r="E14" s="1"/>
      <c r="F14" s="1"/>
      <c r="T14" s="643" t="s">
        <v>1908</v>
      </c>
      <c r="U14" s="643"/>
      <c r="V14" s="643"/>
      <c r="W14" s="643"/>
      <c r="X14" s="643"/>
      <c r="Y14" s="643"/>
      <c r="Z14" s="643"/>
      <c r="AA14" s="1495">
        <v>12600</v>
      </c>
      <c r="AB14" s="1495"/>
      <c r="AC14" s="1495"/>
      <c r="AD14" s="648" t="s">
        <v>2</v>
      </c>
      <c r="AE14" s="1"/>
      <c r="AF14" s="1" t="s">
        <v>3</v>
      </c>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row>
    <row r="15" spans="1:60" x14ac:dyDescent="0.35">
      <c r="A15" s="1"/>
      <c r="B15" s="1"/>
      <c r="C15" s="1"/>
      <c r="D15" s="1"/>
      <c r="E15" s="1"/>
      <c r="F15" s="1"/>
      <c r="H15" s="640" t="s">
        <v>1137</v>
      </c>
      <c r="I15" s="640"/>
      <c r="J15" s="640"/>
      <c r="K15" s="640"/>
      <c r="L15" s="640"/>
      <c r="M15" s="640"/>
      <c r="N15" s="640"/>
      <c r="O15" s="640"/>
      <c r="P15" s="640"/>
      <c r="Q15" s="640"/>
      <c r="R15" s="640"/>
      <c r="S15" s="640"/>
      <c r="T15" s="639"/>
      <c r="U15" s="639"/>
      <c r="V15" s="639"/>
      <c r="W15" s="639"/>
      <c r="X15" s="639"/>
      <c r="Y15" s="639"/>
      <c r="Z15" s="639"/>
      <c r="AA15" s="649"/>
      <c r="AB15" s="649"/>
      <c r="AC15" s="649"/>
      <c r="AD15" s="650"/>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row>
    <row r="16" spans="1:60" x14ac:dyDescent="0.35">
      <c r="A16" s="1"/>
      <c r="B16" s="1"/>
      <c r="C16" s="1"/>
      <c r="D16" s="1"/>
      <c r="E16" s="1"/>
      <c r="F16" s="1"/>
      <c r="T16" s="651" t="s">
        <v>5</v>
      </c>
      <c r="U16" s="642"/>
      <c r="V16" s="642"/>
      <c r="W16" s="642"/>
      <c r="X16" s="642"/>
      <c r="Y16" s="642"/>
      <c r="Z16" s="642"/>
      <c r="AA16" s="1504">
        <v>500</v>
      </c>
      <c r="AB16" s="1504"/>
      <c r="AC16" s="1504"/>
      <c r="AD16" s="642"/>
      <c r="AE16" s="1"/>
      <c r="AF16" s="1" t="s">
        <v>6</v>
      </c>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row>
    <row r="17" spans="8:46" s="1" customFormat="1" x14ac:dyDescent="0.35">
      <c r="H17" s="641"/>
      <c r="I17" s="641"/>
      <c r="J17" s="641"/>
      <c r="K17" s="641"/>
      <c r="L17" s="641"/>
      <c r="M17" s="641"/>
      <c r="N17" s="641"/>
      <c r="O17" s="641"/>
      <c r="P17" s="641"/>
      <c r="Q17" s="641"/>
      <c r="R17" s="641"/>
      <c r="S17" s="641"/>
      <c r="T17" s="645" t="s">
        <v>7</v>
      </c>
      <c r="U17" s="643"/>
      <c r="V17" s="643"/>
      <c r="W17" s="643"/>
      <c r="X17" s="643"/>
      <c r="Y17" s="643"/>
      <c r="Z17" s="643"/>
      <c r="AA17" s="1504">
        <v>5000</v>
      </c>
      <c r="AB17" s="1504"/>
      <c r="AC17" s="1504"/>
      <c r="AD17" s="643"/>
      <c r="AF17" s="1" t="s">
        <v>6</v>
      </c>
    </row>
    <row r="18" spans="8:46" s="1" customFormat="1" ht="16.2" x14ac:dyDescent="0.35">
      <c r="H18" s="641"/>
      <c r="I18" s="641"/>
      <c r="J18" s="641"/>
      <c r="K18" s="641"/>
      <c r="L18" s="641"/>
      <c r="M18" s="641"/>
      <c r="N18" s="641"/>
      <c r="O18" s="641"/>
      <c r="P18" s="641"/>
      <c r="Q18" s="641"/>
      <c r="R18" s="641"/>
      <c r="S18" s="641"/>
      <c r="T18" s="642" t="s">
        <v>1909</v>
      </c>
      <c r="U18" s="642"/>
      <c r="V18" s="642"/>
      <c r="W18" s="642"/>
      <c r="X18" s="642"/>
      <c r="Y18" s="642"/>
      <c r="Z18" s="642"/>
      <c r="AA18" s="1504">
        <v>10000</v>
      </c>
      <c r="AB18" s="1504"/>
      <c r="AC18" s="1504"/>
      <c r="AD18" s="642"/>
      <c r="AF18" s="1" t="s">
        <v>3</v>
      </c>
    </row>
    <row r="19" spans="8:46" s="1" customFormat="1" ht="27.75" customHeight="1" x14ac:dyDescent="0.35">
      <c r="H19" s="641"/>
      <c r="I19" s="641"/>
      <c r="J19" s="641"/>
      <c r="K19" s="641"/>
      <c r="L19" s="641"/>
      <c r="M19" s="641"/>
      <c r="N19" s="641"/>
      <c r="O19" s="641"/>
      <c r="P19" s="641"/>
      <c r="Q19" s="641"/>
      <c r="R19" s="641"/>
      <c r="S19" s="641"/>
      <c r="T19" s="1524" t="str">
        <f>"Késedelmi kamat(6)
THMmax="&amp;TEXT(E41+24%,"0,00%")</f>
        <v>Késedelmi kamat(6)
THMmax=37,00%</v>
      </c>
      <c r="U19" s="1525"/>
      <c r="V19" s="1525"/>
      <c r="W19" s="652"/>
      <c r="X19" s="652"/>
      <c r="Y19" s="652"/>
      <c r="Z19" s="652"/>
      <c r="AA19" s="1535" t="str">
        <f>"ügyleti kamat*1,5+3%., de legfeljebb "&amp;TEXT(E41+24%,"0,00%")</f>
        <v>ügyleti kamat*1,5+3%., de legfeljebb 37,00%</v>
      </c>
      <c r="AB19" s="1535"/>
      <c r="AC19" s="1535"/>
      <c r="AD19" s="652"/>
      <c r="AF19" s="1" t="s">
        <v>6</v>
      </c>
    </row>
    <row r="20" spans="8:46" s="1" customFormat="1" ht="25.5" customHeight="1" x14ac:dyDescent="0.35">
      <c r="H20" s="640" t="s">
        <v>8</v>
      </c>
      <c r="I20" s="640"/>
      <c r="J20" s="640"/>
      <c r="K20" s="640"/>
      <c r="L20" s="640"/>
      <c r="M20" s="640"/>
      <c r="N20" s="640"/>
      <c r="O20" s="640"/>
      <c r="P20" s="640"/>
      <c r="Q20" s="640"/>
      <c r="R20" s="640"/>
      <c r="S20" s="640"/>
      <c r="T20" s="653"/>
      <c r="U20" s="639"/>
      <c r="V20" s="639"/>
      <c r="W20" s="639"/>
      <c r="X20" s="639"/>
      <c r="Y20" s="639"/>
      <c r="Z20" s="639"/>
      <c r="AA20" s="654"/>
      <c r="AB20" s="654"/>
      <c r="AC20" s="654"/>
      <c r="AD20" s="639"/>
    </row>
    <row r="21" spans="8:46" s="1" customFormat="1" ht="16.2" x14ac:dyDescent="0.35">
      <c r="H21" s="641"/>
      <c r="I21" s="641"/>
      <c r="J21" s="641"/>
      <c r="K21" s="641"/>
      <c r="L21" s="641"/>
      <c r="M21" s="641"/>
      <c r="N21" s="641"/>
      <c r="O21" s="641"/>
      <c r="P21" s="641"/>
      <c r="Q21" s="641"/>
      <c r="R21" s="641"/>
      <c r="S21" s="641"/>
      <c r="T21" s="643" t="s">
        <v>1910</v>
      </c>
      <c r="U21" s="643"/>
      <c r="V21" s="643"/>
      <c r="W21" s="643"/>
      <c r="X21" s="643"/>
      <c r="Y21" s="643"/>
      <c r="Z21" s="643"/>
      <c r="AA21" s="1504">
        <v>10000</v>
      </c>
      <c r="AB21" s="1504"/>
      <c r="AC21" s="1504"/>
      <c r="AD21" s="643"/>
      <c r="AF21" s="1" t="s">
        <v>3</v>
      </c>
      <c r="AN21" s="3"/>
    </row>
    <row r="22" spans="8:46" s="1" customFormat="1" ht="16.95" customHeight="1" x14ac:dyDescent="0.35">
      <c r="H22" s="641"/>
      <c r="I22" s="641"/>
      <c r="J22" s="641"/>
      <c r="K22" s="641"/>
      <c r="L22" s="641"/>
      <c r="M22" s="641"/>
      <c r="N22" s="641"/>
      <c r="O22" s="641"/>
      <c r="P22" s="641"/>
      <c r="Q22" s="641"/>
      <c r="R22" s="641"/>
      <c r="S22" s="641"/>
      <c r="T22" s="1522" t="s">
        <v>1911</v>
      </c>
      <c r="U22" s="1522"/>
      <c r="V22" s="1522"/>
      <c r="W22" s="1522"/>
      <c r="X22" s="1522"/>
      <c r="Y22" s="1522"/>
      <c r="Z22" s="1522"/>
      <c r="AA22" s="1495">
        <v>35000</v>
      </c>
      <c r="AB22" s="1496"/>
      <c r="AC22" s="1496"/>
      <c r="AD22" s="1521" t="s">
        <v>9</v>
      </c>
      <c r="AF22" s="1" t="s">
        <v>3</v>
      </c>
    </row>
    <row r="23" spans="8:46" s="1" customFormat="1" ht="50.4" customHeight="1" x14ac:dyDescent="0.35">
      <c r="H23" s="641"/>
      <c r="I23" s="641"/>
      <c r="J23" s="641"/>
      <c r="K23" s="641"/>
      <c r="L23" s="641"/>
      <c r="M23" s="641"/>
      <c r="N23" s="641"/>
      <c r="O23" s="641"/>
      <c r="P23" s="641"/>
      <c r="Q23" s="641"/>
      <c r="R23" s="641"/>
      <c r="S23" s="641"/>
      <c r="T23" s="1522" t="s">
        <v>1912</v>
      </c>
      <c r="U23" s="1522"/>
      <c r="V23" s="1522"/>
      <c r="W23" s="1522"/>
      <c r="X23" s="1522"/>
      <c r="Y23" s="1522"/>
      <c r="Z23" s="1522"/>
      <c r="AA23" s="1527" t="s">
        <v>1407</v>
      </c>
      <c r="AB23" s="1527"/>
      <c r="AC23" s="1527"/>
      <c r="AD23" s="1521"/>
      <c r="AF23" s="1" t="s">
        <v>3</v>
      </c>
      <c r="AL23" s="1" t="s">
        <v>10</v>
      </c>
      <c r="AN23" s="1">
        <v>12000000</v>
      </c>
      <c r="AP23" s="1" t="s">
        <v>11</v>
      </c>
      <c r="AR23" s="1">
        <v>0</v>
      </c>
      <c r="AT23" s="1" t="s">
        <v>1821</v>
      </c>
    </row>
    <row r="24" spans="8:46" s="1" customFormat="1" ht="64.5" customHeight="1" x14ac:dyDescent="0.35">
      <c r="H24" s="641"/>
      <c r="I24" s="641"/>
      <c r="J24" s="641"/>
      <c r="K24" s="641"/>
      <c r="L24" s="641"/>
      <c r="M24" s="641"/>
      <c r="N24" s="641"/>
      <c r="O24" s="641"/>
      <c r="P24" s="641"/>
      <c r="Q24" s="641"/>
      <c r="R24" s="641"/>
      <c r="S24" s="641"/>
      <c r="T24" s="1523" t="s">
        <v>1913</v>
      </c>
      <c r="U24" s="1523"/>
      <c r="V24" s="1523"/>
      <c r="W24" s="1523"/>
      <c r="X24" s="1523"/>
      <c r="Y24" s="1523"/>
      <c r="Z24" s="1523"/>
      <c r="AA24" s="1528"/>
      <c r="AB24" s="1528"/>
      <c r="AC24" s="1528"/>
      <c r="AD24" s="1521"/>
      <c r="AF24" s="1" t="s">
        <v>3</v>
      </c>
      <c r="AL24" s="1" t="s">
        <v>12</v>
      </c>
      <c r="AN24" s="1">
        <v>240</v>
      </c>
      <c r="AP24" s="1" t="s">
        <v>13</v>
      </c>
      <c r="AR24" s="1">
        <f>folyjut*AN23</f>
        <v>120000</v>
      </c>
    </row>
    <row r="25" spans="8:46" s="1" customFormat="1" ht="12.75" customHeight="1" x14ac:dyDescent="0.35">
      <c r="H25" s="640" t="s">
        <v>14</v>
      </c>
      <c r="I25" s="640"/>
      <c r="J25" s="640"/>
      <c r="K25" s="640"/>
      <c r="L25" s="640"/>
      <c r="M25" s="640"/>
      <c r="N25" s="640"/>
      <c r="O25" s="640"/>
      <c r="P25" s="640"/>
      <c r="Q25" s="640"/>
      <c r="R25" s="640"/>
      <c r="S25" s="640"/>
      <c r="T25" s="655"/>
      <c r="U25" s="655"/>
      <c r="V25" s="655"/>
      <c r="W25" s="655"/>
      <c r="X25" s="655"/>
      <c r="Y25" s="655"/>
      <c r="Z25" s="655"/>
      <c r="AA25" s="656"/>
      <c r="AB25" s="656"/>
      <c r="AC25" s="656"/>
      <c r="AD25" s="657"/>
      <c r="AL25" s="1" t="s">
        <v>1856</v>
      </c>
      <c r="AN25" s="605">
        <f>SUM(AR222:AR462)</f>
        <v>4048149.0721143493</v>
      </c>
    </row>
    <row r="26" spans="8:46" s="1" customFormat="1" x14ac:dyDescent="0.35">
      <c r="H26" s="641"/>
      <c r="I26" s="641"/>
      <c r="J26" s="641"/>
      <c r="K26" s="641"/>
      <c r="L26" s="641"/>
      <c r="M26" s="641"/>
      <c r="N26" s="641"/>
      <c r="O26" s="641"/>
      <c r="P26" s="641"/>
      <c r="Q26" s="641"/>
      <c r="R26" s="641"/>
      <c r="S26" s="641"/>
      <c r="T26" s="651" t="s">
        <v>15</v>
      </c>
      <c r="U26" s="642"/>
      <c r="V26" s="642"/>
      <c r="W26" s="642"/>
      <c r="X26" s="642"/>
      <c r="Y26" s="642"/>
      <c r="Z26" s="642"/>
      <c r="AA26" s="1504">
        <v>250</v>
      </c>
      <c r="AB26" s="1504"/>
      <c r="AC26" s="1504"/>
      <c r="AD26" s="1460" t="s">
        <v>16</v>
      </c>
      <c r="AL26" s="1" t="s">
        <v>1857</v>
      </c>
      <c r="AN26" s="605">
        <f>AN23+AN25</f>
        <v>16048149.072114348</v>
      </c>
    </row>
    <row r="27" spans="8:46" s="1" customFormat="1" x14ac:dyDescent="0.35">
      <c r="H27" s="641"/>
      <c r="I27" s="641"/>
      <c r="J27" s="641"/>
      <c r="K27" s="641"/>
      <c r="L27" s="641"/>
      <c r="M27" s="641"/>
      <c r="N27" s="641"/>
      <c r="O27" s="641"/>
      <c r="P27" s="641"/>
      <c r="Q27" s="641"/>
      <c r="R27" s="641"/>
      <c r="S27" s="641"/>
      <c r="T27" s="651" t="s">
        <v>17</v>
      </c>
      <c r="U27" s="642"/>
      <c r="V27" s="642"/>
      <c r="W27" s="642"/>
      <c r="X27" s="642"/>
      <c r="Y27" s="642"/>
      <c r="Z27" s="642"/>
      <c r="AA27" s="1504" t="s">
        <v>18</v>
      </c>
      <c r="AB27" s="1504"/>
      <c r="AC27" s="1504"/>
      <c r="AD27" s="642"/>
      <c r="AL27" s="1" t="s">
        <v>28</v>
      </c>
      <c r="AN27" s="577">
        <f>POWER(IRR(AR222:AR462,0.001)+1,12)-1</f>
        <v>3.0992772469999208E-2</v>
      </c>
    </row>
    <row r="28" spans="8:46" s="1" customFormat="1" ht="15" customHeight="1" x14ac:dyDescent="0.35">
      <c r="H28" s="641"/>
      <c r="I28" s="641"/>
      <c r="J28" s="641"/>
      <c r="K28" s="641"/>
      <c r="L28" s="641"/>
      <c r="M28" s="641"/>
      <c r="N28" s="641"/>
      <c r="O28" s="641"/>
      <c r="P28" s="641"/>
      <c r="Q28" s="641"/>
      <c r="R28" s="641"/>
      <c r="S28" s="641"/>
      <c r="T28" s="1533" t="s">
        <v>1914</v>
      </c>
      <c r="U28" s="1533"/>
      <c r="V28" s="1533"/>
      <c r="W28" s="642"/>
      <c r="X28" s="642" t="s">
        <v>1438</v>
      </c>
      <c r="Y28" s="642"/>
      <c r="Z28" s="642"/>
      <c r="AA28" s="1504">
        <v>12700</v>
      </c>
      <c r="AB28" s="1504"/>
      <c r="AC28" s="1504"/>
      <c r="AD28" s="1502" t="s">
        <v>2</v>
      </c>
      <c r="AL28" s="1" t="s">
        <v>1858</v>
      </c>
      <c r="AN28" s="605">
        <f>SUM(BB222:BB462)</f>
        <v>4343697.5635048924</v>
      </c>
    </row>
    <row r="29" spans="8:46" s="1" customFormat="1" x14ac:dyDescent="0.35">
      <c r="H29" s="641"/>
      <c r="I29" s="641"/>
      <c r="J29" s="641"/>
      <c r="K29" s="641"/>
      <c r="L29" s="641"/>
      <c r="M29" s="641"/>
      <c r="N29" s="641"/>
      <c r="O29" s="641"/>
      <c r="P29" s="641"/>
      <c r="Q29" s="641"/>
      <c r="R29" s="641"/>
      <c r="S29" s="641"/>
      <c r="T29" s="1534"/>
      <c r="U29" s="1534"/>
      <c r="V29" s="1534"/>
      <c r="W29" s="642"/>
      <c r="X29" s="642" t="s">
        <v>1439</v>
      </c>
      <c r="Y29" s="642"/>
      <c r="Z29" s="642"/>
      <c r="AA29" s="1504">
        <v>29400</v>
      </c>
      <c r="AB29" s="1504"/>
      <c r="AC29" s="1504"/>
      <c r="AD29" s="1503"/>
      <c r="AL29" s="1" t="s">
        <v>1859</v>
      </c>
      <c r="AN29" s="605">
        <f>AN23+AN28</f>
        <v>16343697.563504893</v>
      </c>
    </row>
    <row r="30" spans="8:46" s="1" customFormat="1" x14ac:dyDescent="0.35">
      <c r="H30" s="641"/>
      <c r="I30" s="641"/>
      <c r="J30" s="641"/>
      <c r="K30" s="641"/>
      <c r="L30" s="641"/>
      <c r="M30" s="641"/>
      <c r="N30" s="641"/>
      <c r="O30" s="641"/>
      <c r="P30" s="641"/>
      <c r="Q30" s="641"/>
      <c r="R30" s="641"/>
      <c r="S30" s="641"/>
      <c r="T30" s="651" t="s">
        <v>19</v>
      </c>
      <c r="U30" s="642"/>
      <c r="V30" s="642"/>
      <c r="W30" s="642"/>
      <c r="X30" s="642"/>
      <c r="Y30" s="642"/>
      <c r="Z30" s="642"/>
      <c r="AA30" s="1504">
        <v>5000</v>
      </c>
      <c r="AB30" s="1504"/>
      <c r="AC30" s="1504"/>
      <c r="AD30" s="642"/>
      <c r="AF30" s="1" t="s">
        <v>3</v>
      </c>
      <c r="AL30" s="1" t="s">
        <v>1860</v>
      </c>
      <c r="AN30" s="577">
        <f>POWER(IRR(BB222:BB462,0.001)+1,12)-1</f>
        <v>3.098282452709844E-2</v>
      </c>
    </row>
    <row r="31" spans="8:46" s="1" customFormat="1" ht="16.2" x14ac:dyDescent="0.35">
      <c r="H31" s="641"/>
      <c r="I31" s="641"/>
      <c r="J31" s="641"/>
      <c r="K31" s="641"/>
      <c r="L31" s="641"/>
      <c r="M31" s="641"/>
      <c r="N31" s="641"/>
      <c r="O31" s="641"/>
      <c r="P31" s="641"/>
      <c r="Q31" s="641"/>
      <c r="R31" s="641"/>
      <c r="S31" s="641"/>
      <c r="T31" s="651" t="s">
        <v>1915</v>
      </c>
      <c r="U31" s="642"/>
      <c r="V31" s="642"/>
      <c r="W31" s="642"/>
      <c r="X31" s="642"/>
      <c r="Y31" s="642"/>
      <c r="Z31" s="642"/>
      <c r="AA31" s="1504">
        <v>6600</v>
      </c>
      <c r="AB31" s="1504"/>
      <c r="AC31" s="1504"/>
      <c r="AD31" s="1459" t="s">
        <v>2</v>
      </c>
      <c r="AF31" s="1" t="s">
        <v>3</v>
      </c>
    </row>
    <row r="32" spans="8:46" s="1" customFormat="1" ht="7.5" customHeight="1" x14ac:dyDescent="0.35">
      <c r="H32" s="641"/>
      <c r="I32" s="641"/>
      <c r="J32" s="641"/>
      <c r="K32" s="641"/>
      <c r="L32" s="641"/>
      <c r="M32" s="641"/>
      <c r="N32" s="641"/>
      <c r="O32" s="641"/>
      <c r="P32" s="641"/>
      <c r="Q32" s="641"/>
      <c r="R32" s="641"/>
      <c r="S32" s="641"/>
      <c r="T32" s="1541"/>
      <c r="U32" s="1541"/>
      <c r="V32" s="1541"/>
      <c r="W32" s="1541"/>
      <c r="X32" s="1541"/>
      <c r="Y32" s="658"/>
      <c r="Z32" s="658"/>
      <c r="AA32" s="1542"/>
      <c r="AB32" s="1543"/>
      <c r="AC32" s="659"/>
      <c r="AD32" s="658"/>
      <c r="AL32" s="1" t="s">
        <v>20</v>
      </c>
      <c r="AN32" s="3">
        <f>+AA44</f>
        <v>0.03</v>
      </c>
      <c r="AP32" s="1" t="s">
        <v>21</v>
      </c>
      <c r="AR32" s="1">
        <f>fedezetertekelesidij</f>
        <v>42000</v>
      </c>
    </row>
    <row r="33" spans="1:60" x14ac:dyDescent="0.35">
      <c r="A33" s="1"/>
      <c r="B33" s="1"/>
      <c r="C33" s="1"/>
      <c r="D33" s="1"/>
      <c r="E33" s="1"/>
      <c r="F33" s="1"/>
      <c r="H33" s="645" t="s">
        <v>22</v>
      </c>
      <c r="I33" s="645"/>
      <c r="J33" s="645"/>
      <c r="K33" s="645"/>
      <c r="L33" s="645"/>
      <c r="M33" s="645"/>
      <c r="N33" s="645"/>
      <c r="O33" s="645"/>
      <c r="P33" s="645"/>
      <c r="Q33" s="645"/>
      <c r="R33" s="645"/>
      <c r="S33" s="645"/>
      <c r="T33" s="660"/>
      <c r="U33" s="643"/>
      <c r="V33" s="643"/>
      <c r="W33" s="643"/>
      <c r="X33" s="643"/>
      <c r="Y33" s="643"/>
      <c r="Z33" s="643"/>
      <c r="AA33" s="1504" t="s">
        <v>1247</v>
      </c>
      <c r="AB33" s="1504"/>
      <c r="AC33" s="1504"/>
      <c r="AD33" s="643"/>
      <c r="AE33" s="1"/>
      <c r="AF33" s="1"/>
      <c r="AG33" s="1"/>
      <c r="AH33" s="1"/>
      <c r="AI33" s="1"/>
      <c r="AJ33" s="1"/>
      <c r="AK33" s="1"/>
      <c r="AL33" s="1"/>
      <c r="AM33" s="1"/>
      <c r="AN33" s="1"/>
      <c r="AO33" s="1"/>
      <c r="AP33" s="1" t="s">
        <v>23</v>
      </c>
      <c r="AQ33" s="1"/>
      <c r="AR33" s="1">
        <f>tullapktg</f>
        <v>3000</v>
      </c>
      <c r="AS33" s="1"/>
      <c r="AT33" s="1"/>
      <c r="AU33" s="1"/>
      <c r="AV33" s="1"/>
      <c r="AW33" s="1"/>
      <c r="AX33" s="1"/>
      <c r="AY33" s="1"/>
      <c r="AZ33" s="1"/>
      <c r="BA33" s="1"/>
      <c r="BB33" s="1"/>
      <c r="BC33" s="1"/>
      <c r="BD33" s="1"/>
      <c r="BE33" s="1"/>
      <c r="BF33" s="1"/>
      <c r="BG33" s="1"/>
      <c r="BH33" s="1"/>
    </row>
    <row r="34" spans="1:60" x14ac:dyDescent="0.35">
      <c r="A34" s="1"/>
      <c r="B34" s="1"/>
      <c r="C34" s="1"/>
      <c r="D34" s="1"/>
      <c r="E34" s="1"/>
      <c r="F34" s="1"/>
      <c r="H34" s="645" t="s">
        <v>24</v>
      </c>
      <c r="I34" s="645"/>
      <c r="J34" s="645"/>
      <c r="K34" s="645"/>
      <c r="L34" s="645"/>
      <c r="M34" s="645"/>
      <c r="N34" s="645"/>
      <c r="O34" s="645"/>
      <c r="P34" s="645"/>
      <c r="Q34" s="645"/>
      <c r="R34" s="645"/>
      <c r="S34" s="645"/>
      <c r="T34" s="660"/>
      <c r="U34" s="643"/>
      <c r="V34" s="643"/>
      <c r="W34" s="643"/>
      <c r="X34" s="643"/>
      <c r="Y34" s="643"/>
      <c r="Z34" s="643"/>
      <c r="AA34" s="1504" t="s">
        <v>25</v>
      </c>
      <c r="AB34" s="1504"/>
      <c r="AC34" s="1504"/>
      <c r="AD34" s="643"/>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row>
    <row r="35" spans="1:60" x14ac:dyDescent="0.35">
      <c r="A35" s="1"/>
      <c r="B35" s="1"/>
      <c r="C35" s="1"/>
      <c r="D35" s="1"/>
      <c r="E35" s="1"/>
      <c r="F35" s="1"/>
      <c r="H35" s="661" t="s">
        <v>1845</v>
      </c>
      <c r="I35" s="661"/>
      <c r="J35" s="661"/>
      <c r="K35" s="661"/>
      <c r="L35" s="661"/>
      <c r="M35" s="661"/>
      <c r="N35" s="661"/>
      <c r="O35" s="661"/>
      <c r="P35" s="661"/>
      <c r="Q35" s="661"/>
      <c r="R35" s="661"/>
      <c r="S35" s="661"/>
      <c r="T35" s="660"/>
      <c r="U35" s="643"/>
      <c r="V35" s="643"/>
      <c r="W35" s="643"/>
      <c r="X35" s="643"/>
      <c r="Y35" s="643"/>
      <c r="Z35" s="643"/>
      <c r="AA35" s="1504" t="s">
        <v>1846</v>
      </c>
      <c r="AB35" s="1504"/>
      <c r="AC35" s="662"/>
      <c r="AD35" s="663"/>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row>
    <row r="36" spans="1:60" x14ac:dyDescent="0.35">
      <c r="A36" s="1"/>
      <c r="B36" s="1"/>
      <c r="C36" s="1"/>
      <c r="D36" s="1"/>
      <c r="E36" s="1"/>
      <c r="F36" s="1"/>
      <c r="H36" s="664" t="s">
        <v>1346</v>
      </c>
      <c r="I36" s="664"/>
      <c r="J36" s="664"/>
      <c r="K36" s="664"/>
      <c r="L36" s="664"/>
      <c r="M36" s="664"/>
      <c r="N36" s="664"/>
      <c r="O36" s="664"/>
      <c r="P36" s="664"/>
      <c r="Q36" s="664"/>
      <c r="R36" s="664"/>
      <c r="S36" s="664"/>
      <c r="T36" s="655"/>
      <c r="U36" s="655"/>
      <c r="V36" s="655"/>
      <c r="W36" s="655"/>
      <c r="X36" s="655"/>
      <c r="Y36" s="655"/>
      <c r="Z36" s="655"/>
      <c r="AA36" s="656"/>
      <c r="AB36" s="656"/>
      <c r="AC36" s="656"/>
      <c r="AD36" s="657"/>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row>
    <row r="37" spans="1:60" ht="16.2" x14ac:dyDescent="0.25">
      <c r="A37" s="1"/>
      <c r="B37" s="1"/>
      <c r="C37" s="1"/>
      <c r="D37" s="1"/>
      <c r="E37" s="1" t="s">
        <v>1411</v>
      </c>
      <c r="F37" s="1"/>
      <c r="H37" s="661"/>
      <c r="I37" s="661"/>
      <c r="J37" s="661"/>
      <c r="K37" s="661"/>
      <c r="L37" s="661"/>
      <c r="M37" s="661"/>
      <c r="N37" s="661"/>
      <c r="O37" s="661"/>
      <c r="P37" s="661"/>
      <c r="Q37" s="661"/>
      <c r="R37" s="661"/>
      <c r="S37" s="661"/>
      <c r="T37" s="665" t="s">
        <v>1916</v>
      </c>
      <c r="U37" s="666"/>
      <c r="V37" s="666"/>
      <c r="W37" s="666"/>
      <c r="X37" s="666"/>
      <c r="Y37" s="666"/>
      <c r="Z37" s="666"/>
      <c r="AA37" s="1496">
        <v>1.4999999999999999E-2</v>
      </c>
      <c r="AB37" s="1496"/>
      <c r="AC37" s="667"/>
      <c r="AD37" s="666" t="s">
        <v>1347</v>
      </c>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row>
    <row r="38" spans="1:60" ht="40.5" customHeight="1" x14ac:dyDescent="0.35">
      <c r="A38" s="1"/>
      <c r="B38" s="1"/>
      <c r="C38" s="1"/>
      <c r="D38" s="1" t="s">
        <v>1342</v>
      </c>
      <c r="E38" s="573">
        <v>45199</v>
      </c>
      <c r="F38" s="1"/>
      <c r="H38" s="668"/>
      <c r="I38" s="668"/>
      <c r="J38" s="668"/>
      <c r="K38" s="668"/>
      <c r="L38" s="668"/>
      <c r="M38" s="668"/>
      <c r="N38" s="668"/>
      <c r="O38" s="668"/>
      <c r="P38" s="668"/>
      <c r="Q38" s="668"/>
      <c r="R38" s="668"/>
      <c r="S38" s="668"/>
      <c r="T38" s="668"/>
      <c r="U38" s="668"/>
      <c r="V38" s="668"/>
      <c r="W38" s="668"/>
      <c r="X38" s="668"/>
      <c r="Y38" s="668"/>
      <c r="Z38" s="668"/>
      <c r="AA38" s="1536"/>
      <c r="AB38" s="1536"/>
      <c r="AC38" s="1536"/>
      <c r="AD38" s="668"/>
      <c r="AE38" s="1"/>
      <c r="AF38" s="1"/>
      <c r="AG38" s="1"/>
      <c r="AH38" s="1"/>
      <c r="AI38" s="1"/>
      <c r="AJ38" s="1"/>
      <c r="AK38" s="1"/>
      <c r="AL38" s="1"/>
      <c r="AM38" s="1"/>
      <c r="AN38" s="1"/>
      <c r="AO38" s="1"/>
      <c r="AP38" s="1" t="s">
        <v>26</v>
      </c>
      <c r="AQ38" s="1"/>
      <c r="AR38" s="1">
        <f>fedezetbejegyzesidij</f>
        <v>12600</v>
      </c>
      <c r="AS38" s="1"/>
      <c r="AT38" s="1"/>
      <c r="AU38" s="1"/>
      <c r="AV38" s="1"/>
      <c r="AW38" s="1"/>
      <c r="AX38" s="1"/>
      <c r="AY38" s="1"/>
      <c r="AZ38" s="1"/>
      <c r="BA38" s="1"/>
      <c r="BB38" s="1"/>
      <c r="BC38" s="1"/>
      <c r="BD38" s="1"/>
      <c r="BE38" s="1"/>
      <c r="BF38" s="1"/>
      <c r="BG38" s="1"/>
      <c r="BH38" s="1"/>
    </row>
    <row r="39" spans="1:60" s="382" customFormat="1" ht="18" customHeight="1" x14ac:dyDescent="0.35">
      <c r="D39" s="382" t="s">
        <v>1246</v>
      </c>
      <c r="E39" s="574">
        <v>0.08</v>
      </c>
      <c r="F39" s="382" t="s">
        <v>1413</v>
      </c>
      <c r="H39" s="1506"/>
      <c r="I39" s="1506"/>
      <c r="J39" s="1506"/>
      <c r="K39" s="1506"/>
      <c r="L39" s="1506"/>
      <c r="M39" s="1506"/>
      <c r="N39" s="1506"/>
      <c r="O39" s="1506"/>
      <c r="P39" s="1506"/>
      <c r="Q39" s="1506"/>
      <c r="R39" s="1506"/>
      <c r="S39" s="1506"/>
      <c r="T39" s="1506"/>
      <c r="U39" s="1506"/>
      <c r="V39" s="1506"/>
      <c r="W39" s="1506"/>
      <c r="X39" s="1506"/>
      <c r="Y39" s="1506"/>
      <c r="Z39" s="1506"/>
      <c r="AA39" s="1506"/>
      <c r="AB39" s="1506"/>
      <c r="AC39" s="1506"/>
      <c r="AD39" s="1506"/>
    </row>
    <row r="40" spans="1:60" ht="14.25" customHeight="1" x14ac:dyDescent="0.25">
      <c r="A40" s="1"/>
      <c r="B40" s="1"/>
      <c r="C40" s="1"/>
      <c r="D40" s="1" t="s">
        <v>1244</v>
      </c>
      <c r="E40" s="3">
        <f>+E39*130%+3%</f>
        <v>0.13400000000000001</v>
      </c>
      <c r="F40" s="573">
        <v>45199</v>
      </c>
      <c r="H40" s="1507"/>
      <c r="I40" s="1507"/>
      <c r="J40" s="1507"/>
      <c r="K40" s="1507"/>
      <c r="L40" s="1507"/>
      <c r="M40" s="1507"/>
      <c r="N40" s="1507"/>
      <c r="O40" s="1507"/>
      <c r="P40" s="1507"/>
      <c r="Q40" s="1507"/>
      <c r="R40" s="1507"/>
      <c r="S40" s="1507"/>
      <c r="T40" s="1507"/>
      <c r="U40" s="1507"/>
      <c r="V40" s="1507"/>
      <c r="W40" s="1507"/>
      <c r="X40" s="1507"/>
      <c r="Y40" s="1507"/>
      <c r="Z40" s="1507"/>
      <c r="AA40" s="1507"/>
      <c r="AB40" s="1507"/>
      <c r="AC40" s="1507"/>
      <c r="AD40" s="1507"/>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row>
    <row r="41" spans="1:60" ht="18.75" customHeight="1" x14ac:dyDescent="0.35">
      <c r="A41" s="1"/>
      <c r="B41" s="1"/>
      <c r="C41" s="1"/>
      <c r="D41" s="613" t="s">
        <v>1886</v>
      </c>
      <c r="E41" s="614">
        <v>0.13</v>
      </c>
      <c r="F41" s="1"/>
      <c r="G41" s="2"/>
      <c r="H41" s="1544" t="s">
        <v>1496</v>
      </c>
      <c r="I41" s="1544"/>
      <c r="J41" s="1544"/>
      <c r="K41" s="1544"/>
      <c r="L41" s="1544"/>
      <c r="M41" s="1544"/>
      <c r="N41" s="1544"/>
      <c r="O41" s="1544"/>
      <c r="P41" s="1544"/>
      <c r="Q41" s="1544"/>
      <c r="R41" s="1544"/>
      <c r="S41" s="1544"/>
      <c r="T41" s="1544"/>
      <c r="U41" s="1544"/>
      <c r="V41" s="1544"/>
      <c r="W41" s="1544"/>
      <c r="X41" s="1544"/>
      <c r="Y41" s="1508" t="s">
        <v>27</v>
      </c>
      <c r="Z41" s="1508"/>
      <c r="AA41" s="1509" t="s">
        <v>27</v>
      </c>
      <c r="AB41" s="1509" t="s">
        <v>1917</v>
      </c>
      <c r="AC41" s="669"/>
      <c r="AD41" s="1511" t="s">
        <v>28</v>
      </c>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row>
    <row r="42" spans="1:60" ht="15" customHeight="1" x14ac:dyDescent="0.25">
      <c r="A42" s="1"/>
      <c r="B42" s="1"/>
      <c r="C42" s="1"/>
      <c r="D42" s="1" t="s">
        <v>29</v>
      </c>
      <c r="E42" s="3">
        <v>0</v>
      </c>
      <c r="F42" s="1"/>
      <c r="G42" s="2"/>
      <c r="H42" s="1545"/>
      <c r="I42" s="1545"/>
      <c r="J42" s="1545"/>
      <c r="K42" s="1545"/>
      <c r="L42" s="1545"/>
      <c r="M42" s="1545"/>
      <c r="N42" s="1545"/>
      <c r="O42" s="1545"/>
      <c r="P42" s="1545"/>
      <c r="Q42" s="1545"/>
      <c r="R42" s="1545"/>
      <c r="S42" s="1545"/>
      <c r="T42" s="1545"/>
      <c r="U42" s="1545"/>
      <c r="V42" s="1545"/>
      <c r="W42" s="1545"/>
      <c r="X42" s="1545"/>
      <c r="Y42" s="670" t="s">
        <v>1918</v>
      </c>
      <c r="Z42" s="671" t="s">
        <v>1919</v>
      </c>
      <c r="AA42" s="1510"/>
      <c r="AB42" s="1510"/>
      <c r="AC42" s="672" t="s">
        <v>1920</v>
      </c>
      <c r="AD42" s="1512"/>
      <c r="AE42" s="1"/>
      <c r="AF42" s="1"/>
      <c r="AG42" s="1"/>
      <c r="AH42" s="1"/>
      <c r="AI42" s="1"/>
      <c r="AJ42" s="1"/>
      <c r="AK42" s="1"/>
      <c r="AU42" s="1"/>
      <c r="AV42" s="1"/>
      <c r="AW42" s="1"/>
      <c r="AX42" s="1"/>
      <c r="AY42" s="1"/>
      <c r="AZ42" s="1"/>
      <c r="BA42" s="1"/>
      <c r="BB42" s="1"/>
      <c r="BC42" s="1"/>
      <c r="BD42" s="1"/>
      <c r="BE42" s="1"/>
      <c r="BF42" s="1"/>
      <c r="BG42" s="1"/>
      <c r="BH42" s="1"/>
    </row>
    <row r="43" spans="1:60" ht="7.5" customHeight="1" x14ac:dyDescent="0.35">
      <c r="A43" s="1"/>
      <c r="B43" s="1"/>
      <c r="C43" s="1"/>
      <c r="D43" s="1"/>
      <c r="E43" s="1"/>
      <c r="F43" s="1"/>
      <c r="T43" s="1541"/>
      <c r="U43" s="1541"/>
      <c r="V43" s="1541"/>
      <c r="W43" s="1541"/>
      <c r="X43" s="1541"/>
      <c r="Y43" s="1541"/>
      <c r="Z43" s="1541"/>
      <c r="AA43" s="1541"/>
      <c r="AB43" s="1541"/>
      <c r="AC43" s="1541"/>
      <c r="AD43" s="1541"/>
      <c r="AE43" s="1"/>
      <c r="AF43" s="1"/>
      <c r="AG43" s="1"/>
      <c r="AH43" s="1"/>
      <c r="AI43" s="557">
        <f>((IRR(AR222:AR462,0.01)+1)^12)-1</f>
        <v>3.0992772470001873E-2</v>
      </c>
      <c r="AJ43" s="557">
        <f>((IRR(AT222:AT462,0.01)+1)^12)-1</f>
        <v>3.0992772470001873E-2</v>
      </c>
      <c r="AK43" s="557">
        <f>((IRR(AS222:AS462,0.01)+1)^12)-1</f>
        <v>3.1393941678828918E-2</v>
      </c>
      <c r="AU43" s="1"/>
      <c r="AV43" s="1"/>
      <c r="AW43" s="1"/>
      <c r="AX43" s="1"/>
      <c r="AY43" s="1"/>
      <c r="AZ43" s="1"/>
      <c r="BA43" s="1"/>
      <c r="BB43" s="1"/>
      <c r="BC43" s="1"/>
      <c r="BD43" s="1"/>
      <c r="BE43" s="1"/>
      <c r="BF43" s="1"/>
      <c r="BG43" s="1"/>
      <c r="BH43" s="1"/>
    </row>
    <row r="44" spans="1:60" ht="15" x14ac:dyDescent="0.35">
      <c r="A44" s="1" t="s">
        <v>38</v>
      </c>
      <c r="B44" s="1" t="s">
        <v>44</v>
      </c>
      <c r="C44" s="577">
        <v>0.03</v>
      </c>
      <c r="D44" s="1" t="s">
        <v>39</v>
      </c>
      <c r="E44" s="3">
        <f t="shared" ref="E44:E46" si="0">aktualisbubor</f>
        <v>0</v>
      </c>
      <c r="F44" s="1"/>
      <c r="T44" s="673" t="s">
        <v>1348</v>
      </c>
      <c r="U44" s="673"/>
      <c r="V44" s="674"/>
      <c r="W44" s="675">
        <v>7.3999999999999996E-2</v>
      </c>
      <c r="X44" s="675"/>
      <c r="Y44" s="676" t="str">
        <f t="shared" ref="Y44:Y47" si="1">+D44</f>
        <v>3 havi BUBOR +</v>
      </c>
      <c r="Z44" s="677">
        <f>+C44</f>
        <v>0.03</v>
      </c>
      <c r="AA44" s="678">
        <f>+C44+E44</f>
        <v>0.03</v>
      </c>
      <c r="AB44" s="679">
        <f>+AJ44</f>
        <v>3.0992772470001873E-2</v>
      </c>
      <c r="AC44" s="679">
        <f>+AK44</f>
        <v>3.1393941678828918E-2</v>
      </c>
      <c r="AD44" s="679">
        <f>AI44</f>
        <v>3.0992772470001873E-2</v>
      </c>
      <c r="AE44" s="557"/>
      <c r="AF44" s="3"/>
      <c r="AG44" s="1"/>
      <c r="AH44" s="3">
        <f>+AA44</f>
        <v>0.03</v>
      </c>
      <c r="AI44" s="3">
        <f t="dataTable" ref="AI44:AK114" dt2D="0" dtr="0" r1="AN32"/>
        <v>3.0992772470001873E-2</v>
      </c>
      <c r="AJ44" s="3">
        <v>3.0992772470001873E-2</v>
      </c>
      <c r="AK44" s="3">
        <v>3.1393941678828918E-2</v>
      </c>
      <c r="AU44" s="1"/>
      <c r="AV44" s="1"/>
      <c r="AW44" s="1"/>
      <c r="AX44" s="1"/>
      <c r="AY44" s="1"/>
      <c r="AZ44" s="1"/>
      <c r="BA44" s="1"/>
      <c r="BB44" s="1"/>
      <c r="BC44" s="1"/>
      <c r="BD44" s="1"/>
      <c r="BE44" s="1"/>
      <c r="BF44" s="1"/>
      <c r="BG44" s="1"/>
      <c r="BH44" s="1"/>
    </row>
    <row r="45" spans="1:60" ht="39" hidden="1" customHeight="1" x14ac:dyDescent="0.35">
      <c r="A45" s="1" t="s">
        <v>38</v>
      </c>
      <c r="B45" s="1" t="s">
        <v>41</v>
      </c>
      <c r="C45" s="577">
        <v>0.03</v>
      </c>
      <c r="D45" s="3" t="str">
        <f>+D44</f>
        <v>3 havi BUBOR +</v>
      </c>
      <c r="E45" s="3">
        <f t="shared" si="0"/>
        <v>0</v>
      </c>
      <c r="F45" s="1"/>
      <c r="T45" s="1514" t="str">
        <f>+A45&amp;", "&amp;B44&amp;" ügyletminősítés és legalább 20 000 000 Ft szerződött kölcsönösszeg esetén*"</f>
        <v>Prémium 1, L1 ügyletminősítés és legalább 20 000 000 Ft szerződött kölcsönösszeg esetén*</v>
      </c>
      <c r="U45" s="1514"/>
      <c r="V45" s="1515"/>
      <c r="W45" s="660"/>
      <c r="X45" s="660"/>
      <c r="Y45" s="680" t="str">
        <f t="shared" si="1"/>
        <v>3 havi BUBOR +</v>
      </c>
      <c r="Z45" s="681">
        <v>0.03</v>
      </c>
      <c r="AA45" s="682">
        <f>+aktualisbubor+Z45</f>
        <v>0.03</v>
      </c>
      <c r="AB45" s="679">
        <f t="shared" ref="AB45" si="2">+AJ45</f>
        <v>3.0992772470001873E-2</v>
      </c>
      <c r="AC45" s="679">
        <f t="shared" ref="AC45:AC47" si="3">+AK45</f>
        <v>3.1393941678828918E-2</v>
      </c>
      <c r="AD45" s="679">
        <f t="shared" ref="AD45" si="4">AI45</f>
        <v>3.0992772470001873E-2</v>
      </c>
      <c r="AE45" s="557"/>
      <c r="AF45" s="3"/>
      <c r="AG45" s="1"/>
      <c r="AH45" s="3">
        <f t="shared" ref="AH45:AH108" si="5">+AA45</f>
        <v>0.03</v>
      </c>
      <c r="AI45" s="3">
        <v>3.0992772470001873E-2</v>
      </c>
      <c r="AJ45" s="3">
        <v>3.0992772470001873E-2</v>
      </c>
      <c r="AK45" s="3">
        <v>3.1393941678828918E-2</v>
      </c>
      <c r="AU45" s="1"/>
      <c r="AV45" s="1"/>
      <c r="AW45" s="1"/>
      <c r="AX45" s="1"/>
      <c r="AY45" s="1"/>
      <c r="AZ45" s="1"/>
      <c r="BA45" s="1"/>
      <c r="BB45" s="1"/>
      <c r="BC45" s="1"/>
      <c r="BD45" s="1"/>
      <c r="BE45" s="1"/>
      <c r="BF45" s="1"/>
      <c r="BG45" s="1"/>
      <c r="BH45" s="1"/>
    </row>
    <row r="46" spans="1:60" ht="16.2" x14ac:dyDescent="0.35">
      <c r="A46" s="1" t="s">
        <v>40</v>
      </c>
      <c r="B46" s="1" t="s">
        <v>42</v>
      </c>
      <c r="C46" s="577">
        <v>0.03</v>
      </c>
      <c r="D46" s="3" t="str">
        <f t="shared" ref="D46" si="6">+D45</f>
        <v>3 havi BUBOR +</v>
      </c>
      <c r="E46" s="3">
        <f t="shared" si="0"/>
        <v>0</v>
      </c>
      <c r="F46" s="1"/>
      <c r="T46" s="673" t="s">
        <v>1921</v>
      </c>
      <c r="U46" s="673"/>
      <c r="V46" s="674"/>
      <c r="W46" s="660"/>
      <c r="X46" s="660"/>
      <c r="Y46" s="676" t="str">
        <f t="shared" si="1"/>
        <v>3 havi BUBOR +</v>
      </c>
      <c r="Z46" s="683">
        <f>+C45</f>
        <v>0.03</v>
      </c>
      <c r="AA46" s="722">
        <f>+E40</f>
        <v>0.13400000000000001</v>
      </c>
      <c r="AB46" s="1424">
        <f>+AJ46</f>
        <v>0.14489675614077413</v>
      </c>
      <c r="AC46" s="1424">
        <f t="shared" si="3"/>
        <v>0.14556756115778358</v>
      </c>
      <c r="AD46" s="1424">
        <f>AI46</f>
        <v>0.14489675614077413</v>
      </c>
      <c r="AE46" s="557"/>
      <c r="AF46" s="3"/>
      <c r="AG46" s="1"/>
      <c r="AH46" s="3">
        <f t="shared" si="5"/>
        <v>0.13400000000000001</v>
      </c>
      <c r="AI46" s="3">
        <v>0.14489675614077413</v>
      </c>
      <c r="AJ46" s="3">
        <v>0.14489675614077413</v>
      </c>
      <c r="AK46" s="3">
        <v>0.14556756115778358</v>
      </c>
      <c r="AU46" s="1"/>
      <c r="AV46" s="1"/>
      <c r="AW46" s="1"/>
      <c r="AX46" s="1"/>
      <c r="AY46" s="1"/>
      <c r="AZ46" s="1"/>
      <c r="BA46" s="1"/>
      <c r="BB46" s="1"/>
      <c r="BC46" s="1"/>
      <c r="BD46" s="1"/>
      <c r="BE46" s="1"/>
      <c r="BF46" s="1"/>
      <c r="BG46" s="1"/>
      <c r="BH46" s="1"/>
    </row>
    <row r="47" spans="1:60" ht="15" customHeight="1" x14ac:dyDescent="0.35">
      <c r="A47" s="1"/>
      <c r="B47" s="1"/>
      <c r="C47" s="577"/>
      <c r="D47" s="3"/>
      <c r="E47" s="3"/>
      <c r="F47" s="1"/>
      <c r="T47" s="1513"/>
      <c r="U47" s="1513"/>
      <c r="V47" s="1513"/>
      <c r="W47" s="684">
        <v>7.3999999999999996E-2</v>
      </c>
      <c r="X47" s="684"/>
      <c r="Y47" s="685">
        <f t="shared" si="1"/>
        <v>0</v>
      </c>
      <c r="Z47" s="686">
        <v>2.3E-2</v>
      </c>
      <c r="AA47" s="687"/>
      <c r="AB47" s="688"/>
      <c r="AC47" s="688">
        <f t="shared" si="3"/>
        <v>4.7965586966047802E-4</v>
      </c>
      <c r="AD47" s="688"/>
      <c r="AE47" s="557"/>
      <c r="AF47" s="3"/>
      <c r="AG47" s="1"/>
      <c r="AH47" s="3">
        <f t="shared" si="5"/>
        <v>0</v>
      </c>
      <c r="AI47" s="3">
        <v>1.2958106339411302E-4</v>
      </c>
      <c r="AJ47" s="3">
        <v>1.2958106339411302E-4</v>
      </c>
      <c r="AK47" s="3">
        <v>4.7965586966047802E-4</v>
      </c>
      <c r="AU47" s="1"/>
      <c r="AV47" s="1"/>
      <c r="AW47" s="1"/>
      <c r="AX47" s="1"/>
      <c r="AY47" s="1"/>
      <c r="AZ47" s="1"/>
      <c r="BA47" s="1"/>
      <c r="BB47" s="1"/>
      <c r="BC47" s="1"/>
      <c r="BD47" s="1"/>
      <c r="BE47" s="1"/>
      <c r="BF47" s="1"/>
      <c r="BG47" s="1"/>
      <c r="BH47" s="1"/>
    </row>
    <row r="48" spans="1:60" ht="33.75" customHeight="1" x14ac:dyDescent="0.25">
      <c r="A48" s="1"/>
      <c r="B48" s="1"/>
      <c r="C48" s="577"/>
      <c r="D48" s="3"/>
      <c r="E48" s="3"/>
      <c r="F48" s="1"/>
      <c r="H48" s="1537" t="s">
        <v>1497</v>
      </c>
      <c r="I48" s="1537"/>
      <c r="J48" s="1537"/>
      <c r="K48" s="1537"/>
      <c r="L48" s="1537"/>
      <c r="M48" s="1537"/>
      <c r="N48" s="1537"/>
      <c r="O48" s="1537"/>
      <c r="P48" s="1537"/>
      <c r="Q48" s="1537"/>
      <c r="R48" s="1537"/>
      <c r="S48" s="1537"/>
      <c r="T48" s="1537"/>
      <c r="U48" s="1537"/>
      <c r="V48" s="1537"/>
      <c r="W48" s="1537"/>
      <c r="X48" s="1537"/>
      <c r="Y48" s="1537"/>
      <c r="Z48" s="1537"/>
      <c r="AA48" s="1537"/>
      <c r="AB48" s="1537"/>
      <c r="AC48" s="1537"/>
      <c r="AD48" s="1537"/>
      <c r="AE48" s="557"/>
      <c r="AF48" s="3"/>
      <c r="AG48" s="1"/>
      <c r="AH48" s="3" t="e">
        <f>+#REF!</f>
        <v>#REF!</v>
      </c>
      <c r="AI48" s="3" t="e">
        <v>#VALUE!</v>
      </c>
      <c r="AJ48" s="3" t="e">
        <v>#VALUE!</v>
      </c>
      <c r="AK48" s="3" t="e">
        <v>#VALUE!</v>
      </c>
      <c r="AU48" s="1"/>
      <c r="AV48" s="1"/>
      <c r="AW48" s="1"/>
      <c r="AX48" s="1"/>
      <c r="AY48" s="1"/>
      <c r="AZ48" s="1"/>
      <c r="BA48" s="1"/>
      <c r="BB48" s="1"/>
      <c r="BC48" s="1"/>
      <c r="BD48" s="1"/>
      <c r="BE48" s="1"/>
      <c r="BF48" s="1"/>
      <c r="BG48" s="1"/>
      <c r="BH48" s="1"/>
    </row>
    <row r="49" spans="1:60" ht="7.5" customHeight="1" x14ac:dyDescent="0.35">
      <c r="A49" s="1"/>
      <c r="B49" s="1"/>
      <c r="C49" s="577"/>
      <c r="D49" s="3"/>
      <c r="E49" s="3"/>
      <c r="F49" s="1"/>
      <c r="T49" s="1538"/>
      <c r="U49" s="1538"/>
      <c r="V49" s="1538"/>
      <c r="W49" s="1538"/>
      <c r="X49" s="1538"/>
      <c r="Y49" s="680"/>
      <c r="Z49" s="689"/>
      <c r="AA49" s="690"/>
      <c r="AB49" s="690"/>
      <c r="AC49" s="691"/>
      <c r="AD49" s="690"/>
      <c r="AE49" s="557"/>
      <c r="AF49" s="3"/>
      <c r="AG49" s="1"/>
      <c r="AH49" s="3">
        <f>+AA48</f>
        <v>0</v>
      </c>
      <c r="AI49" s="3">
        <v>1.2958106339411302E-4</v>
      </c>
      <c r="AJ49" s="3">
        <v>1.2958106339411302E-4</v>
      </c>
      <c r="AK49" s="3">
        <v>4.7965586966047802E-4</v>
      </c>
      <c r="AU49" s="1"/>
      <c r="AV49" s="1"/>
      <c r="AW49" s="1"/>
      <c r="AX49" s="1"/>
      <c r="AY49" s="1"/>
      <c r="AZ49" s="1"/>
      <c r="BA49" s="1"/>
      <c r="BB49" s="1"/>
      <c r="BC49" s="1"/>
      <c r="BD49" s="1"/>
      <c r="BE49" s="1"/>
      <c r="BF49" s="1"/>
      <c r="BG49" s="1"/>
      <c r="BH49" s="1"/>
    </row>
    <row r="50" spans="1:60" ht="45.6" customHeight="1" x14ac:dyDescent="0.35">
      <c r="A50" s="1"/>
      <c r="B50" s="1"/>
      <c r="C50" s="577"/>
      <c r="D50" s="3"/>
      <c r="E50" s="3"/>
      <c r="F50" s="1"/>
      <c r="T50" s="1539" t="s">
        <v>1495</v>
      </c>
      <c r="U50" s="1540"/>
      <c r="V50" s="1540"/>
      <c r="W50" s="1540"/>
      <c r="X50" s="1540"/>
      <c r="Y50" s="676"/>
      <c r="Z50" s="683"/>
      <c r="AA50" s="692" t="s">
        <v>1348</v>
      </c>
      <c r="AB50" s="692" t="s">
        <v>1921</v>
      </c>
      <c r="AC50" s="693"/>
      <c r="AD50" s="692" t="s">
        <v>1246</v>
      </c>
      <c r="AE50" s="557"/>
      <c r="AF50" s="3"/>
      <c r="AG50" s="1"/>
      <c r="AH50" s="3">
        <f t="shared" ref="AH50:AH62" si="7">+AA51</f>
        <v>0.03</v>
      </c>
      <c r="AI50" s="3">
        <v>3.0992772470001873E-2</v>
      </c>
      <c r="AJ50" s="3">
        <v>3.0992772470001873E-2</v>
      </c>
      <c r="AK50" s="3">
        <v>3.1393941678828918E-2</v>
      </c>
      <c r="AU50" s="1"/>
      <c r="AV50" s="1"/>
      <c r="AW50" s="1"/>
      <c r="AX50" s="1"/>
      <c r="AY50" s="1"/>
      <c r="AZ50" s="1"/>
      <c r="BA50" s="1"/>
      <c r="BB50" s="1"/>
      <c r="BC50" s="1"/>
      <c r="BD50" s="1"/>
      <c r="BE50" s="1"/>
      <c r="BF50" s="1"/>
      <c r="BG50" s="1"/>
      <c r="BH50" s="1"/>
    </row>
    <row r="51" spans="1:60" ht="15" x14ac:dyDescent="0.35">
      <c r="A51" s="1"/>
      <c r="B51" s="1"/>
      <c r="C51" s="577"/>
      <c r="D51" s="3"/>
      <c r="E51" s="3"/>
      <c r="F51" s="1"/>
      <c r="T51" s="1480" t="s">
        <v>1481</v>
      </c>
      <c r="U51" s="1469"/>
      <c r="V51" s="1469"/>
      <c r="W51" s="1469"/>
      <c r="X51" s="1469"/>
      <c r="Y51" s="676"/>
      <c r="Z51" s="683"/>
      <c r="AA51" s="694">
        <v>0.03</v>
      </c>
      <c r="AB51" s="694">
        <v>4.8599999999999997E-2</v>
      </c>
      <c r="AC51" s="694"/>
      <c r="AD51" s="694">
        <v>1.43E-2</v>
      </c>
      <c r="AE51" s="557"/>
      <c r="AF51" s="3"/>
      <c r="AG51" s="1"/>
      <c r="AH51" s="3">
        <f t="shared" si="7"/>
        <v>0.03</v>
      </c>
      <c r="AI51" s="3">
        <v>3.0992772470001873E-2</v>
      </c>
      <c r="AJ51" s="3">
        <v>3.0992772470001873E-2</v>
      </c>
      <c r="AK51" s="3">
        <v>3.1393941678828918E-2</v>
      </c>
      <c r="AU51" s="1"/>
      <c r="AV51" s="1"/>
      <c r="AW51" s="1"/>
      <c r="AX51" s="1"/>
      <c r="AY51" s="1"/>
      <c r="AZ51" s="1"/>
      <c r="BA51" s="1"/>
      <c r="BB51" s="1"/>
      <c r="BC51" s="1"/>
      <c r="BD51" s="1"/>
      <c r="BE51" s="1"/>
      <c r="BF51" s="1"/>
      <c r="BG51" s="1"/>
      <c r="BH51" s="1"/>
    </row>
    <row r="52" spans="1:60" ht="15" x14ac:dyDescent="0.35">
      <c r="A52" s="1"/>
      <c r="B52" s="1"/>
      <c r="C52" s="577"/>
      <c r="D52" s="3"/>
      <c r="E52" s="3"/>
      <c r="F52" s="1"/>
      <c r="T52" s="1480" t="s">
        <v>1482</v>
      </c>
      <c r="U52" s="1469"/>
      <c r="V52" s="1469"/>
      <c r="W52" s="1469"/>
      <c r="X52" s="1469"/>
      <c r="Y52" s="676"/>
      <c r="Z52" s="683"/>
      <c r="AA52" s="694">
        <v>0.03</v>
      </c>
      <c r="AB52" s="694">
        <v>4.5499999999999999E-2</v>
      </c>
      <c r="AC52" s="694"/>
      <c r="AD52" s="694">
        <v>1.1900000000000001E-2</v>
      </c>
      <c r="AE52" s="557"/>
      <c r="AF52" s="3"/>
      <c r="AG52" s="1"/>
      <c r="AH52" s="3">
        <f t="shared" si="7"/>
        <v>0.03</v>
      </c>
      <c r="AI52" s="3">
        <v>3.0992772470001873E-2</v>
      </c>
      <c r="AJ52" s="3">
        <v>3.0992772470001873E-2</v>
      </c>
      <c r="AK52" s="3">
        <v>3.1393941678828918E-2</v>
      </c>
      <c r="AU52" s="1"/>
      <c r="AV52" s="1"/>
      <c r="AW52" s="1"/>
      <c r="AX52" s="1"/>
      <c r="AY52" s="1"/>
      <c r="AZ52" s="1"/>
      <c r="BA52" s="1"/>
      <c r="BB52" s="1"/>
      <c r="BC52" s="1"/>
      <c r="BD52" s="1"/>
      <c r="BE52" s="1"/>
      <c r="BF52" s="1"/>
      <c r="BG52" s="1"/>
      <c r="BH52" s="1"/>
    </row>
    <row r="53" spans="1:60" ht="15" x14ac:dyDescent="0.35">
      <c r="A53" s="1"/>
      <c r="B53" s="1"/>
      <c r="C53" s="577"/>
      <c r="D53" s="3"/>
      <c r="E53" s="3"/>
      <c r="F53" s="1"/>
      <c r="T53" s="1480" t="s">
        <v>1483</v>
      </c>
      <c r="U53" s="1469"/>
      <c r="V53" s="1469"/>
      <c r="W53" s="1469"/>
      <c r="X53" s="1469"/>
      <c r="Y53" s="676"/>
      <c r="Z53" s="683"/>
      <c r="AA53" s="694">
        <v>0.03</v>
      </c>
      <c r="AB53" s="694">
        <v>4.4600000000000001E-2</v>
      </c>
      <c r="AC53" s="694"/>
      <c r="AD53" s="694">
        <v>1.12E-2</v>
      </c>
      <c r="AE53" s="557"/>
      <c r="AF53" s="3"/>
      <c r="AG53" s="1"/>
      <c r="AH53" s="3">
        <f t="shared" si="7"/>
        <v>0.03</v>
      </c>
      <c r="AI53" s="3">
        <v>3.0992772470001873E-2</v>
      </c>
      <c r="AJ53" s="3">
        <v>3.0992772470001873E-2</v>
      </c>
      <c r="AK53" s="3">
        <v>3.1393941678828918E-2</v>
      </c>
      <c r="AU53" s="1"/>
      <c r="AV53" s="1"/>
      <c r="AW53" s="1"/>
      <c r="AX53" s="1"/>
      <c r="AY53" s="1"/>
      <c r="AZ53" s="1"/>
      <c r="BA53" s="1"/>
      <c r="BB53" s="1"/>
      <c r="BC53" s="1"/>
      <c r="BD53" s="1"/>
      <c r="BE53" s="1"/>
      <c r="BF53" s="1"/>
      <c r="BG53" s="1"/>
      <c r="BH53" s="1"/>
    </row>
    <row r="54" spans="1:60" ht="15" x14ac:dyDescent="0.35">
      <c r="A54" s="1"/>
      <c r="B54" s="1"/>
      <c r="C54" s="577"/>
      <c r="D54" s="3"/>
      <c r="E54" s="3"/>
      <c r="F54" s="1"/>
      <c r="T54" s="1480" t="s">
        <v>1484</v>
      </c>
      <c r="U54" s="1469"/>
      <c r="V54" s="1469"/>
      <c r="W54" s="1469"/>
      <c r="X54" s="1469"/>
      <c r="AA54" s="694">
        <v>0.03</v>
      </c>
      <c r="AB54" s="694">
        <v>4.3700000000000003E-2</v>
      </c>
      <c r="AC54" s="694"/>
      <c r="AD54" s="694">
        <v>1.0500000000000001E-2</v>
      </c>
      <c r="AE54" s="557"/>
      <c r="AF54" s="3"/>
      <c r="AG54" s="1"/>
      <c r="AH54" s="3">
        <f t="shared" si="7"/>
        <v>0.03</v>
      </c>
      <c r="AI54" s="3">
        <v>3.0992772470001873E-2</v>
      </c>
      <c r="AJ54" s="3">
        <v>3.0992772470001873E-2</v>
      </c>
      <c r="AK54" s="3">
        <v>3.1393941678828918E-2</v>
      </c>
      <c r="AU54" s="1"/>
      <c r="AV54" s="1"/>
      <c r="AW54" s="1"/>
      <c r="AX54" s="1"/>
      <c r="AY54" s="1"/>
      <c r="AZ54" s="1"/>
      <c r="BA54" s="1"/>
      <c r="BB54" s="1"/>
      <c r="BC54" s="1"/>
      <c r="BD54" s="1"/>
      <c r="BE54" s="1"/>
      <c r="BF54" s="1"/>
      <c r="BG54" s="1"/>
      <c r="BH54" s="1"/>
    </row>
    <row r="55" spans="1:60" ht="15" x14ac:dyDescent="0.35">
      <c r="A55" s="1"/>
      <c r="B55" s="1"/>
      <c r="C55" s="577"/>
      <c r="D55" s="3"/>
      <c r="E55" s="3"/>
      <c r="F55" s="1"/>
      <c r="T55" s="1480" t="s">
        <v>1485</v>
      </c>
      <c r="U55" s="1469"/>
      <c r="V55" s="1469"/>
      <c r="W55" s="1469"/>
      <c r="X55" s="1469"/>
      <c r="Y55" s="676"/>
      <c r="Z55" s="683"/>
      <c r="AA55" s="694">
        <v>0.03</v>
      </c>
      <c r="AB55" s="694">
        <v>4.5600000000000002E-2</v>
      </c>
      <c r="AC55" s="694"/>
      <c r="AD55" s="694">
        <v>1.2E-2</v>
      </c>
      <c r="AE55" s="557"/>
      <c r="AF55" s="3"/>
      <c r="AG55" s="1"/>
      <c r="AH55" s="3">
        <f t="shared" si="7"/>
        <v>0.03</v>
      </c>
      <c r="AI55" s="3">
        <v>3.0992772470001873E-2</v>
      </c>
      <c r="AJ55" s="3">
        <v>3.0992772470001873E-2</v>
      </c>
      <c r="AK55" s="3">
        <v>3.1393941678828918E-2</v>
      </c>
      <c r="AU55" s="1"/>
      <c r="AV55" s="1"/>
      <c r="AW55" s="1"/>
      <c r="AX55" s="1"/>
      <c r="AY55" s="1"/>
      <c r="AZ55" s="1"/>
      <c r="BA55" s="1"/>
      <c r="BB55" s="1"/>
      <c r="BC55" s="1"/>
      <c r="BD55" s="1"/>
      <c r="BE55" s="1"/>
      <c r="BF55" s="1"/>
      <c r="BG55" s="1"/>
      <c r="BH55" s="1"/>
    </row>
    <row r="56" spans="1:60" s="5" customFormat="1" ht="15" x14ac:dyDescent="0.35">
      <c r="A56" s="1"/>
      <c r="B56" s="1"/>
      <c r="C56" s="577"/>
      <c r="D56" s="3"/>
      <c r="E56" s="3"/>
      <c r="H56" s="695"/>
      <c r="I56" s="695"/>
      <c r="J56" s="695"/>
      <c r="K56" s="695"/>
      <c r="L56" s="695"/>
      <c r="M56" s="695"/>
      <c r="N56" s="695"/>
      <c r="O56" s="695"/>
      <c r="P56" s="695"/>
      <c r="Q56" s="695"/>
      <c r="R56" s="695"/>
      <c r="S56" s="695"/>
      <c r="T56" s="1480" t="s">
        <v>1486</v>
      </c>
      <c r="U56" s="1469"/>
      <c r="V56" s="1469"/>
      <c r="W56" s="1469"/>
      <c r="X56" s="1469"/>
      <c r="Y56" s="676"/>
      <c r="Z56" s="683"/>
      <c r="AA56" s="694">
        <v>0.03</v>
      </c>
      <c r="AB56" s="694">
        <v>4.6800000000000001E-2</v>
      </c>
      <c r="AC56" s="694"/>
      <c r="AD56" s="694">
        <v>1.29E-2</v>
      </c>
      <c r="AE56" s="557"/>
      <c r="AF56" s="3"/>
      <c r="AH56" s="3">
        <f t="shared" si="7"/>
        <v>0.03</v>
      </c>
      <c r="AI56" s="3">
        <v>3.0992772470001873E-2</v>
      </c>
      <c r="AJ56" s="3">
        <v>3.0992772470001873E-2</v>
      </c>
      <c r="AK56" s="3">
        <v>3.1393941678828918E-2</v>
      </c>
    </row>
    <row r="57" spans="1:60" s="5" customFormat="1" ht="15" x14ac:dyDescent="0.35">
      <c r="A57" s="1"/>
      <c r="B57" s="1"/>
      <c r="C57" s="577"/>
      <c r="D57" s="3"/>
      <c r="E57" s="3"/>
      <c r="H57" s="695"/>
      <c r="I57" s="695"/>
      <c r="J57" s="695"/>
      <c r="K57" s="695"/>
      <c r="L57" s="695"/>
      <c r="M57" s="695"/>
      <c r="N57" s="695"/>
      <c r="O57" s="695"/>
      <c r="P57" s="695"/>
      <c r="Q57" s="695"/>
      <c r="R57" s="695"/>
      <c r="S57" s="695"/>
      <c r="T57" s="1480" t="s">
        <v>1487</v>
      </c>
      <c r="U57" s="1469"/>
      <c r="V57" s="1469"/>
      <c r="W57" s="1469"/>
      <c r="X57" s="1469"/>
      <c r="Y57" s="676"/>
      <c r="Z57" s="683"/>
      <c r="AA57" s="694">
        <v>0.03</v>
      </c>
      <c r="AB57" s="694">
        <v>4.7399999999999998E-2</v>
      </c>
      <c r="AC57" s="694"/>
      <c r="AD57" s="694">
        <v>1.34E-2</v>
      </c>
      <c r="AE57" s="557"/>
      <c r="AF57" s="3"/>
      <c r="AH57" s="3">
        <f t="shared" si="7"/>
        <v>0.03</v>
      </c>
      <c r="AI57" s="3">
        <v>3.0992772470001873E-2</v>
      </c>
      <c r="AJ57" s="3">
        <v>3.0992772470001873E-2</v>
      </c>
      <c r="AK57" s="3">
        <v>3.1393941678828918E-2</v>
      </c>
    </row>
    <row r="58" spans="1:60" ht="15" x14ac:dyDescent="0.35">
      <c r="A58" s="1"/>
      <c r="B58" s="1"/>
      <c r="C58" s="580"/>
      <c r="D58" s="3"/>
      <c r="E58" s="3"/>
      <c r="F58" s="1"/>
      <c r="T58" s="1480" t="s">
        <v>1488</v>
      </c>
      <c r="U58" s="1469"/>
      <c r="V58" s="1469"/>
      <c r="W58" s="1469"/>
      <c r="X58" s="1469"/>
      <c r="Y58" s="676"/>
      <c r="Z58" s="683"/>
      <c r="AA58" s="694">
        <v>0.03</v>
      </c>
      <c r="AB58" s="694">
        <v>4.82E-2</v>
      </c>
      <c r="AC58" s="694"/>
      <c r="AD58" s="694">
        <v>1.4E-2</v>
      </c>
      <c r="AE58" s="557"/>
      <c r="AF58" s="3"/>
      <c r="AG58" s="1"/>
      <c r="AH58" s="3">
        <f t="shared" si="7"/>
        <v>0.03</v>
      </c>
      <c r="AI58" s="3">
        <v>3.0992772470001873E-2</v>
      </c>
      <c r="AJ58" s="3">
        <v>3.0992772470001873E-2</v>
      </c>
      <c r="AK58" s="3">
        <v>3.1393941678828918E-2</v>
      </c>
      <c r="AU58" s="1"/>
      <c r="AV58" s="1"/>
      <c r="AW58" s="1"/>
      <c r="AX58" s="1"/>
      <c r="AY58" s="1"/>
      <c r="AZ58" s="1"/>
      <c r="BA58" s="1"/>
      <c r="BB58" s="1"/>
      <c r="BC58" s="1"/>
      <c r="BD58" s="1"/>
      <c r="BE58" s="1"/>
      <c r="BF58" s="1"/>
      <c r="BG58" s="1"/>
      <c r="BH58" s="1"/>
    </row>
    <row r="59" spans="1:60" ht="15" x14ac:dyDescent="0.35">
      <c r="A59" s="1"/>
      <c r="B59" s="1"/>
      <c r="C59" s="1"/>
      <c r="D59" s="1"/>
      <c r="E59" s="1"/>
      <c r="F59" s="1"/>
      <c r="T59" s="1480" t="s">
        <v>1489</v>
      </c>
      <c r="U59" s="1469"/>
      <c r="V59" s="1469"/>
      <c r="W59" s="1469"/>
      <c r="X59" s="1469"/>
      <c r="Y59" s="696"/>
      <c r="Z59" s="697"/>
      <c r="AA59" s="694">
        <v>0.03</v>
      </c>
      <c r="AB59" s="694">
        <v>5.0799999999999998E-2</v>
      </c>
      <c r="AC59" s="694"/>
      <c r="AD59" s="694">
        <v>1.6E-2</v>
      </c>
      <c r="AE59" s="557"/>
      <c r="AF59" s="3"/>
      <c r="AG59" s="1"/>
      <c r="AH59" s="3">
        <f t="shared" si="7"/>
        <v>0.03</v>
      </c>
      <c r="AI59" s="3">
        <v>3.0992772470001873E-2</v>
      </c>
      <c r="AJ59" s="3">
        <v>3.0992772470001873E-2</v>
      </c>
      <c r="AK59" s="3">
        <v>3.1393941678828918E-2</v>
      </c>
      <c r="AU59" s="1"/>
      <c r="AV59" s="1"/>
      <c r="AW59" s="1"/>
      <c r="AX59" s="1"/>
      <c r="AY59" s="1"/>
      <c r="AZ59" s="1"/>
      <c r="BA59" s="1"/>
      <c r="BB59" s="1"/>
      <c r="BC59" s="1"/>
      <c r="BD59" s="1"/>
      <c r="BE59" s="1"/>
      <c r="BF59" s="1"/>
      <c r="BG59" s="1"/>
      <c r="BH59" s="1"/>
    </row>
    <row r="60" spans="1:60" ht="15" x14ac:dyDescent="0.35">
      <c r="A60" s="1"/>
      <c r="B60" s="1"/>
      <c r="C60" s="1"/>
      <c r="D60" s="1"/>
      <c r="E60" s="1"/>
      <c r="F60" s="1"/>
      <c r="G60" s="2"/>
      <c r="H60" s="698"/>
      <c r="I60" s="698"/>
      <c r="J60" s="698"/>
      <c r="K60" s="698"/>
      <c r="L60" s="698"/>
      <c r="M60" s="698"/>
      <c r="N60" s="698"/>
      <c r="O60" s="698"/>
      <c r="P60" s="698"/>
      <c r="Q60" s="698"/>
      <c r="R60" s="698"/>
      <c r="S60" s="698"/>
      <c r="T60" s="1480" t="s">
        <v>1490</v>
      </c>
      <c r="U60" s="1469"/>
      <c r="V60" s="1469"/>
      <c r="W60" s="1469"/>
      <c r="X60" s="1469"/>
      <c r="AA60" s="694">
        <v>0.03</v>
      </c>
      <c r="AB60" s="694">
        <v>5.5599999999999997E-2</v>
      </c>
      <c r="AC60" s="694"/>
      <c r="AD60" s="694">
        <v>1.9699999999999999E-2</v>
      </c>
      <c r="AE60" s="557"/>
      <c r="AF60" s="3"/>
      <c r="AG60" s="1"/>
      <c r="AH60" s="3">
        <f t="shared" si="7"/>
        <v>0.03</v>
      </c>
      <c r="AI60" s="3">
        <v>3.0992772470001873E-2</v>
      </c>
      <c r="AJ60" s="3">
        <v>3.0992772470001873E-2</v>
      </c>
      <c r="AK60" s="3">
        <v>3.1393941678828918E-2</v>
      </c>
      <c r="AU60" s="1"/>
      <c r="AV60" s="1"/>
      <c r="AW60" s="1"/>
      <c r="AX60" s="1"/>
      <c r="AY60" s="1"/>
      <c r="AZ60" s="1"/>
      <c r="BA60" s="1"/>
      <c r="BB60" s="1"/>
      <c r="BC60" s="1"/>
      <c r="BD60" s="1"/>
      <c r="BE60" s="1"/>
      <c r="BF60" s="1"/>
      <c r="BG60" s="1"/>
      <c r="BH60" s="1"/>
    </row>
    <row r="61" spans="1:60" ht="15" x14ac:dyDescent="0.35">
      <c r="A61" s="1"/>
      <c r="B61" s="1"/>
      <c r="C61" s="1"/>
      <c r="D61" s="1"/>
      <c r="E61" s="3"/>
      <c r="F61" s="1"/>
      <c r="G61" s="2"/>
      <c r="H61" s="698"/>
      <c r="I61" s="698"/>
      <c r="J61" s="698"/>
      <c r="K61" s="698"/>
      <c r="L61" s="698"/>
      <c r="M61" s="698"/>
      <c r="N61" s="698"/>
      <c r="O61" s="698"/>
      <c r="P61" s="698"/>
      <c r="Q61" s="698"/>
      <c r="R61" s="698"/>
      <c r="S61" s="698"/>
      <c r="T61" s="1480" t="s">
        <v>1491</v>
      </c>
      <c r="U61" s="1469"/>
      <c r="V61" s="1469"/>
      <c r="W61" s="1469"/>
      <c r="X61" s="1469"/>
      <c r="Y61" s="1492"/>
      <c r="Z61" s="1505"/>
      <c r="AA61" s="694">
        <v>0.03</v>
      </c>
      <c r="AB61" s="694">
        <v>6.3E-2</v>
      </c>
      <c r="AC61" s="694"/>
      <c r="AD61" s="694">
        <v>2.5399999999999999E-2</v>
      </c>
      <c r="AE61" s="557"/>
      <c r="AF61" s="3"/>
      <c r="AG61" s="1"/>
      <c r="AH61" s="3">
        <f t="shared" si="7"/>
        <v>0.03</v>
      </c>
      <c r="AI61" s="3">
        <v>3.0992772470001873E-2</v>
      </c>
      <c r="AJ61" s="3">
        <v>3.0992772470001873E-2</v>
      </c>
      <c r="AK61" s="3">
        <v>3.1393941678828918E-2</v>
      </c>
      <c r="AU61" s="1"/>
      <c r="AV61" s="1"/>
      <c r="AW61" s="1"/>
      <c r="AX61" s="1"/>
      <c r="AY61" s="1"/>
      <c r="AZ61" s="1"/>
      <c r="BA61" s="1"/>
      <c r="BB61" s="1"/>
      <c r="BC61" s="1"/>
      <c r="BD61" s="1"/>
      <c r="BE61" s="1"/>
      <c r="BF61" s="1"/>
      <c r="BG61" s="1"/>
      <c r="BH61" s="1"/>
    </row>
    <row r="62" spans="1:60" ht="15" x14ac:dyDescent="0.35">
      <c r="A62" s="1"/>
      <c r="B62" s="1"/>
      <c r="C62" s="580"/>
      <c r="D62" s="1"/>
      <c r="E62" s="3"/>
      <c r="F62" s="1"/>
      <c r="T62" s="1480" t="s">
        <v>1492</v>
      </c>
      <c r="U62" s="1469"/>
      <c r="V62" s="1469"/>
      <c r="W62" s="1469"/>
      <c r="X62" s="1469"/>
      <c r="Y62" s="699"/>
      <c r="Z62" s="700"/>
      <c r="AA62" s="694">
        <v>0.03</v>
      </c>
      <c r="AB62" s="694">
        <v>6.7199999999999996E-2</v>
      </c>
      <c r="AC62" s="694"/>
      <c r="AD62" s="694">
        <v>2.86E-2</v>
      </c>
      <c r="AE62" s="557"/>
      <c r="AF62" s="3"/>
      <c r="AG62" s="1"/>
      <c r="AH62" s="3">
        <f t="shared" si="7"/>
        <v>0.03</v>
      </c>
      <c r="AI62" s="3">
        <v>3.0992772470001873E-2</v>
      </c>
      <c r="AJ62" s="3">
        <v>3.0992772470001873E-2</v>
      </c>
      <c r="AK62" s="3">
        <v>3.1393941678828918E-2</v>
      </c>
      <c r="AU62" s="1"/>
      <c r="AV62" s="1"/>
      <c r="AW62" s="1"/>
      <c r="AX62" s="1"/>
      <c r="AY62" s="1"/>
      <c r="AZ62" s="1"/>
      <c r="BA62" s="1"/>
      <c r="BB62" s="1"/>
      <c r="BC62" s="1"/>
      <c r="BD62" s="1"/>
      <c r="BE62" s="1"/>
      <c r="BF62" s="1"/>
      <c r="BG62" s="1"/>
      <c r="BH62" s="1"/>
    </row>
    <row r="63" spans="1:60" ht="15" x14ac:dyDescent="0.35">
      <c r="A63" s="1"/>
      <c r="B63" s="1"/>
      <c r="C63" s="580"/>
      <c r="D63" s="3"/>
      <c r="E63" s="3"/>
      <c r="F63" s="1"/>
      <c r="T63" s="1480" t="s">
        <v>1493</v>
      </c>
      <c r="U63" s="1469"/>
      <c r="V63" s="1469"/>
      <c r="W63" s="1469"/>
      <c r="X63" s="1470"/>
      <c r="Y63" s="701"/>
      <c r="Z63" s="702"/>
      <c r="AA63" s="694">
        <v>0.03</v>
      </c>
      <c r="AB63" s="703">
        <v>6.8599999999999994E-2</v>
      </c>
      <c r="AC63" s="704"/>
      <c r="AD63" s="705">
        <v>2.9700000000000001E-2</v>
      </c>
      <c r="AE63" s="557"/>
      <c r="AF63" s="3"/>
      <c r="AG63" s="1"/>
      <c r="AH63" s="3" t="e">
        <f>+#REF!</f>
        <v>#REF!</v>
      </c>
      <c r="AI63" s="3" t="e">
        <v>#VALUE!</v>
      </c>
      <c r="AJ63" s="3" t="e">
        <v>#VALUE!</v>
      </c>
      <c r="AK63" s="3" t="e">
        <v>#VALUE!</v>
      </c>
      <c r="AU63" s="1"/>
      <c r="AV63" s="1"/>
      <c r="AW63" s="1"/>
      <c r="AX63" s="1"/>
      <c r="AY63" s="1"/>
      <c r="AZ63" s="1"/>
      <c r="BA63" s="1"/>
      <c r="BB63" s="1"/>
      <c r="BC63" s="1"/>
      <c r="BD63" s="1"/>
      <c r="BE63" s="1"/>
      <c r="BF63" s="1"/>
      <c r="BG63" s="1"/>
      <c r="BH63" s="1"/>
    </row>
    <row r="64" spans="1:60" ht="15" x14ac:dyDescent="0.35">
      <c r="A64" s="1"/>
      <c r="B64" s="1"/>
      <c r="C64" s="580"/>
      <c r="D64" s="3"/>
      <c r="E64" s="3"/>
      <c r="F64" s="1"/>
      <c r="T64" s="1480" t="s">
        <v>1494</v>
      </c>
      <c r="U64" s="1469"/>
      <c r="V64" s="1469"/>
      <c r="W64" s="1469"/>
      <c r="X64" s="1470"/>
      <c r="Y64" s="706"/>
      <c r="Z64" s="707"/>
      <c r="AA64" s="694">
        <v>0.03</v>
      </c>
      <c r="AB64" s="703">
        <v>6.93E-2</v>
      </c>
      <c r="AC64" s="708"/>
      <c r="AD64" s="705">
        <v>3.0200000000000001E-2</v>
      </c>
      <c r="AE64" s="557"/>
      <c r="AF64" s="3"/>
      <c r="AG64" s="1"/>
      <c r="AH64" s="3">
        <f t="shared" si="5"/>
        <v>0.03</v>
      </c>
      <c r="AI64" s="3">
        <v>3.0992772470001873E-2</v>
      </c>
      <c r="AJ64" s="3">
        <v>3.0992772470001873E-2</v>
      </c>
      <c r="AK64" s="3">
        <v>3.1393941678828918E-2</v>
      </c>
      <c r="AU64" s="1"/>
      <c r="AV64" s="1"/>
      <c r="AW64" s="1"/>
      <c r="AX64" s="1"/>
      <c r="AY64" s="1"/>
      <c r="AZ64" s="1"/>
      <c r="BA64" s="1"/>
      <c r="BB64" s="1"/>
      <c r="BC64" s="1"/>
      <c r="BD64" s="1"/>
      <c r="BE64" s="1"/>
      <c r="BF64" s="1"/>
      <c r="BG64" s="1"/>
      <c r="BH64" s="1"/>
    </row>
    <row r="65" spans="1:60" ht="15" x14ac:dyDescent="0.35">
      <c r="A65" s="1"/>
      <c r="B65" s="1"/>
      <c r="C65" s="580"/>
      <c r="D65" s="3"/>
      <c r="E65" s="3"/>
      <c r="F65" s="1"/>
      <c r="T65" s="1480" t="s">
        <v>1503</v>
      </c>
      <c r="U65" s="1469"/>
      <c r="V65" s="1469"/>
      <c r="W65" s="1469"/>
      <c r="X65" s="1470"/>
      <c r="Y65" s="706"/>
      <c r="Z65" s="707"/>
      <c r="AA65" s="678">
        <v>0.03</v>
      </c>
      <c r="AB65" s="703">
        <v>6.8599999999999994E-2</v>
      </c>
      <c r="AC65" s="703"/>
      <c r="AD65" s="705">
        <v>2.9700000000000001E-2</v>
      </c>
      <c r="AE65" s="557"/>
      <c r="AF65" s="3"/>
      <c r="AG65" s="1"/>
      <c r="AH65" s="3">
        <f t="shared" si="5"/>
        <v>0.03</v>
      </c>
      <c r="AI65" s="3">
        <v>3.0992772470001873E-2</v>
      </c>
      <c r="AJ65" s="3">
        <v>3.0992772470001873E-2</v>
      </c>
      <c r="AK65" s="3">
        <v>3.1393941678828918E-2</v>
      </c>
      <c r="AU65" s="1"/>
      <c r="AV65" s="1"/>
      <c r="AW65" s="1"/>
      <c r="AX65" s="1"/>
      <c r="AY65" s="1"/>
      <c r="AZ65" s="1"/>
      <c r="BA65" s="1"/>
      <c r="BB65" s="1"/>
      <c r="BC65" s="1"/>
      <c r="BD65" s="1"/>
      <c r="BE65" s="1"/>
      <c r="BF65" s="1"/>
      <c r="BG65" s="1"/>
      <c r="BH65" s="1"/>
    </row>
    <row r="66" spans="1:60" ht="15" x14ac:dyDescent="0.35">
      <c r="A66" s="1"/>
      <c r="B66" s="1"/>
      <c r="C66" s="580"/>
      <c r="D66" s="3"/>
      <c r="E66" s="3"/>
      <c r="F66" s="1"/>
      <c r="T66" s="1480" t="s">
        <v>1501</v>
      </c>
      <c r="U66" s="1469"/>
      <c r="V66" s="1469"/>
      <c r="W66" s="1469"/>
      <c r="X66" s="1470"/>
      <c r="Y66" s="706"/>
      <c r="Z66" s="707"/>
      <c r="AA66" s="678">
        <v>0.03</v>
      </c>
      <c r="AB66" s="703">
        <v>6.3299999999999995E-2</v>
      </c>
      <c r="AC66" s="708"/>
      <c r="AD66" s="705">
        <v>2.5600000000000001E-2</v>
      </c>
      <c r="AE66" s="557"/>
      <c r="AF66" s="3"/>
      <c r="AG66" s="1"/>
      <c r="AH66" s="3">
        <f t="shared" si="5"/>
        <v>0.03</v>
      </c>
      <c r="AI66" s="3">
        <v>3.0992772470001873E-2</v>
      </c>
      <c r="AJ66" s="3">
        <v>3.0992772470001873E-2</v>
      </c>
      <c r="AK66" s="3">
        <v>3.1393941678828918E-2</v>
      </c>
      <c r="AU66" s="1"/>
      <c r="AV66" s="1"/>
      <c r="AW66" s="1"/>
      <c r="AX66" s="1"/>
      <c r="AY66" s="1"/>
      <c r="AZ66" s="1"/>
      <c r="BA66" s="1"/>
      <c r="BB66" s="1"/>
      <c r="BC66" s="1"/>
      <c r="BD66" s="1"/>
      <c r="BE66" s="1"/>
      <c r="BF66" s="1"/>
      <c r="BG66" s="1"/>
      <c r="BH66" s="1"/>
    </row>
    <row r="67" spans="1:60" ht="15" x14ac:dyDescent="0.35">
      <c r="A67" s="1"/>
      <c r="B67" s="1"/>
      <c r="C67" s="580"/>
      <c r="D67" s="3"/>
      <c r="E67" s="3"/>
      <c r="F67" s="1"/>
      <c r="T67" s="1480" t="s">
        <v>1516</v>
      </c>
      <c r="U67" s="1469"/>
      <c r="V67" s="1469"/>
      <c r="W67" s="1469"/>
      <c r="X67" s="1470"/>
      <c r="Y67" s="706"/>
      <c r="Z67" s="707"/>
      <c r="AA67" s="678">
        <v>0.03</v>
      </c>
      <c r="AB67" s="703">
        <v>6.0199999999999997E-2</v>
      </c>
      <c r="AC67" s="704"/>
      <c r="AD67" s="705">
        <v>2.3199999999999998E-2</v>
      </c>
      <c r="AE67" s="557"/>
      <c r="AF67" s="3"/>
      <c r="AG67" s="1"/>
      <c r="AH67" s="3">
        <f t="shared" si="5"/>
        <v>0.03</v>
      </c>
      <c r="AI67" s="3">
        <v>3.0992772470001873E-2</v>
      </c>
      <c r="AJ67" s="3">
        <v>3.0992772470001873E-2</v>
      </c>
      <c r="AK67" s="3">
        <v>3.1393941678828918E-2</v>
      </c>
      <c r="AU67" s="1"/>
      <c r="AV67" s="1"/>
      <c r="AW67" s="1"/>
      <c r="AX67" s="1"/>
      <c r="AY67" s="1"/>
      <c r="AZ67" s="1"/>
      <c r="BA67" s="1"/>
      <c r="BB67" s="1"/>
      <c r="BC67" s="1"/>
      <c r="BD67" s="1"/>
      <c r="BE67" s="1"/>
      <c r="BF67" s="1"/>
      <c r="BG67" s="1"/>
      <c r="BH67" s="1"/>
    </row>
    <row r="68" spans="1:60" ht="15" x14ac:dyDescent="0.35">
      <c r="A68" s="1"/>
      <c r="B68" s="1"/>
      <c r="C68" s="580"/>
      <c r="D68" s="3"/>
      <c r="E68" s="3"/>
      <c r="F68" s="1"/>
      <c r="T68" s="1480" t="s">
        <v>1502</v>
      </c>
      <c r="U68" s="1469"/>
      <c r="V68" s="1469"/>
      <c r="W68" s="1469"/>
      <c r="X68" s="1470"/>
      <c r="Y68" s="706"/>
      <c r="Z68" s="707"/>
      <c r="AA68" s="678">
        <v>0.03</v>
      </c>
      <c r="AB68" s="703">
        <v>5.8599999999999999E-2</v>
      </c>
      <c r="AC68" s="703"/>
      <c r="AD68" s="705">
        <v>2.1999999999999999E-2</v>
      </c>
      <c r="AE68" s="557"/>
      <c r="AF68" s="3"/>
      <c r="AG68" s="1"/>
      <c r="AH68" s="3">
        <f t="shared" si="5"/>
        <v>0.03</v>
      </c>
      <c r="AI68" s="3">
        <v>3.0992772470001873E-2</v>
      </c>
      <c r="AJ68" s="3">
        <v>3.0992772470001873E-2</v>
      </c>
      <c r="AK68" s="3">
        <v>3.1393941678828918E-2</v>
      </c>
      <c r="AU68" s="1"/>
      <c r="AV68" s="1"/>
      <c r="AW68" s="1"/>
      <c r="AX68" s="1"/>
      <c r="AY68" s="1"/>
      <c r="AZ68" s="1"/>
      <c r="BA68" s="1"/>
      <c r="BB68" s="1"/>
      <c r="BC68" s="1"/>
      <c r="BD68" s="1"/>
      <c r="BE68" s="1"/>
      <c r="BF68" s="1"/>
      <c r="BG68" s="1"/>
      <c r="BH68" s="1"/>
    </row>
    <row r="69" spans="1:60" ht="15" x14ac:dyDescent="0.35">
      <c r="A69" s="1"/>
      <c r="B69" s="1"/>
      <c r="C69" s="580"/>
      <c r="D69" s="3"/>
      <c r="E69" s="3"/>
      <c r="F69" s="1"/>
      <c r="T69" s="1480" t="s">
        <v>1509</v>
      </c>
      <c r="U69" s="1469"/>
      <c r="V69" s="1469"/>
      <c r="W69" s="1469"/>
      <c r="X69" s="1470"/>
      <c r="Y69" s="706"/>
      <c r="Z69" s="707"/>
      <c r="AA69" s="678">
        <v>0.03</v>
      </c>
      <c r="AB69" s="703">
        <v>5.7599999999999998E-2</v>
      </c>
      <c r="AC69" s="708"/>
      <c r="AD69" s="705">
        <v>2.12E-2</v>
      </c>
      <c r="AE69" s="557"/>
      <c r="AF69" s="3"/>
      <c r="AG69" s="1"/>
      <c r="AH69" s="3">
        <f t="shared" si="5"/>
        <v>0.03</v>
      </c>
      <c r="AI69" s="3">
        <v>3.0992772470001873E-2</v>
      </c>
      <c r="AJ69" s="3">
        <v>3.0992772470001873E-2</v>
      </c>
      <c r="AK69" s="3">
        <v>3.1393941678828918E-2</v>
      </c>
      <c r="AU69" s="1"/>
      <c r="AV69" s="1"/>
      <c r="AW69" s="1"/>
      <c r="AX69" s="1"/>
      <c r="AY69" s="1"/>
      <c r="AZ69" s="1"/>
      <c r="BA69" s="1"/>
      <c r="BB69" s="1"/>
      <c r="BC69" s="1"/>
      <c r="BD69" s="1"/>
      <c r="BE69" s="1"/>
      <c r="BF69" s="1"/>
      <c r="BG69" s="1"/>
      <c r="BH69" s="1"/>
    </row>
    <row r="70" spans="1:60" ht="15" x14ac:dyDescent="0.35">
      <c r="A70" s="1"/>
      <c r="B70" s="1"/>
      <c r="C70" s="580"/>
      <c r="D70" s="3"/>
      <c r="E70" s="3"/>
      <c r="F70" s="1"/>
      <c r="T70" s="1480" t="s">
        <v>1512</v>
      </c>
      <c r="U70" s="1469"/>
      <c r="V70" s="1469"/>
      <c r="W70" s="1469"/>
      <c r="X70" s="1470"/>
      <c r="Y70" s="706"/>
      <c r="Z70" s="707"/>
      <c r="AA70" s="678">
        <v>0.03</v>
      </c>
      <c r="AB70" s="703">
        <v>5.7299999999999997E-2</v>
      </c>
      <c r="AC70" s="704"/>
      <c r="AD70" s="705">
        <v>2.1000000000000001E-2</v>
      </c>
      <c r="AE70" s="557"/>
      <c r="AF70" s="3"/>
      <c r="AG70" s="1"/>
      <c r="AH70" s="3">
        <f t="shared" si="5"/>
        <v>0.03</v>
      </c>
      <c r="AI70" s="3">
        <v>3.0992772470001873E-2</v>
      </c>
      <c r="AJ70" s="3">
        <v>3.0992772470001873E-2</v>
      </c>
      <c r="AK70" s="3">
        <v>3.1393941678828918E-2</v>
      </c>
      <c r="AU70" s="1"/>
      <c r="AV70" s="1"/>
      <c r="AW70" s="1"/>
      <c r="AX70" s="1"/>
      <c r="AY70" s="1"/>
      <c r="AZ70" s="1"/>
      <c r="BA70" s="1"/>
      <c r="BB70" s="1"/>
      <c r="BC70" s="1"/>
      <c r="BD70" s="1"/>
      <c r="BE70" s="1"/>
      <c r="BF70" s="1"/>
      <c r="BG70" s="1"/>
      <c r="BH70" s="1"/>
    </row>
    <row r="71" spans="1:60" ht="15" x14ac:dyDescent="0.35">
      <c r="A71" s="1"/>
      <c r="B71" s="1"/>
      <c r="C71" s="580"/>
      <c r="D71" s="3"/>
      <c r="E71" s="3"/>
      <c r="F71" s="1"/>
      <c r="T71" s="1480" t="s">
        <v>1514</v>
      </c>
      <c r="U71" s="1469"/>
      <c r="V71" s="1469"/>
      <c r="W71" s="1469"/>
      <c r="X71" s="1470"/>
      <c r="Y71" s="706"/>
      <c r="Z71" s="707"/>
      <c r="AA71" s="678">
        <v>0.03</v>
      </c>
      <c r="AB71" s="703">
        <v>5.5500000000000001E-2</v>
      </c>
      <c r="AC71" s="703"/>
      <c r="AD71" s="705">
        <v>1.9599999999999999E-2</v>
      </c>
      <c r="AE71" s="557"/>
      <c r="AF71" s="3"/>
      <c r="AG71" s="1"/>
      <c r="AH71" s="3">
        <f t="shared" si="5"/>
        <v>0.03</v>
      </c>
      <c r="AI71" s="3">
        <v>3.0992772470001873E-2</v>
      </c>
      <c r="AJ71" s="3">
        <v>3.0992772470001873E-2</v>
      </c>
      <c r="AK71" s="3">
        <v>3.1393941678828918E-2</v>
      </c>
      <c r="AU71" s="1"/>
      <c r="AV71" s="1"/>
      <c r="AW71" s="1"/>
      <c r="AX71" s="1"/>
      <c r="AY71" s="1"/>
      <c r="AZ71" s="1"/>
      <c r="BA71" s="1"/>
      <c r="BB71" s="1"/>
      <c r="BC71" s="1"/>
      <c r="BD71" s="1"/>
      <c r="BE71" s="1"/>
      <c r="BF71" s="1"/>
      <c r="BG71" s="1"/>
      <c r="BH71" s="1"/>
    </row>
    <row r="72" spans="1:60" ht="15" x14ac:dyDescent="0.35">
      <c r="A72" s="1"/>
      <c r="B72" s="1"/>
      <c r="C72" s="580"/>
      <c r="D72" s="3"/>
      <c r="E72" s="3"/>
      <c r="F72" s="1"/>
      <c r="T72" s="1480" t="s">
        <v>1515</v>
      </c>
      <c r="U72" s="1469"/>
      <c r="V72" s="1469"/>
      <c r="W72" s="1469"/>
      <c r="X72" s="1470"/>
      <c r="Y72" s="706"/>
      <c r="Z72" s="707"/>
      <c r="AA72" s="678">
        <v>0.03</v>
      </c>
      <c r="AB72" s="703">
        <v>5.2600000000000001E-2</v>
      </c>
      <c r="AC72" s="703"/>
      <c r="AD72" s="705">
        <v>1.7399999999999999E-2</v>
      </c>
      <c r="AE72" s="557"/>
      <c r="AF72" s="3"/>
      <c r="AG72" s="1"/>
      <c r="AH72" s="3">
        <f t="shared" si="5"/>
        <v>0.03</v>
      </c>
      <c r="AI72" s="3">
        <v>3.0992772470001873E-2</v>
      </c>
      <c r="AJ72" s="3">
        <v>3.0992772470001873E-2</v>
      </c>
      <c r="AK72" s="3">
        <v>3.1393941678828918E-2</v>
      </c>
      <c r="AU72" s="1"/>
      <c r="AV72" s="1"/>
      <c r="AW72" s="1"/>
      <c r="AX72" s="1"/>
      <c r="AY72" s="1"/>
      <c r="AZ72" s="1"/>
      <c r="BA72" s="1"/>
      <c r="BB72" s="1"/>
      <c r="BC72" s="1"/>
      <c r="BD72" s="1"/>
      <c r="BE72" s="1"/>
      <c r="BF72" s="1"/>
      <c r="BG72" s="1"/>
      <c r="BH72" s="1"/>
    </row>
    <row r="73" spans="1:60" ht="15" x14ac:dyDescent="0.35">
      <c r="A73" s="1"/>
      <c r="B73" s="1"/>
      <c r="C73" s="580"/>
      <c r="D73" s="3"/>
      <c r="E73" s="3"/>
      <c r="F73" s="1"/>
      <c r="T73" s="1480" t="s">
        <v>1517</v>
      </c>
      <c r="U73" s="1469"/>
      <c r="V73" s="1469"/>
      <c r="W73" s="1469"/>
      <c r="X73" s="1470"/>
      <c r="Y73" s="706"/>
      <c r="Z73" s="707"/>
      <c r="AA73" s="678">
        <v>0.03</v>
      </c>
      <c r="AB73" s="703">
        <v>4.8099999999999997E-2</v>
      </c>
      <c r="AC73" s="703"/>
      <c r="AD73" s="705">
        <v>1.3899999999999999E-2</v>
      </c>
      <c r="AE73" s="557"/>
      <c r="AF73" s="3"/>
      <c r="AG73" s="1"/>
      <c r="AH73" s="3">
        <f t="shared" si="5"/>
        <v>0.03</v>
      </c>
      <c r="AI73" s="3">
        <v>3.0992772470001873E-2</v>
      </c>
      <c r="AJ73" s="3">
        <v>3.0992772470001873E-2</v>
      </c>
      <c r="AK73" s="3">
        <v>3.1393941678828918E-2</v>
      </c>
      <c r="AU73" s="1"/>
      <c r="AV73" s="1"/>
      <c r="AW73" s="1"/>
      <c r="AX73" s="1"/>
      <c r="AY73" s="1"/>
      <c r="AZ73" s="1"/>
      <c r="BA73" s="1"/>
      <c r="BB73" s="1"/>
      <c r="BC73" s="1"/>
      <c r="BD73" s="1"/>
      <c r="BE73" s="1"/>
      <c r="BF73" s="1"/>
      <c r="BG73" s="1"/>
      <c r="BH73" s="1"/>
    </row>
    <row r="74" spans="1:60" s="5" customFormat="1" ht="15" x14ac:dyDescent="0.35">
      <c r="A74" s="1"/>
      <c r="B74" s="1"/>
      <c r="C74" s="580"/>
      <c r="D74" s="3"/>
      <c r="E74" s="3"/>
      <c r="H74" s="695"/>
      <c r="I74" s="695"/>
      <c r="J74" s="695"/>
      <c r="K74" s="695"/>
      <c r="L74" s="695"/>
      <c r="M74" s="695"/>
      <c r="N74" s="695"/>
      <c r="O74" s="695"/>
      <c r="P74" s="695"/>
      <c r="Q74" s="695"/>
      <c r="R74" s="695"/>
      <c r="S74" s="695"/>
      <c r="T74" s="1480" t="s">
        <v>1522</v>
      </c>
      <c r="U74" s="1469"/>
      <c r="V74" s="1469"/>
      <c r="W74" s="1469"/>
      <c r="X74" s="1470"/>
      <c r="Y74" s="706"/>
      <c r="Z74" s="707"/>
      <c r="AA74" s="678">
        <v>0.03</v>
      </c>
      <c r="AB74" s="703">
        <v>4.5100000000000001E-2</v>
      </c>
      <c r="AC74" s="703"/>
      <c r="AD74" s="705">
        <v>1.1599999999999999E-2</v>
      </c>
      <c r="AE74" s="557"/>
      <c r="AF74" s="3"/>
      <c r="AH74" s="3">
        <f t="shared" si="5"/>
        <v>0.03</v>
      </c>
      <c r="AI74" s="3">
        <v>3.0992772470001873E-2</v>
      </c>
      <c r="AJ74" s="3">
        <v>3.0992772470001873E-2</v>
      </c>
      <c r="AK74" s="3">
        <v>3.1393941678828918E-2</v>
      </c>
    </row>
    <row r="75" spans="1:60" s="5" customFormat="1" ht="15" x14ac:dyDescent="0.35">
      <c r="A75" s="1"/>
      <c r="B75" s="1"/>
      <c r="C75" s="580"/>
      <c r="D75" s="3"/>
      <c r="E75" s="3"/>
      <c r="H75" s="695"/>
      <c r="I75" s="695"/>
      <c r="J75" s="695"/>
      <c r="K75" s="695"/>
      <c r="L75" s="695"/>
      <c r="M75" s="695"/>
      <c r="N75" s="695"/>
      <c r="O75" s="695"/>
      <c r="P75" s="695"/>
      <c r="Q75" s="695"/>
      <c r="R75" s="695"/>
      <c r="S75" s="695"/>
      <c r="T75" s="1480" t="s">
        <v>1520</v>
      </c>
      <c r="U75" s="1469"/>
      <c r="V75" s="1469"/>
      <c r="W75" s="1469"/>
      <c r="X75" s="1470"/>
      <c r="Y75" s="706"/>
      <c r="Z75" s="707"/>
      <c r="AA75" s="678">
        <v>0.03</v>
      </c>
      <c r="AB75" s="703">
        <v>4.2999999999999997E-2</v>
      </c>
      <c r="AC75" s="703"/>
      <c r="AD75" s="705">
        <v>0.01</v>
      </c>
      <c r="AE75" s="557"/>
      <c r="AF75" s="3"/>
      <c r="AH75" s="3">
        <f t="shared" si="5"/>
        <v>0.03</v>
      </c>
      <c r="AI75" s="3">
        <v>3.0992772470001873E-2</v>
      </c>
      <c r="AJ75" s="3">
        <v>3.0992772470001873E-2</v>
      </c>
      <c r="AK75" s="3">
        <v>3.1393941678828918E-2</v>
      </c>
    </row>
    <row r="76" spans="1:60" ht="15" x14ac:dyDescent="0.35">
      <c r="A76" s="1"/>
      <c r="B76" s="1"/>
      <c r="C76" s="580"/>
      <c r="D76" s="3"/>
      <c r="E76" s="3"/>
      <c r="F76" s="1"/>
      <c r="T76" s="1480" t="s">
        <v>1521</v>
      </c>
      <c r="U76" s="1469"/>
      <c r="V76" s="1469"/>
      <c r="W76" s="1469"/>
      <c r="X76" s="1470"/>
      <c r="Y76" s="706"/>
      <c r="Z76" s="709"/>
      <c r="AA76" s="678">
        <v>0.03</v>
      </c>
      <c r="AB76" s="678">
        <v>4.3400000000000001E-2</v>
      </c>
      <c r="AC76" s="678"/>
      <c r="AD76" s="705">
        <v>1.03E-2</v>
      </c>
      <c r="AE76" s="557"/>
      <c r="AF76" s="3"/>
      <c r="AG76" s="1"/>
      <c r="AH76" s="3">
        <f t="shared" si="5"/>
        <v>0.03</v>
      </c>
      <c r="AI76" s="3">
        <v>3.0992772470001873E-2</v>
      </c>
      <c r="AJ76" s="3">
        <v>3.0992772470001873E-2</v>
      </c>
      <c r="AK76" s="1">
        <v>3.1393941678828918E-2</v>
      </c>
      <c r="AU76" s="1"/>
      <c r="AV76" s="1"/>
      <c r="AW76" s="1"/>
      <c r="AX76" s="1"/>
      <c r="AY76" s="1"/>
      <c r="AZ76" s="1"/>
      <c r="BA76" s="1"/>
      <c r="BB76" s="1"/>
      <c r="BC76" s="1"/>
      <c r="BD76" s="1"/>
      <c r="BE76" s="1"/>
      <c r="BF76" s="1"/>
      <c r="BG76" s="1"/>
      <c r="BH76" s="1"/>
    </row>
    <row r="77" spans="1:60" ht="15" customHeight="1" x14ac:dyDescent="0.35">
      <c r="A77" s="1"/>
      <c r="B77" s="1"/>
      <c r="C77" s="1"/>
      <c r="D77" s="1"/>
      <c r="E77" s="1"/>
      <c r="F77" s="1"/>
      <c r="T77" s="1480" t="s">
        <v>1523</v>
      </c>
      <c r="U77" s="1469"/>
      <c r="V77" s="1469"/>
      <c r="W77" s="1469"/>
      <c r="X77" s="1470"/>
      <c r="Y77" s="710"/>
      <c r="Z77" s="673"/>
      <c r="AA77" s="678">
        <v>0.03</v>
      </c>
      <c r="AB77" s="678">
        <v>4.3799999999999999E-2</v>
      </c>
      <c r="AC77" s="711"/>
      <c r="AD77" s="705">
        <v>1.06E-2</v>
      </c>
      <c r="AE77" s="1"/>
      <c r="AF77" s="1"/>
      <c r="AG77" s="1"/>
      <c r="AH77" s="3">
        <f t="shared" si="5"/>
        <v>0.03</v>
      </c>
      <c r="AI77" s="1">
        <v>3.0992772470001873E-2</v>
      </c>
      <c r="AJ77" s="3">
        <v>3.0992772470001873E-2</v>
      </c>
      <c r="AK77" s="1">
        <v>3.1393941678828918E-2</v>
      </c>
      <c r="AU77" s="1"/>
      <c r="AV77" s="1"/>
      <c r="AW77" s="1"/>
      <c r="AX77" s="1"/>
      <c r="AY77" s="1"/>
      <c r="AZ77" s="1"/>
      <c r="BA77" s="1"/>
      <c r="BB77" s="1"/>
      <c r="BC77" s="1"/>
      <c r="BD77" s="1"/>
      <c r="BE77" s="1"/>
      <c r="BF77" s="1"/>
      <c r="BG77" s="1"/>
      <c r="BH77" s="1"/>
    </row>
    <row r="78" spans="1:60" ht="15" customHeight="1" x14ac:dyDescent="0.35">
      <c r="A78" s="1"/>
      <c r="B78" s="1"/>
      <c r="C78" s="1"/>
      <c r="D78" s="1"/>
      <c r="E78" s="581"/>
      <c r="F78" s="1"/>
      <c r="H78" s="712"/>
      <c r="I78" s="712"/>
      <c r="J78" s="712"/>
      <c r="K78" s="712"/>
      <c r="L78" s="712"/>
      <c r="M78" s="712"/>
      <c r="N78" s="712"/>
      <c r="O78" s="712"/>
      <c r="P78" s="712"/>
      <c r="Q78" s="712"/>
      <c r="R78" s="712"/>
      <c r="S78" s="712"/>
      <c r="T78" s="1516" t="s">
        <v>1524</v>
      </c>
      <c r="U78" s="1517"/>
      <c r="V78" s="1517"/>
      <c r="W78" s="1517"/>
      <c r="X78" s="1518"/>
      <c r="Y78" s="713"/>
      <c r="Z78" s="714"/>
      <c r="AA78" s="678">
        <v>0.03</v>
      </c>
      <c r="AB78" s="678">
        <v>4.5499999999999999E-2</v>
      </c>
      <c r="AC78" s="711"/>
      <c r="AD78" s="678">
        <v>1.1900000000000001E-2</v>
      </c>
      <c r="AE78" s="1"/>
      <c r="AF78" s="1"/>
      <c r="AG78" s="1"/>
      <c r="AH78" s="3">
        <f t="shared" si="5"/>
        <v>0.03</v>
      </c>
      <c r="AI78" s="1">
        <v>3.0992772470001873E-2</v>
      </c>
      <c r="AJ78" s="3">
        <v>3.0992772470001873E-2</v>
      </c>
      <c r="AK78" s="1">
        <v>3.1393941678828918E-2</v>
      </c>
      <c r="AU78" s="1"/>
      <c r="AV78" s="1"/>
      <c r="AW78" s="1"/>
      <c r="AX78" s="1"/>
      <c r="AY78" s="1"/>
      <c r="AZ78" s="1"/>
      <c r="BA78" s="1"/>
      <c r="BB78" s="1"/>
      <c r="BC78" s="1"/>
      <c r="BD78" s="1"/>
      <c r="BE78" s="1"/>
      <c r="BF78" s="1"/>
      <c r="BG78" s="1"/>
      <c r="BH78" s="1"/>
    </row>
    <row r="79" spans="1:60" ht="15" customHeight="1" x14ac:dyDescent="0.35">
      <c r="A79" s="1"/>
      <c r="B79" s="1"/>
      <c r="C79" s="1"/>
      <c r="D79" s="1"/>
      <c r="E79" s="1"/>
      <c r="F79" s="1"/>
      <c r="T79" s="1480" t="s">
        <v>1525</v>
      </c>
      <c r="U79" s="1469"/>
      <c r="V79" s="1469"/>
      <c r="W79" s="1469"/>
      <c r="X79" s="1470"/>
      <c r="Y79" s="710"/>
      <c r="Z79" s="673"/>
      <c r="AA79" s="678">
        <v>0.03</v>
      </c>
      <c r="AB79" s="678">
        <v>4.7E-2</v>
      </c>
      <c r="AC79" s="711"/>
      <c r="AD79" s="705">
        <v>1.3100000000000001E-2</v>
      </c>
      <c r="AE79" s="1"/>
      <c r="AF79" s="1"/>
      <c r="AG79" s="1"/>
      <c r="AH79" s="3">
        <f t="shared" si="5"/>
        <v>0.03</v>
      </c>
      <c r="AI79" s="1">
        <v>3.0992772470001873E-2</v>
      </c>
      <c r="AJ79" s="3">
        <v>3.0992772470001873E-2</v>
      </c>
      <c r="AK79" s="1">
        <v>3.1393941678828918E-2</v>
      </c>
      <c r="AL79" s="1"/>
      <c r="AM79" s="1"/>
      <c r="AN79" s="1"/>
      <c r="AO79" s="1"/>
      <c r="AP79" s="1"/>
      <c r="AQ79" s="1"/>
      <c r="AR79" s="1"/>
      <c r="AS79" s="1"/>
      <c r="AT79" s="1"/>
      <c r="AU79" s="1"/>
      <c r="AV79" s="1"/>
      <c r="AW79" s="1"/>
      <c r="AX79" s="1"/>
      <c r="AY79" s="1"/>
      <c r="AZ79" s="1"/>
      <c r="BA79" s="1"/>
      <c r="BB79" s="1"/>
      <c r="BC79" s="1"/>
      <c r="BD79" s="1"/>
      <c r="BE79" s="1"/>
      <c r="BF79" s="1"/>
      <c r="BG79" s="1"/>
      <c r="BH79" s="1"/>
    </row>
    <row r="80" spans="1:60" ht="15" customHeight="1" x14ac:dyDescent="0.35">
      <c r="A80" s="1"/>
      <c r="B80" s="1"/>
      <c r="C80" s="1"/>
      <c r="D80" s="1"/>
      <c r="E80" s="3"/>
      <c r="F80" s="1"/>
      <c r="H80" s="715"/>
      <c r="I80" s="715"/>
      <c r="J80" s="715"/>
      <c r="K80" s="715"/>
      <c r="L80" s="715"/>
      <c r="M80" s="715"/>
      <c r="N80" s="715"/>
      <c r="O80" s="715"/>
      <c r="P80" s="715"/>
      <c r="Q80" s="715"/>
      <c r="R80" s="715"/>
      <c r="S80" s="715"/>
      <c r="T80" s="1480" t="s">
        <v>1526</v>
      </c>
      <c r="U80" s="1469"/>
      <c r="V80" s="1469"/>
      <c r="W80" s="1469"/>
      <c r="X80" s="1470"/>
      <c r="Y80" s="1470"/>
      <c r="Z80" s="1530"/>
      <c r="AA80" s="682">
        <v>0.03</v>
      </c>
      <c r="AB80" s="682">
        <v>4.7699999999999999E-2</v>
      </c>
      <c r="AC80" s="1487"/>
      <c r="AD80" s="716">
        <v>1.3599999999999999E-2</v>
      </c>
      <c r="AE80" s="1"/>
      <c r="AF80" s="1"/>
      <c r="AG80" s="1"/>
      <c r="AH80" s="3">
        <f t="shared" si="5"/>
        <v>0.03</v>
      </c>
      <c r="AI80" s="1">
        <v>3.0992772470001873E-2</v>
      </c>
      <c r="AJ80" s="3">
        <v>3.0992772470001873E-2</v>
      </c>
      <c r="AK80" s="1">
        <v>3.1393941678828918E-2</v>
      </c>
      <c r="AL80" s="1"/>
      <c r="AM80" s="1"/>
      <c r="AN80" s="1"/>
      <c r="AO80" s="1"/>
      <c r="AP80" s="1"/>
      <c r="AQ80" s="1"/>
      <c r="AR80" s="1"/>
      <c r="AS80" s="1"/>
      <c r="AT80" s="1"/>
      <c r="AU80" s="1"/>
      <c r="AV80" s="1"/>
      <c r="AW80" s="1"/>
      <c r="AX80" s="1"/>
      <c r="AY80" s="1"/>
      <c r="AZ80" s="1"/>
      <c r="BA80" s="1"/>
      <c r="BB80" s="1"/>
      <c r="BC80" s="1"/>
      <c r="BD80" s="1"/>
      <c r="BE80" s="1"/>
      <c r="BF80" s="1"/>
      <c r="BG80" s="1"/>
      <c r="BH80" s="1"/>
    </row>
    <row r="81" spans="5:37" s="1" customFormat="1" ht="15" customHeight="1" x14ac:dyDescent="0.35">
      <c r="E81" s="3"/>
      <c r="G81" s="536"/>
      <c r="H81" s="715"/>
      <c r="I81" s="715"/>
      <c r="J81" s="715"/>
      <c r="K81" s="715"/>
      <c r="L81" s="715"/>
      <c r="M81" s="715"/>
      <c r="N81" s="715"/>
      <c r="O81" s="715"/>
      <c r="P81" s="715"/>
      <c r="Q81" s="715"/>
      <c r="R81" s="715"/>
      <c r="S81" s="715"/>
      <c r="T81" s="1480" t="s">
        <v>1527</v>
      </c>
      <c r="U81" s="1469"/>
      <c r="V81" s="1469"/>
      <c r="W81" s="1469"/>
      <c r="X81" s="1470"/>
      <c r="Y81" s="717"/>
      <c r="Z81" s="718"/>
      <c r="AA81" s="682">
        <v>0.03</v>
      </c>
      <c r="AB81" s="682">
        <v>4.9500000000000002E-2</v>
      </c>
      <c r="AC81" s="1487"/>
      <c r="AD81" s="716">
        <v>1.4999999999999999E-2</v>
      </c>
      <c r="AH81" s="3">
        <f t="shared" si="5"/>
        <v>0.03</v>
      </c>
      <c r="AI81" s="1">
        <v>3.0992772470001873E-2</v>
      </c>
      <c r="AJ81" s="3">
        <v>3.0992772470001873E-2</v>
      </c>
      <c r="AK81" s="3">
        <v>3.1393941678828918E-2</v>
      </c>
    </row>
    <row r="82" spans="5:37" s="1" customFormat="1" ht="14.25" customHeight="1" x14ac:dyDescent="0.35">
      <c r="H82" s="641"/>
      <c r="I82" s="641"/>
      <c r="J82" s="641"/>
      <c r="K82" s="641"/>
      <c r="L82" s="641"/>
      <c r="M82" s="641"/>
      <c r="N82" s="641"/>
      <c r="O82" s="641"/>
      <c r="P82" s="641"/>
      <c r="Q82" s="641"/>
      <c r="R82" s="641"/>
      <c r="S82" s="641"/>
      <c r="T82" s="1480" t="s">
        <v>1528</v>
      </c>
      <c r="U82" s="1469"/>
      <c r="V82" s="1469"/>
      <c r="W82" s="1469"/>
      <c r="X82" s="1470"/>
      <c r="Y82" s="710"/>
      <c r="Z82" s="673"/>
      <c r="AA82" s="678">
        <v>0.03</v>
      </c>
      <c r="AB82" s="678">
        <v>4.9500000000000002E-2</v>
      </c>
      <c r="AC82" s="711"/>
      <c r="AD82" s="705">
        <v>1.4999999999999999E-2</v>
      </c>
      <c r="AH82" s="3">
        <f t="shared" si="5"/>
        <v>0.03</v>
      </c>
      <c r="AI82" s="1">
        <v>3.0992772470001873E-2</v>
      </c>
      <c r="AJ82" s="3">
        <v>3.0992772470001873E-2</v>
      </c>
      <c r="AK82" s="3">
        <v>3.1393941678828918E-2</v>
      </c>
    </row>
    <row r="83" spans="5:37" s="1" customFormat="1" ht="14.25" customHeight="1" x14ac:dyDescent="0.35">
      <c r="H83" s="641"/>
      <c r="I83" s="641"/>
      <c r="J83" s="641"/>
      <c r="K83" s="641"/>
      <c r="L83" s="641"/>
      <c r="M83" s="641"/>
      <c r="N83" s="641"/>
      <c r="O83" s="641"/>
      <c r="P83" s="641"/>
      <c r="Q83" s="641"/>
      <c r="R83" s="641"/>
      <c r="S83" s="641"/>
      <c r="T83" s="1480" t="s">
        <v>1529</v>
      </c>
      <c r="U83" s="1469"/>
      <c r="V83" s="1469"/>
      <c r="W83" s="1469"/>
      <c r="X83" s="1470"/>
      <c r="Y83" s="706"/>
      <c r="Z83" s="719"/>
      <c r="AA83" s="678">
        <v>0.03</v>
      </c>
      <c r="AB83" s="705">
        <v>4.9200000000000001E-2</v>
      </c>
      <c r="AC83" s="720"/>
      <c r="AD83" s="705">
        <v>1.4800000000000001E-2</v>
      </c>
      <c r="AH83" s="3">
        <f t="shared" si="5"/>
        <v>0.03</v>
      </c>
      <c r="AI83" s="3">
        <v>3.0992772470001873E-2</v>
      </c>
      <c r="AJ83" s="3">
        <v>3.0992772470001873E-2</v>
      </c>
      <c r="AK83" s="3">
        <v>3.1393941678828918E-2</v>
      </c>
    </row>
    <row r="84" spans="5:37" s="1" customFormat="1" ht="14.25" customHeight="1" x14ac:dyDescent="0.35">
      <c r="H84" s="641"/>
      <c r="I84" s="641"/>
      <c r="J84" s="641"/>
      <c r="K84" s="641"/>
      <c r="L84" s="641"/>
      <c r="M84" s="641"/>
      <c r="N84" s="641"/>
      <c r="O84" s="641"/>
      <c r="P84" s="641"/>
      <c r="Q84" s="641"/>
      <c r="R84" s="641"/>
      <c r="S84" s="641"/>
      <c r="T84" s="1480" t="s">
        <v>1531</v>
      </c>
      <c r="U84" s="1469"/>
      <c r="V84" s="1469"/>
      <c r="W84" s="1469"/>
      <c r="X84" s="1470"/>
      <c r="Y84" s="706"/>
      <c r="Z84" s="719"/>
      <c r="AA84" s="678">
        <v>0.03</v>
      </c>
      <c r="AB84" s="705">
        <v>4.82E-2</v>
      </c>
      <c r="AC84" s="720"/>
      <c r="AD84" s="705">
        <v>1.4E-2</v>
      </c>
      <c r="AH84" s="3">
        <f t="shared" si="5"/>
        <v>0.03</v>
      </c>
      <c r="AI84" s="3">
        <v>3.0992772470001873E-2</v>
      </c>
      <c r="AJ84" s="3">
        <v>3.0992772470001873E-2</v>
      </c>
      <c r="AK84" s="3">
        <v>3.1393941678828918E-2</v>
      </c>
    </row>
    <row r="85" spans="5:37" s="1" customFormat="1" ht="14.25" customHeight="1" x14ac:dyDescent="0.35">
      <c r="H85" s="641"/>
      <c r="I85" s="641"/>
      <c r="J85" s="641"/>
      <c r="K85" s="641"/>
      <c r="L85" s="641"/>
      <c r="M85" s="641"/>
      <c r="N85" s="641"/>
      <c r="O85" s="641"/>
      <c r="P85" s="641"/>
      <c r="Q85" s="641"/>
      <c r="R85" s="641"/>
      <c r="S85" s="641"/>
      <c r="T85" s="1480" t="s">
        <v>1532</v>
      </c>
      <c r="U85" s="1469"/>
      <c r="V85" s="1469"/>
      <c r="W85" s="1469"/>
      <c r="X85" s="1470"/>
      <c r="Y85" s="706"/>
      <c r="Z85" s="719"/>
      <c r="AA85" s="678">
        <v>0.03</v>
      </c>
      <c r="AB85" s="705">
        <v>4.48E-2</v>
      </c>
      <c r="AC85" s="705"/>
      <c r="AD85" s="705">
        <v>1.4E-2</v>
      </c>
      <c r="AH85" s="3">
        <f t="shared" si="5"/>
        <v>0.03</v>
      </c>
      <c r="AI85" s="3">
        <v>3.0992772470001873E-2</v>
      </c>
      <c r="AJ85" s="3">
        <v>3.0992772470001873E-2</v>
      </c>
      <c r="AK85" s="3">
        <v>3.1393941678828918E-2</v>
      </c>
    </row>
    <row r="86" spans="5:37" s="1" customFormat="1" ht="14.25" customHeight="1" x14ac:dyDescent="0.35">
      <c r="H86" s="641"/>
      <c r="I86" s="641"/>
      <c r="J86" s="641"/>
      <c r="K86" s="641"/>
      <c r="L86" s="641"/>
      <c r="M86" s="641"/>
      <c r="N86" s="641"/>
      <c r="O86" s="641"/>
      <c r="P86" s="641"/>
      <c r="Q86" s="641"/>
      <c r="R86" s="641"/>
      <c r="S86" s="641"/>
      <c r="T86" s="1484" t="s">
        <v>1628</v>
      </c>
      <c r="U86" s="1485"/>
      <c r="V86" s="1485"/>
      <c r="W86" s="1485"/>
      <c r="X86" s="1486"/>
      <c r="Y86" s="706"/>
      <c r="Z86" s="719"/>
      <c r="AA86" s="678">
        <v>0.03</v>
      </c>
      <c r="AB86" s="721">
        <v>4.9399999999999999E-2</v>
      </c>
      <c r="AC86" s="705"/>
      <c r="AD86" s="705">
        <v>1.49E-2</v>
      </c>
      <c r="AH86" s="3">
        <f t="shared" si="5"/>
        <v>0.03</v>
      </c>
      <c r="AI86" s="3">
        <v>3.0992772470001873E-2</v>
      </c>
      <c r="AJ86" s="3">
        <v>3.0992772470001873E-2</v>
      </c>
      <c r="AK86" s="3">
        <v>3.1393941678828918E-2</v>
      </c>
    </row>
    <row r="87" spans="5:37" s="1" customFormat="1" ht="12" customHeight="1" x14ac:dyDescent="0.35">
      <c r="H87" s="641"/>
      <c r="I87" s="641"/>
      <c r="J87" s="641"/>
      <c r="K87" s="641"/>
      <c r="L87" s="641"/>
      <c r="M87" s="641"/>
      <c r="N87" s="641"/>
      <c r="O87" s="641"/>
      <c r="P87" s="641"/>
      <c r="Q87" s="641"/>
      <c r="R87" s="641"/>
      <c r="S87" s="641"/>
      <c r="T87" s="1480" t="s">
        <v>1629</v>
      </c>
      <c r="U87" s="1469"/>
      <c r="V87" s="1469"/>
      <c r="W87" s="1469"/>
      <c r="X87" s="1470"/>
      <c r="Y87" s="706"/>
      <c r="Z87" s="719"/>
      <c r="AA87" s="678">
        <v>0.03</v>
      </c>
      <c r="AB87" s="705">
        <v>5.16E-2</v>
      </c>
      <c r="AC87" s="705"/>
      <c r="AD87" s="705">
        <v>1.66E-2</v>
      </c>
      <c r="AH87" s="3">
        <f t="shared" si="5"/>
        <v>0.03</v>
      </c>
      <c r="AI87" s="3">
        <v>3.0992772470001873E-2</v>
      </c>
      <c r="AJ87" s="3">
        <v>3.0992772470001873E-2</v>
      </c>
      <c r="AK87" s="3">
        <v>3.1393941678828918E-2</v>
      </c>
    </row>
    <row r="88" spans="5:37" s="1" customFormat="1" ht="14.25" hidden="1" customHeight="1" x14ac:dyDescent="0.35">
      <c r="H88" s="641"/>
      <c r="I88" s="641"/>
      <c r="J88" s="641"/>
      <c r="K88" s="641"/>
      <c r="L88" s="641"/>
      <c r="M88" s="641"/>
      <c r="N88" s="641"/>
      <c r="O88" s="641"/>
      <c r="P88" s="641"/>
      <c r="Q88" s="641"/>
      <c r="R88" s="641"/>
      <c r="S88" s="641"/>
      <c r="T88" s="673"/>
      <c r="U88" s="673"/>
      <c r="V88" s="673"/>
      <c r="W88" s="673"/>
      <c r="X88" s="673"/>
      <c r="Y88" s="706"/>
      <c r="Z88" s="719"/>
      <c r="AA88" s="722"/>
      <c r="AB88" s="723"/>
      <c r="AC88" s="720"/>
      <c r="AD88" s="723"/>
      <c r="AH88" s="3">
        <f t="shared" si="5"/>
        <v>0</v>
      </c>
      <c r="AI88" s="3">
        <v>1.2958106339411302E-4</v>
      </c>
      <c r="AJ88" s="3">
        <v>1.2958106339411302E-4</v>
      </c>
      <c r="AK88" s="3">
        <v>4.7965586966047802E-4</v>
      </c>
    </row>
    <row r="89" spans="5:37" s="1" customFormat="1" ht="14.25" hidden="1" customHeight="1" x14ac:dyDescent="0.35">
      <c r="H89" s="641"/>
      <c r="I89" s="641"/>
      <c r="J89" s="641"/>
      <c r="K89" s="641"/>
      <c r="L89" s="641"/>
      <c r="M89" s="641"/>
      <c r="N89" s="641"/>
      <c r="O89" s="641"/>
      <c r="P89" s="641"/>
      <c r="Q89" s="641"/>
      <c r="R89" s="641"/>
      <c r="S89" s="641"/>
      <c r="T89" s="673"/>
      <c r="U89" s="673"/>
      <c r="V89" s="673"/>
      <c r="W89" s="724"/>
      <c r="X89" s="724"/>
      <c r="Y89" s="706"/>
      <c r="Z89" s="719"/>
      <c r="AA89" s="722"/>
      <c r="AB89" s="723"/>
      <c r="AC89" s="720"/>
      <c r="AD89" s="723"/>
      <c r="AH89" s="3">
        <f t="shared" si="5"/>
        <v>0</v>
      </c>
      <c r="AI89" s="3">
        <v>1.2958106339411302E-4</v>
      </c>
      <c r="AJ89" s="3">
        <v>1.2958106339411302E-4</v>
      </c>
      <c r="AK89" s="3">
        <v>4.7965586966047802E-4</v>
      </c>
    </row>
    <row r="90" spans="5:37" s="1" customFormat="1" ht="14.25" hidden="1" customHeight="1" x14ac:dyDescent="0.35">
      <c r="H90" s="641"/>
      <c r="I90" s="641"/>
      <c r="J90" s="641"/>
      <c r="K90" s="641"/>
      <c r="L90" s="641"/>
      <c r="M90" s="641"/>
      <c r="N90" s="641"/>
      <c r="O90" s="641"/>
      <c r="P90" s="641"/>
      <c r="Q90" s="641"/>
      <c r="R90" s="641"/>
      <c r="S90" s="641"/>
      <c r="T90" s="673"/>
      <c r="U90" s="673"/>
      <c r="V90" s="673"/>
      <c r="W90" s="724"/>
      <c r="X90" s="724"/>
      <c r="Y90" s="706"/>
      <c r="Z90" s="719"/>
      <c r="AA90" s="722"/>
      <c r="AB90" s="723"/>
      <c r="AC90" s="720"/>
      <c r="AD90" s="723"/>
      <c r="AH90" s="3">
        <f t="shared" si="5"/>
        <v>0</v>
      </c>
      <c r="AI90" s="3">
        <v>1.2958106339411302E-4</v>
      </c>
      <c r="AJ90" s="3">
        <v>1.2958106339411302E-4</v>
      </c>
      <c r="AK90" s="3">
        <v>4.7965586966047802E-4</v>
      </c>
    </row>
    <row r="91" spans="5:37" s="1" customFormat="1" ht="14.25" hidden="1" customHeight="1" x14ac:dyDescent="0.35">
      <c r="H91" s="641"/>
      <c r="I91" s="641"/>
      <c r="J91" s="641"/>
      <c r="K91" s="641"/>
      <c r="L91" s="641"/>
      <c r="M91" s="641"/>
      <c r="N91" s="641"/>
      <c r="O91" s="641"/>
      <c r="P91" s="641"/>
      <c r="Q91" s="641"/>
      <c r="R91" s="641"/>
      <c r="S91" s="641"/>
      <c r="T91" s="673"/>
      <c r="U91" s="673"/>
      <c r="V91" s="673"/>
      <c r="W91" s="673"/>
      <c r="X91" s="673"/>
      <c r="Y91" s="706"/>
      <c r="Z91" s="719"/>
      <c r="AA91" s="678"/>
      <c r="AB91" s="720"/>
      <c r="AC91" s="720"/>
      <c r="AD91" s="723"/>
      <c r="AH91" s="3">
        <f t="shared" si="5"/>
        <v>0</v>
      </c>
      <c r="AI91" s="3">
        <v>1.2958106339411302E-4</v>
      </c>
      <c r="AJ91" s="3">
        <v>1.2958106339411302E-4</v>
      </c>
      <c r="AK91" s="3">
        <v>4.7965586966047802E-4</v>
      </c>
    </row>
    <row r="92" spans="5:37" s="1" customFormat="1" ht="14.25" hidden="1" customHeight="1" x14ac:dyDescent="0.35">
      <c r="H92" s="641"/>
      <c r="I92" s="641"/>
      <c r="J92" s="641"/>
      <c r="K92" s="641"/>
      <c r="L92" s="641"/>
      <c r="M92" s="641"/>
      <c r="N92" s="641"/>
      <c r="O92" s="641"/>
      <c r="P92" s="641"/>
      <c r="Q92" s="641"/>
      <c r="R92" s="641"/>
      <c r="S92" s="641"/>
      <c r="T92" s="673"/>
      <c r="U92" s="673"/>
      <c r="V92" s="673"/>
      <c r="W92" s="724"/>
      <c r="X92" s="724"/>
      <c r="Y92" s="706"/>
      <c r="Z92" s="719"/>
      <c r="AA92" s="678"/>
      <c r="AB92" s="720"/>
      <c r="AC92" s="720"/>
      <c r="AD92" s="723"/>
      <c r="AH92" s="3">
        <f t="shared" si="5"/>
        <v>0</v>
      </c>
      <c r="AI92" s="3">
        <v>1.2958106339411302E-4</v>
      </c>
      <c r="AJ92" s="3">
        <v>1.2958106339411302E-4</v>
      </c>
      <c r="AK92" s="3">
        <v>4.7965586966047802E-4</v>
      </c>
    </row>
    <row r="93" spans="5:37" s="1" customFormat="1" ht="14.25" hidden="1" customHeight="1" x14ac:dyDescent="0.35">
      <c r="H93" s="641"/>
      <c r="I93" s="641"/>
      <c r="J93" s="641"/>
      <c r="K93" s="641"/>
      <c r="L93" s="641"/>
      <c r="M93" s="641"/>
      <c r="N93" s="641"/>
      <c r="O93" s="641"/>
      <c r="P93" s="641"/>
      <c r="Q93" s="641"/>
      <c r="R93" s="641"/>
      <c r="S93" s="641"/>
      <c r="T93" s="673"/>
      <c r="U93" s="673"/>
      <c r="V93" s="673"/>
      <c r="W93" s="724"/>
      <c r="X93" s="724"/>
      <c r="Y93" s="706"/>
      <c r="Z93" s="719"/>
      <c r="AA93" s="678"/>
      <c r="AB93" s="720"/>
      <c r="AC93" s="720"/>
      <c r="AD93" s="723"/>
      <c r="AH93" s="3">
        <f t="shared" si="5"/>
        <v>0</v>
      </c>
      <c r="AI93" s="3">
        <v>1.2958106339411302E-4</v>
      </c>
      <c r="AJ93" s="3">
        <v>1.2958106339411302E-4</v>
      </c>
      <c r="AK93" s="3">
        <v>4.7965586966047802E-4</v>
      </c>
    </row>
    <row r="94" spans="5:37" s="1" customFormat="1" ht="14.25" hidden="1" customHeight="1" x14ac:dyDescent="0.35">
      <c r="H94" s="641"/>
      <c r="I94" s="641"/>
      <c r="J94" s="641"/>
      <c r="K94" s="641"/>
      <c r="L94" s="641"/>
      <c r="M94" s="641"/>
      <c r="N94" s="641"/>
      <c r="O94" s="641"/>
      <c r="P94" s="641"/>
      <c r="Q94" s="641"/>
      <c r="R94" s="641"/>
      <c r="S94" s="641"/>
      <c r="T94" s="673"/>
      <c r="U94" s="673"/>
      <c r="V94" s="673"/>
      <c r="W94" s="673"/>
      <c r="X94" s="673"/>
      <c r="Y94" s="706"/>
      <c r="Z94" s="719"/>
      <c r="AA94" s="678"/>
      <c r="AB94" s="720"/>
      <c r="AC94" s="720"/>
      <c r="AD94" s="723"/>
      <c r="AH94" s="3">
        <f t="shared" si="5"/>
        <v>0</v>
      </c>
      <c r="AI94" s="3">
        <v>1.2958106339411302E-4</v>
      </c>
      <c r="AJ94" s="3">
        <v>1.2958106339411302E-4</v>
      </c>
      <c r="AK94" s="3">
        <v>4.7965586966047802E-4</v>
      </c>
    </row>
    <row r="95" spans="5:37" s="1" customFormat="1" ht="14.25" hidden="1" customHeight="1" x14ac:dyDescent="0.35">
      <c r="H95" s="695"/>
      <c r="I95" s="695"/>
      <c r="J95" s="695"/>
      <c r="K95" s="695"/>
      <c r="L95" s="695"/>
      <c r="M95" s="695"/>
      <c r="N95" s="695"/>
      <c r="O95" s="695"/>
      <c r="P95" s="695"/>
      <c r="Q95" s="695"/>
      <c r="R95" s="695"/>
      <c r="S95" s="695"/>
      <c r="T95" s="673"/>
      <c r="U95" s="725"/>
      <c r="V95" s="725"/>
      <c r="W95" s="725"/>
      <c r="X95" s="725"/>
      <c r="Y95" s="706"/>
      <c r="Z95" s="719"/>
      <c r="AA95" s="678"/>
      <c r="AB95" s="720"/>
      <c r="AC95" s="720"/>
      <c r="AD95" s="723"/>
      <c r="AH95" s="3">
        <f t="shared" si="5"/>
        <v>0</v>
      </c>
      <c r="AI95" s="3">
        <v>1.2958106339411302E-4</v>
      </c>
      <c r="AJ95" s="3">
        <v>1.2958106339411302E-4</v>
      </c>
      <c r="AK95" s="3">
        <v>4.7965586966047802E-4</v>
      </c>
    </row>
    <row r="96" spans="5:37" s="1" customFormat="1" ht="14.25" hidden="1" customHeight="1" x14ac:dyDescent="0.35">
      <c r="H96" s="695"/>
      <c r="I96" s="695"/>
      <c r="J96" s="695"/>
      <c r="K96" s="695"/>
      <c r="L96" s="695"/>
      <c r="M96" s="695"/>
      <c r="N96" s="695"/>
      <c r="O96" s="695"/>
      <c r="P96" s="695"/>
      <c r="Q96" s="695"/>
      <c r="R96" s="695"/>
      <c r="S96" s="695"/>
      <c r="T96" s="673"/>
      <c r="U96" s="725"/>
      <c r="V96" s="725"/>
      <c r="W96" s="725"/>
      <c r="X96" s="725"/>
      <c r="Y96" s="706"/>
      <c r="Z96" s="719"/>
      <c r="AA96" s="678"/>
      <c r="AB96" s="720"/>
      <c r="AC96" s="720"/>
      <c r="AD96" s="723"/>
      <c r="AH96" s="3">
        <f t="shared" si="5"/>
        <v>0</v>
      </c>
      <c r="AI96" s="3">
        <v>1.2958106339411302E-4</v>
      </c>
      <c r="AJ96" s="3">
        <v>1.2958106339411302E-4</v>
      </c>
      <c r="AK96" s="3">
        <v>4.7965586966047802E-4</v>
      </c>
    </row>
    <row r="97" spans="8:37" s="1" customFormat="1" ht="14.25" hidden="1" customHeight="1" x14ac:dyDescent="0.35">
      <c r="H97" s="641"/>
      <c r="I97" s="641"/>
      <c r="J97" s="641"/>
      <c r="K97" s="641"/>
      <c r="L97" s="641"/>
      <c r="M97" s="641"/>
      <c r="N97" s="641"/>
      <c r="O97" s="641"/>
      <c r="P97" s="641"/>
      <c r="Q97" s="641"/>
      <c r="R97" s="641"/>
      <c r="S97" s="641"/>
      <c r="T97" s="673"/>
      <c r="U97" s="668"/>
      <c r="V97" s="668"/>
      <c r="W97" s="668"/>
      <c r="X97" s="726"/>
      <c r="Y97" s="696"/>
      <c r="Z97" s="719"/>
      <c r="AA97" s="727"/>
      <c r="AB97" s="728"/>
      <c r="AC97" s="729"/>
      <c r="AD97" s="730"/>
      <c r="AH97" s="3">
        <f t="shared" si="5"/>
        <v>0</v>
      </c>
      <c r="AI97" s="3">
        <v>1.2958106339411302E-4</v>
      </c>
      <c r="AJ97" s="3">
        <v>1.2958106339411302E-4</v>
      </c>
      <c r="AK97" s="3">
        <v>4.7965586966047802E-4</v>
      </c>
    </row>
    <row r="98" spans="8:37" s="1" customFormat="1" ht="6.75" hidden="1" customHeight="1" x14ac:dyDescent="0.35">
      <c r="H98" s="641"/>
      <c r="I98" s="641"/>
      <c r="J98" s="641"/>
      <c r="K98" s="641"/>
      <c r="L98" s="641"/>
      <c r="M98" s="641"/>
      <c r="N98" s="641"/>
      <c r="O98" s="641"/>
      <c r="P98" s="641"/>
      <c r="Q98" s="641"/>
      <c r="R98" s="641"/>
      <c r="S98" s="641"/>
      <c r="T98" s="641"/>
      <c r="U98" s="641"/>
      <c r="V98" s="641"/>
      <c r="W98" s="641"/>
      <c r="X98" s="731"/>
      <c r="Y98" s="641"/>
      <c r="Z98" s="641"/>
      <c r="AA98" s="732"/>
      <c r="AB98" s="733"/>
      <c r="AC98" s="733"/>
      <c r="AD98" s="734"/>
      <c r="AH98" s="3">
        <f t="shared" si="5"/>
        <v>0</v>
      </c>
      <c r="AI98" s="3">
        <v>1.2958106339411302E-4</v>
      </c>
      <c r="AJ98" s="3">
        <v>1.2958106339411302E-4</v>
      </c>
      <c r="AK98" s="3">
        <v>4.7965586966047802E-4</v>
      </c>
    </row>
    <row r="99" spans="8:37" s="1" customFormat="1" ht="18.75" hidden="1" customHeight="1" x14ac:dyDescent="0.35">
      <c r="H99" s="1488"/>
      <c r="I99" s="1488"/>
      <c r="J99" s="1488"/>
      <c r="K99" s="1488"/>
      <c r="L99" s="1488"/>
      <c r="M99" s="1488"/>
      <c r="N99" s="1488"/>
      <c r="O99" s="1488"/>
      <c r="P99" s="1488"/>
      <c r="Q99" s="1488"/>
      <c r="R99" s="1488"/>
      <c r="S99" s="1488"/>
      <c r="T99" s="1488"/>
      <c r="U99" s="1488"/>
      <c r="V99" s="1488"/>
      <c r="W99" s="1490"/>
      <c r="X99" s="735"/>
      <c r="Y99" s="1492"/>
      <c r="Z99" s="1492"/>
      <c r="AA99" s="1490"/>
      <c r="AB99" s="1490"/>
      <c r="AC99" s="1493"/>
      <c r="AD99" s="1493"/>
      <c r="AH99" s="3">
        <f t="shared" si="5"/>
        <v>0</v>
      </c>
      <c r="AI99" s="3">
        <v>1.2958106339411302E-4</v>
      </c>
      <c r="AJ99" s="3">
        <v>1.2958106339411302E-4</v>
      </c>
      <c r="AK99" s="1">
        <v>4.7965586966047802E-4</v>
      </c>
    </row>
    <row r="100" spans="8:37" s="1" customFormat="1" ht="18.75" hidden="1" customHeight="1" x14ac:dyDescent="0.25">
      <c r="H100" s="1489"/>
      <c r="I100" s="1489"/>
      <c r="J100" s="1489"/>
      <c r="K100" s="1489"/>
      <c r="L100" s="1489"/>
      <c r="M100" s="1489"/>
      <c r="N100" s="1489"/>
      <c r="O100" s="1489"/>
      <c r="P100" s="1489"/>
      <c r="Q100" s="1489"/>
      <c r="R100" s="1489"/>
      <c r="S100" s="1489"/>
      <c r="T100" s="1489"/>
      <c r="U100" s="1489"/>
      <c r="V100" s="1489"/>
      <c r="W100" s="1491"/>
      <c r="X100" s="736"/>
      <c r="Y100" s="699"/>
      <c r="Z100" s="700"/>
      <c r="AA100" s="1491"/>
      <c r="AB100" s="1491"/>
      <c r="AC100" s="1494"/>
      <c r="AD100" s="1494"/>
      <c r="AH100" s="3">
        <f t="shared" si="5"/>
        <v>0</v>
      </c>
      <c r="AI100" s="3">
        <v>1.2958106339411302E-4</v>
      </c>
      <c r="AJ100" s="3">
        <v>1.2958106339411302E-4</v>
      </c>
      <c r="AK100" s="3">
        <v>4.7965586966047802E-4</v>
      </c>
    </row>
    <row r="101" spans="8:37" s="1" customFormat="1" ht="14.25" hidden="1" customHeight="1" x14ac:dyDescent="0.35">
      <c r="H101" s="641"/>
      <c r="I101" s="641"/>
      <c r="J101" s="641"/>
      <c r="K101" s="641"/>
      <c r="L101" s="641"/>
      <c r="M101" s="641"/>
      <c r="N101" s="641"/>
      <c r="O101" s="641"/>
      <c r="P101" s="641"/>
      <c r="Q101" s="641"/>
      <c r="R101" s="641"/>
      <c r="S101" s="641"/>
      <c r="T101" s="737"/>
      <c r="U101" s="737"/>
      <c r="V101" s="737"/>
      <c r="W101" s="738"/>
      <c r="X101" s="738"/>
      <c r="Y101" s="701"/>
      <c r="Z101" s="702"/>
      <c r="AA101" s="739"/>
      <c r="AB101" s="740"/>
      <c r="AC101" s="740"/>
      <c r="AD101" s="740"/>
      <c r="AH101" s="3">
        <f t="shared" si="5"/>
        <v>0</v>
      </c>
      <c r="AI101" s="3">
        <v>1.2958106339411302E-4</v>
      </c>
      <c r="AJ101" s="3">
        <v>1.2958106339411302E-4</v>
      </c>
      <c r="AK101" s="3">
        <v>4.7965586966047802E-4</v>
      </c>
    </row>
    <row r="102" spans="8:37" s="1" customFormat="1" ht="14.25" hidden="1" customHeight="1" x14ac:dyDescent="0.35">
      <c r="H102" s="641"/>
      <c r="I102" s="641"/>
      <c r="J102" s="641"/>
      <c r="K102" s="641"/>
      <c r="L102" s="641"/>
      <c r="M102" s="641"/>
      <c r="N102" s="641"/>
      <c r="O102" s="641"/>
      <c r="P102" s="641"/>
      <c r="Q102" s="641"/>
      <c r="R102" s="641"/>
      <c r="S102" s="641"/>
      <c r="T102" s="673"/>
      <c r="U102" s="673"/>
      <c r="V102" s="673"/>
      <c r="W102" s="738"/>
      <c r="X102" s="738"/>
      <c r="Y102" s="706"/>
      <c r="Z102" s="707"/>
      <c r="AA102" s="722"/>
      <c r="AB102" s="740"/>
      <c r="AC102" s="740"/>
      <c r="AD102" s="723"/>
      <c r="AH102" s="3">
        <f t="shared" si="5"/>
        <v>0</v>
      </c>
      <c r="AI102" s="3">
        <v>1.2958106339411302E-4</v>
      </c>
      <c r="AJ102" s="3">
        <v>1.2958106339411302E-4</v>
      </c>
      <c r="AK102" s="3">
        <v>4.7965586966047802E-4</v>
      </c>
    </row>
    <row r="103" spans="8:37" s="1" customFormat="1" ht="14.25" hidden="1" customHeight="1" x14ac:dyDescent="0.35">
      <c r="H103" s="641"/>
      <c r="I103" s="641"/>
      <c r="J103" s="641"/>
      <c r="K103" s="641"/>
      <c r="L103" s="641"/>
      <c r="M103" s="641"/>
      <c r="N103" s="641"/>
      <c r="O103" s="641"/>
      <c r="P103" s="641"/>
      <c r="Q103" s="641"/>
      <c r="R103" s="641"/>
      <c r="S103" s="641"/>
      <c r="T103" s="673"/>
      <c r="U103" s="673"/>
      <c r="V103" s="673"/>
      <c r="W103" s="738"/>
      <c r="X103" s="738"/>
      <c r="Y103" s="706"/>
      <c r="Z103" s="707"/>
      <c r="AA103" s="722"/>
      <c r="AB103" s="740"/>
      <c r="AC103" s="740"/>
      <c r="AD103" s="723"/>
      <c r="AH103" s="3">
        <f t="shared" si="5"/>
        <v>0</v>
      </c>
      <c r="AI103" s="3">
        <v>1.2958106339411302E-4</v>
      </c>
      <c r="AJ103" s="3">
        <v>1.2958106339411302E-4</v>
      </c>
      <c r="AK103" s="3">
        <v>4.7965586966047802E-4</v>
      </c>
    </row>
    <row r="104" spans="8:37" s="1" customFormat="1" ht="14.25" hidden="1" customHeight="1" x14ac:dyDescent="0.35">
      <c r="H104" s="641"/>
      <c r="I104" s="641"/>
      <c r="J104" s="641"/>
      <c r="K104" s="641"/>
      <c r="L104" s="641"/>
      <c r="M104" s="641"/>
      <c r="N104" s="641"/>
      <c r="O104" s="641"/>
      <c r="P104" s="641"/>
      <c r="Q104" s="641"/>
      <c r="R104" s="641"/>
      <c r="S104" s="641"/>
      <c r="T104" s="673"/>
      <c r="U104" s="673"/>
      <c r="V104" s="673"/>
      <c r="W104" s="738"/>
      <c r="X104" s="738"/>
      <c r="Y104" s="706"/>
      <c r="Z104" s="707"/>
      <c r="AA104" s="722"/>
      <c r="AB104" s="740"/>
      <c r="AC104" s="740"/>
      <c r="AD104" s="723"/>
      <c r="AH104" s="3">
        <f t="shared" si="5"/>
        <v>0</v>
      </c>
      <c r="AI104" s="3">
        <v>1.2958106339411302E-4</v>
      </c>
      <c r="AJ104" s="3">
        <v>1.2958106339411302E-4</v>
      </c>
      <c r="AK104" s="3">
        <v>4.7965586966047802E-4</v>
      </c>
    </row>
    <row r="105" spans="8:37" s="1" customFormat="1" ht="14.25" hidden="1" customHeight="1" x14ac:dyDescent="0.35">
      <c r="H105" s="641"/>
      <c r="I105" s="641"/>
      <c r="J105" s="641"/>
      <c r="K105" s="641"/>
      <c r="L105" s="641"/>
      <c r="M105" s="641"/>
      <c r="N105" s="641"/>
      <c r="O105" s="641"/>
      <c r="P105" s="641"/>
      <c r="Q105" s="641"/>
      <c r="R105" s="641"/>
      <c r="S105" s="641"/>
      <c r="T105" s="673"/>
      <c r="U105" s="673"/>
      <c r="V105" s="673"/>
      <c r="W105" s="738"/>
      <c r="X105" s="738"/>
      <c r="Y105" s="706"/>
      <c r="Z105" s="707"/>
      <c r="AA105" s="722"/>
      <c r="AB105" s="740"/>
      <c r="AC105" s="740"/>
      <c r="AD105" s="723"/>
      <c r="AH105" s="3">
        <f t="shared" si="5"/>
        <v>0</v>
      </c>
      <c r="AI105" s="3">
        <v>1.2958106339411302E-4</v>
      </c>
      <c r="AJ105" s="3">
        <v>1.2958106339411302E-4</v>
      </c>
      <c r="AK105" s="3">
        <v>4.7965586966047802E-4</v>
      </c>
    </row>
    <row r="106" spans="8:37" s="1" customFormat="1" ht="14.25" hidden="1" customHeight="1" x14ac:dyDescent="0.35">
      <c r="H106" s="641"/>
      <c r="I106" s="641"/>
      <c r="J106" s="641"/>
      <c r="K106" s="641"/>
      <c r="L106" s="641"/>
      <c r="M106" s="641"/>
      <c r="N106" s="641"/>
      <c r="O106" s="641"/>
      <c r="P106" s="641"/>
      <c r="Q106" s="641"/>
      <c r="R106" s="641"/>
      <c r="S106" s="641"/>
      <c r="T106" s="673"/>
      <c r="U106" s="673"/>
      <c r="V106" s="673"/>
      <c r="W106" s="738"/>
      <c r="X106" s="738"/>
      <c r="Y106" s="706"/>
      <c r="Z106" s="707"/>
      <c r="AA106" s="722"/>
      <c r="AB106" s="740"/>
      <c r="AC106" s="740"/>
      <c r="AD106" s="723"/>
      <c r="AH106" s="3">
        <f t="shared" si="5"/>
        <v>0</v>
      </c>
      <c r="AI106" s="3">
        <v>1.2958106339411302E-4</v>
      </c>
      <c r="AJ106" s="3">
        <v>1.2958106339411302E-4</v>
      </c>
      <c r="AK106" s="3">
        <v>4.7965586966047802E-4</v>
      </c>
    </row>
    <row r="107" spans="8:37" s="1" customFormat="1" ht="14.25" hidden="1" customHeight="1" x14ac:dyDescent="0.35">
      <c r="H107" s="641"/>
      <c r="I107" s="641"/>
      <c r="J107" s="641"/>
      <c r="K107" s="641"/>
      <c r="L107" s="641"/>
      <c r="M107" s="641"/>
      <c r="N107" s="641"/>
      <c r="O107" s="641"/>
      <c r="P107" s="641"/>
      <c r="Q107" s="641"/>
      <c r="R107" s="641"/>
      <c r="S107" s="641"/>
      <c r="T107" s="673"/>
      <c r="U107" s="673"/>
      <c r="V107" s="673"/>
      <c r="W107" s="738"/>
      <c r="X107" s="738"/>
      <c r="Y107" s="706"/>
      <c r="Z107" s="707"/>
      <c r="AA107" s="722"/>
      <c r="AB107" s="740"/>
      <c r="AC107" s="740"/>
      <c r="AD107" s="723"/>
      <c r="AH107" s="3">
        <f t="shared" si="5"/>
        <v>0</v>
      </c>
      <c r="AI107" s="3">
        <v>1.2958106339411302E-4</v>
      </c>
      <c r="AJ107" s="3">
        <v>1.2958106339411302E-4</v>
      </c>
      <c r="AK107" s="3">
        <v>4.7965586966047802E-4</v>
      </c>
    </row>
    <row r="108" spans="8:37" s="1" customFormat="1" ht="14.25" hidden="1" customHeight="1" x14ac:dyDescent="0.35">
      <c r="H108" s="641"/>
      <c r="I108" s="641"/>
      <c r="J108" s="641"/>
      <c r="K108" s="641"/>
      <c r="L108" s="641"/>
      <c r="M108" s="641"/>
      <c r="N108" s="641"/>
      <c r="O108" s="641"/>
      <c r="P108" s="641"/>
      <c r="Q108" s="641"/>
      <c r="R108" s="641"/>
      <c r="S108" s="641"/>
      <c r="T108" s="673"/>
      <c r="U108" s="673"/>
      <c r="V108" s="673"/>
      <c r="W108" s="738"/>
      <c r="X108" s="738"/>
      <c r="Y108" s="706"/>
      <c r="Z108" s="707"/>
      <c r="AA108" s="722"/>
      <c r="AB108" s="740"/>
      <c r="AC108" s="740"/>
      <c r="AD108" s="723"/>
      <c r="AH108" s="3">
        <f t="shared" si="5"/>
        <v>0</v>
      </c>
      <c r="AI108" s="3">
        <v>1.2958106339411302E-4</v>
      </c>
      <c r="AJ108" s="3">
        <v>1.2958106339411302E-4</v>
      </c>
      <c r="AK108" s="3">
        <v>4.7965586966047802E-4</v>
      </c>
    </row>
    <row r="109" spans="8:37" s="1" customFormat="1" ht="14.25" hidden="1" customHeight="1" x14ac:dyDescent="0.35">
      <c r="H109" s="641"/>
      <c r="I109" s="641"/>
      <c r="J109" s="641"/>
      <c r="K109" s="641"/>
      <c r="L109" s="641"/>
      <c r="M109" s="641"/>
      <c r="N109" s="641"/>
      <c r="O109" s="641"/>
      <c r="P109" s="641"/>
      <c r="Q109" s="641"/>
      <c r="R109" s="641"/>
      <c r="S109" s="641"/>
      <c r="T109" s="673"/>
      <c r="U109" s="673"/>
      <c r="V109" s="673"/>
      <c r="W109" s="738"/>
      <c r="X109" s="738"/>
      <c r="Y109" s="706"/>
      <c r="Z109" s="707"/>
      <c r="AA109" s="722"/>
      <c r="AB109" s="740"/>
      <c r="AC109" s="740"/>
      <c r="AD109" s="723"/>
      <c r="AH109" s="3">
        <f t="shared" ref="AH109:AH114" si="8">+AA109</f>
        <v>0</v>
      </c>
      <c r="AI109" s="3">
        <v>1.2958106339411302E-4</v>
      </c>
      <c r="AJ109" s="3">
        <v>1.2958106339411302E-4</v>
      </c>
      <c r="AK109" s="3">
        <v>4.7965586966047802E-4</v>
      </c>
    </row>
    <row r="110" spans="8:37" s="1" customFormat="1" ht="14.25" hidden="1" customHeight="1" x14ac:dyDescent="0.35">
      <c r="H110" s="641"/>
      <c r="I110" s="641"/>
      <c r="J110" s="641"/>
      <c r="K110" s="641"/>
      <c r="L110" s="641"/>
      <c r="M110" s="641"/>
      <c r="N110" s="641"/>
      <c r="O110" s="641"/>
      <c r="P110" s="641"/>
      <c r="Q110" s="641"/>
      <c r="R110" s="641"/>
      <c r="S110" s="641"/>
      <c r="T110" s="673"/>
      <c r="U110" s="673"/>
      <c r="V110" s="673"/>
      <c r="W110" s="738"/>
      <c r="X110" s="738"/>
      <c r="Y110" s="706"/>
      <c r="Z110" s="707"/>
      <c r="AA110" s="722"/>
      <c r="AB110" s="740"/>
      <c r="AC110" s="740"/>
      <c r="AD110" s="723"/>
      <c r="AH110" s="3">
        <f t="shared" si="8"/>
        <v>0</v>
      </c>
      <c r="AI110" s="3">
        <v>1.2958106339411302E-4</v>
      </c>
      <c r="AJ110" s="3">
        <v>1.2958106339411302E-4</v>
      </c>
      <c r="AK110" s="3">
        <v>4.7965586966047802E-4</v>
      </c>
    </row>
    <row r="111" spans="8:37" s="1" customFormat="1" ht="5.7" hidden="1" customHeight="1" x14ac:dyDescent="0.35">
      <c r="H111" s="641"/>
      <c r="I111" s="641"/>
      <c r="J111" s="641"/>
      <c r="K111" s="641"/>
      <c r="L111" s="641"/>
      <c r="M111" s="641"/>
      <c r="N111" s="641"/>
      <c r="O111" s="641"/>
      <c r="P111" s="641"/>
      <c r="Q111" s="641"/>
      <c r="R111" s="641"/>
      <c r="S111" s="641"/>
      <c r="T111" s="673"/>
      <c r="U111" s="673"/>
      <c r="V111" s="673"/>
      <c r="W111" s="738"/>
      <c r="X111" s="738"/>
      <c r="Y111" s="706"/>
      <c r="Z111" s="707"/>
      <c r="AA111" s="722"/>
      <c r="AB111" s="740"/>
      <c r="AC111" s="740"/>
      <c r="AD111" s="723"/>
      <c r="AH111" s="3">
        <f t="shared" si="8"/>
        <v>0</v>
      </c>
      <c r="AI111" s="3">
        <v>1.2958106339411302E-4</v>
      </c>
      <c r="AJ111" s="3">
        <v>1.2958106339411302E-4</v>
      </c>
      <c r="AK111" s="3">
        <v>4.7965586966047802E-4</v>
      </c>
    </row>
    <row r="112" spans="8:37" s="1" customFormat="1" ht="8.6999999999999993" hidden="1" customHeight="1" x14ac:dyDescent="0.35">
      <c r="H112" s="641"/>
      <c r="I112" s="641"/>
      <c r="J112" s="641"/>
      <c r="K112" s="641"/>
      <c r="L112" s="641"/>
      <c r="M112" s="641"/>
      <c r="N112" s="641"/>
      <c r="O112" s="641"/>
      <c r="P112" s="641"/>
      <c r="Q112" s="641"/>
      <c r="R112" s="641"/>
      <c r="S112" s="641"/>
      <c r="T112" s="673"/>
      <c r="U112" s="673"/>
      <c r="V112" s="673"/>
      <c r="W112" s="738"/>
      <c r="X112" s="738"/>
      <c r="Y112" s="706"/>
      <c r="Z112" s="707"/>
      <c r="AA112" s="722"/>
      <c r="AB112" s="740"/>
      <c r="AC112" s="740"/>
      <c r="AD112" s="723"/>
      <c r="AH112" s="3">
        <f t="shared" si="8"/>
        <v>0</v>
      </c>
      <c r="AI112" s="3">
        <v>1.2958106339411302E-4</v>
      </c>
      <c r="AJ112" s="3">
        <v>1.2958106339411302E-4</v>
      </c>
      <c r="AK112" s="3">
        <v>4.7965586966047802E-4</v>
      </c>
    </row>
    <row r="113" spans="8:37" s="1" customFormat="1" ht="9" hidden="1" customHeight="1" x14ac:dyDescent="0.35">
      <c r="H113" s="695"/>
      <c r="I113" s="695"/>
      <c r="J113" s="695"/>
      <c r="K113" s="695"/>
      <c r="L113" s="695"/>
      <c r="M113" s="695"/>
      <c r="N113" s="695"/>
      <c r="O113" s="695"/>
      <c r="P113" s="695"/>
      <c r="Q113" s="695"/>
      <c r="R113" s="695"/>
      <c r="S113" s="695"/>
      <c r="T113" s="673"/>
      <c r="U113" s="725"/>
      <c r="V113" s="725"/>
      <c r="W113" s="741"/>
      <c r="X113" s="741"/>
      <c r="Y113" s="706"/>
      <c r="Z113" s="707"/>
      <c r="AA113" s="722"/>
      <c r="AB113" s="740"/>
      <c r="AC113" s="740"/>
      <c r="AD113" s="723"/>
      <c r="AH113" s="3">
        <f t="shared" si="8"/>
        <v>0</v>
      </c>
      <c r="AI113" s="3">
        <v>1.2958106339411302E-4</v>
      </c>
      <c r="AJ113" s="3">
        <v>1.2958106339411302E-4</v>
      </c>
      <c r="AK113" s="3">
        <v>4.7965586966047802E-4</v>
      </c>
    </row>
    <row r="114" spans="8:37" s="1" customFormat="1" ht="14.7" customHeight="1" x14ac:dyDescent="0.35">
      <c r="H114" s="641"/>
      <c r="I114" s="641"/>
      <c r="J114" s="641"/>
      <c r="K114" s="641"/>
      <c r="L114" s="641"/>
      <c r="M114" s="641"/>
      <c r="N114" s="641"/>
      <c r="O114" s="641"/>
      <c r="P114" s="641"/>
      <c r="Q114" s="641"/>
      <c r="R114" s="641"/>
      <c r="S114" s="641"/>
      <c r="T114" s="1480" t="s">
        <v>1760</v>
      </c>
      <c r="U114" s="1469"/>
      <c r="V114" s="1469"/>
      <c r="W114" s="1469"/>
      <c r="X114" s="1470"/>
      <c r="Y114" s="706"/>
      <c r="Z114" s="707"/>
      <c r="AA114" s="678">
        <v>0.03</v>
      </c>
      <c r="AB114" s="721">
        <v>5.1700000000000003E-2</v>
      </c>
      <c r="AC114" s="721"/>
      <c r="AD114" s="705">
        <v>1.67E-2</v>
      </c>
      <c r="AH114" s="3">
        <f t="shared" si="8"/>
        <v>0.03</v>
      </c>
      <c r="AI114" s="3">
        <v>3.0992772470001873E-2</v>
      </c>
      <c r="AJ114" s="3">
        <v>3.0992772470001873E-2</v>
      </c>
      <c r="AK114" s="3">
        <v>3.1393941678828918E-2</v>
      </c>
    </row>
    <row r="115" spans="8:37" s="1" customFormat="1" ht="14.7" customHeight="1" x14ac:dyDescent="0.35">
      <c r="H115" s="641"/>
      <c r="I115" s="641"/>
      <c r="J115" s="641"/>
      <c r="K115" s="641"/>
      <c r="L115" s="641"/>
      <c r="M115" s="641"/>
      <c r="N115" s="641"/>
      <c r="O115" s="641"/>
      <c r="P115" s="641"/>
      <c r="Q115" s="641"/>
      <c r="R115" s="641"/>
      <c r="S115" s="641"/>
      <c r="T115" s="1480" t="s">
        <v>1761</v>
      </c>
      <c r="U115" s="1469"/>
      <c r="V115" s="1469"/>
      <c r="W115" s="1469"/>
      <c r="X115" s="1470"/>
      <c r="Y115" s="706"/>
      <c r="Z115" s="707"/>
      <c r="AA115" s="678">
        <v>0.03</v>
      </c>
      <c r="AB115" s="721">
        <v>5.0700000000000002E-2</v>
      </c>
      <c r="AC115" s="721"/>
      <c r="AD115" s="705">
        <v>1.5900000000000001E-2</v>
      </c>
      <c r="AH115" s="3"/>
      <c r="AI115" s="3"/>
      <c r="AJ115" s="3"/>
      <c r="AK115" s="3"/>
    </row>
    <row r="116" spans="8:37" s="1" customFormat="1" ht="14.7" customHeight="1" x14ac:dyDescent="0.35">
      <c r="H116" s="641"/>
      <c r="I116" s="641"/>
      <c r="J116" s="641"/>
      <c r="K116" s="641"/>
      <c r="L116" s="641"/>
      <c r="M116" s="641"/>
      <c r="N116" s="641"/>
      <c r="O116" s="641"/>
      <c r="P116" s="641"/>
      <c r="Q116" s="641"/>
      <c r="R116" s="641"/>
      <c r="S116" s="641"/>
      <c r="T116" s="1480" t="s">
        <v>1762</v>
      </c>
      <c r="U116" s="1469"/>
      <c r="V116" s="1469"/>
      <c r="W116" s="1469"/>
      <c r="X116" s="1470"/>
      <c r="Y116" s="706"/>
      <c r="Z116" s="707"/>
      <c r="AA116" s="678">
        <v>0.03</v>
      </c>
      <c r="AB116" s="678">
        <v>4.9000000000000002E-2</v>
      </c>
      <c r="AC116" s="723">
        <f t="shared" ref="AC116" si="9">+AK116</f>
        <v>0</v>
      </c>
      <c r="AD116" s="705">
        <v>1.46E-2</v>
      </c>
      <c r="AH116" s="3"/>
      <c r="AI116" s="3"/>
      <c r="AJ116" s="3"/>
      <c r="AK116" s="3"/>
    </row>
    <row r="117" spans="8:37" s="1" customFormat="1" ht="14.7" customHeight="1" x14ac:dyDescent="0.35">
      <c r="H117" s="641"/>
      <c r="I117" s="641"/>
      <c r="J117" s="641"/>
      <c r="K117" s="641"/>
      <c r="L117" s="641"/>
      <c r="M117" s="641"/>
      <c r="N117" s="641"/>
      <c r="O117" s="641"/>
      <c r="P117" s="641"/>
      <c r="Q117" s="641"/>
      <c r="R117" s="641"/>
      <c r="S117" s="641"/>
      <c r="T117" s="1480" t="s">
        <v>1769</v>
      </c>
      <c r="U117" s="1469"/>
      <c r="V117" s="1469"/>
      <c r="W117" s="1469"/>
      <c r="X117" s="1470"/>
      <c r="Y117" s="706"/>
      <c r="Z117" s="707"/>
      <c r="AA117" s="678">
        <v>0.03</v>
      </c>
      <c r="AB117" s="678">
        <v>4.9099999999999998E-2</v>
      </c>
      <c r="AC117" s="723"/>
      <c r="AD117" s="705">
        <v>1.47E-2</v>
      </c>
      <c r="AH117" s="3"/>
      <c r="AI117" s="3"/>
      <c r="AJ117" s="3"/>
      <c r="AK117" s="3"/>
    </row>
    <row r="118" spans="8:37" s="1" customFormat="1" ht="14.7" customHeight="1" x14ac:dyDescent="0.35">
      <c r="H118" s="641"/>
      <c r="I118" s="641"/>
      <c r="J118" s="641"/>
      <c r="K118" s="641"/>
      <c r="L118" s="641"/>
      <c r="M118" s="641"/>
      <c r="N118" s="641"/>
      <c r="O118" s="641"/>
      <c r="P118" s="641"/>
      <c r="Q118" s="641"/>
      <c r="R118" s="641"/>
      <c r="S118" s="641"/>
      <c r="T118" s="1480" t="s">
        <v>1768</v>
      </c>
      <c r="U118" s="1469"/>
      <c r="V118" s="1469"/>
      <c r="W118" s="1469"/>
      <c r="X118" s="1470"/>
      <c r="Y118" s="706"/>
      <c r="Z118" s="707"/>
      <c r="AA118" s="678">
        <v>0.03</v>
      </c>
      <c r="AB118" s="678">
        <v>5.04E-2</v>
      </c>
      <c r="AC118" s="723"/>
      <c r="AD118" s="705">
        <v>1.5699999999999999E-2</v>
      </c>
      <c r="AH118" s="3"/>
      <c r="AI118" s="3"/>
      <c r="AJ118" s="3"/>
      <c r="AK118" s="3"/>
    </row>
    <row r="119" spans="8:37" s="1" customFormat="1" ht="14.7" customHeight="1" x14ac:dyDescent="0.35">
      <c r="H119" s="641"/>
      <c r="I119" s="641"/>
      <c r="J119" s="641"/>
      <c r="K119" s="641"/>
      <c r="L119" s="641"/>
      <c r="M119" s="641"/>
      <c r="N119" s="641"/>
      <c r="O119" s="641"/>
      <c r="P119" s="641"/>
      <c r="Q119" s="641"/>
      <c r="R119" s="641"/>
      <c r="S119" s="641"/>
      <c r="T119" s="1480" t="s">
        <v>1770</v>
      </c>
      <c r="U119" s="1469"/>
      <c r="V119" s="1469"/>
      <c r="W119" s="1469"/>
      <c r="X119" s="1470"/>
      <c r="Y119" s="706"/>
      <c r="Z119" s="707"/>
      <c r="AA119" s="678">
        <v>0.03</v>
      </c>
      <c r="AB119" s="678">
        <v>5.21E-2</v>
      </c>
      <c r="AC119" s="723"/>
      <c r="AD119" s="705">
        <v>1.7000000000000001E-2</v>
      </c>
      <c r="AH119" s="3"/>
      <c r="AI119" s="3"/>
      <c r="AJ119" s="3"/>
      <c r="AK119" s="3"/>
    </row>
    <row r="120" spans="8:37" s="1" customFormat="1" ht="14.7" customHeight="1" x14ac:dyDescent="0.35">
      <c r="H120" s="641"/>
      <c r="I120" s="641"/>
      <c r="J120" s="641"/>
      <c r="K120" s="641"/>
      <c r="L120" s="641"/>
      <c r="M120" s="641"/>
      <c r="N120" s="641"/>
      <c r="O120" s="641"/>
      <c r="P120" s="641"/>
      <c r="Q120" s="641"/>
      <c r="R120" s="641"/>
      <c r="S120" s="641"/>
      <c r="T120" s="1480" t="s">
        <v>1771</v>
      </c>
      <c r="U120" s="1469"/>
      <c r="V120" s="1469"/>
      <c r="W120" s="1469"/>
      <c r="X120" s="1470"/>
      <c r="Y120" s="706"/>
      <c r="Z120" s="707"/>
      <c r="AA120" s="678">
        <v>0.03</v>
      </c>
      <c r="AB120" s="678">
        <v>5.3800000000000001E-2</v>
      </c>
      <c r="AC120" s="723"/>
      <c r="AD120" s="705">
        <v>1.83E-2</v>
      </c>
      <c r="AH120" s="3"/>
      <c r="AI120" s="3"/>
      <c r="AJ120" s="3"/>
      <c r="AK120" s="3"/>
    </row>
    <row r="121" spans="8:37" s="1" customFormat="1" ht="14.7" customHeight="1" x14ac:dyDescent="0.35">
      <c r="H121" s="641"/>
      <c r="I121" s="641"/>
      <c r="J121" s="641"/>
      <c r="K121" s="641"/>
      <c r="L121" s="641"/>
      <c r="M121" s="641"/>
      <c r="N121" s="641"/>
      <c r="O121" s="641"/>
      <c r="P121" s="641"/>
      <c r="Q121" s="641"/>
      <c r="R121" s="641"/>
      <c r="S121" s="641"/>
      <c r="T121" s="1480" t="s">
        <v>1772</v>
      </c>
      <c r="U121" s="1469"/>
      <c r="V121" s="1469"/>
      <c r="W121" s="1469"/>
      <c r="X121" s="1470"/>
      <c r="Y121" s="706"/>
      <c r="Z121" s="707"/>
      <c r="AA121" s="678">
        <v>0.03</v>
      </c>
      <c r="AB121" s="678">
        <v>5.3800000000000001E-2</v>
      </c>
      <c r="AC121" s="723"/>
      <c r="AD121" s="705">
        <v>1.89E-2</v>
      </c>
      <c r="AH121" s="3"/>
      <c r="AI121" s="3"/>
      <c r="AJ121" s="3"/>
      <c r="AK121" s="3"/>
    </row>
    <row r="122" spans="8:37" s="1" customFormat="1" ht="14.25" customHeight="1" x14ac:dyDescent="0.35">
      <c r="H122" s="641"/>
      <c r="I122" s="641"/>
      <c r="J122" s="641"/>
      <c r="K122" s="641"/>
      <c r="L122" s="641"/>
      <c r="M122" s="641"/>
      <c r="N122" s="641"/>
      <c r="O122" s="641"/>
      <c r="P122" s="641"/>
      <c r="Q122" s="641"/>
      <c r="R122" s="641"/>
      <c r="S122" s="641"/>
      <c r="T122" s="1480" t="s">
        <v>1773</v>
      </c>
      <c r="U122" s="1469"/>
      <c r="V122" s="1469"/>
      <c r="W122" s="1469"/>
      <c r="X122" s="1470"/>
      <c r="Y122" s="710"/>
      <c r="Z122" s="707"/>
      <c r="AA122" s="678">
        <v>0.03</v>
      </c>
      <c r="AB122" s="678">
        <v>5.57E-2</v>
      </c>
      <c r="AC122" s="723">
        <f t="shared" ref="AC122" si="10">+AK122</f>
        <v>0</v>
      </c>
      <c r="AD122" s="705">
        <v>1.9800000000000002E-2</v>
      </c>
    </row>
    <row r="123" spans="8:37" s="1" customFormat="1" ht="14.25" customHeight="1" x14ac:dyDescent="0.35">
      <c r="H123" s="641"/>
      <c r="I123" s="641"/>
      <c r="J123" s="641"/>
      <c r="K123" s="641"/>
      <c r="L123" s="641"/>
      <c r="M123" s="641"/>
      <c r="N123" s="641"/>
      <c r="O123" s="641"/>
      <c r="P123" s="641"/>
      <c r="Q123" s="641"/>
      <c r="R123" s="641"/>
      <c r="S123" s="641"/>
      <c r="T123" s="1468" t="s">
        <v>1824</v>
      </c>
      <c r="U123" s="1469"/>
      <c r="V123" s="1469"/>
      <c r="W123" s="1469"/>
      <c r="X123" s="1470"/>
      <c r="Y123" s="710"/>
      <c r="Z123" s="707"/>
      <c r="AA123" s="678">
        <v>0.03</v>
      </c>
      <c r="AB123" s="678">
        <v>5.6500000000000002E-2</v>
      </c>
      <c r="AC123" s="723"/>
      <c r="AD123" s="705">
        <v>2.0400000000000001E-2</v>
      </c>
    </row>
    <row r="124" spans="8:37" s="1" customFormat="1" ht="14.25" customHeight="1" x14ac:dyDescent="0.35">
      <c r="H124" s="641"/>
      <c r="I124" s="641"/>
      <c r="J124" s="641"/>
      <c r="K124" s="641"/>
      <c r="L124" s="641"/>
      <c r="M124" s="641"/>
      <c r="N124" s="641"/>
      <c r="O124" s="641"/>
      <c r="P124" s="641"/>
      <c r="Q124" s="641"/>
      <c r="R124" s="641"/>
      <c r="S124" s="641"/>
      <c r="T124" s="1468" t="s">
        <v>1827</v>
      </c>
      <c r="U124" s="1469"/>
      <c r="V124" s="1469"/>
      <c r="W124" s="1469"/>
      <c r="X124" s="1470"/>
      <c r="Y124" s="710"/>
      <c r="Z124" s="707"/>
      <c r="AA124" s="678">
        <v>0.03</v>
      </c>
      <c r="AB124" s="678">
        <v>5.8900000000000001E-2</v>
      </c>
      <c r="AC124" s="723"/>
      <c r="AD124" s="705">
        <v>2.2200000000000001E-2</v>
      </c>
    </row>
    <row r="125" spans="8:37" s="1" customFormat="1" ht="14.25" customHeight="1" x14ac:dyDescent="0.35">
      <c r="H125" s="641"/>
      <c r="I125" s="641"/>
      <c r="J125" s="641"/>
      <c r="K125" s="641"/>
      <c r="L125" s="641"/>
      <c r="M125" s="641"/>
      <c r="N125" s="641"/>
      <c r="O125" s="641"/>
      <c r="P125" s="641"/>
      <c r="Q125" s="641"/>
      <c r="R125" s="641"/>
      <c r="S125" s="641"/>
      <c r="T125" s="1468" t="s">
        <v>1828</v>
      </c>
      <c r="U125" s="1469"/>
      <c r="V125" s="1469"/>
      <c r="W125" s="1469"/>
      <c r="X125" s="1470"/>
      <c r="Y125" s="710"/>
      <c r="Z125" s="707"/>
      <c r="AA125" s="678">
        <v>0.03</v>
      </c>
      <c r="AB125" s="678">
        <v>6.4500000000000002E-2</v>
      </c>
      <c r="AC125" s="723"/>
      <c r="AD125" s="705">
        <v>2.6499999999999999E-2</v>
      </c>
    </row>
    <row r="126" spans="8:37" s="1" customFormat="1" ht="14.25" customHeight="1" x14ac:dyDescent="0.35">
      <c r="H126" s="641"/>
      <c r="I126" s="641"/>
      <c r="J126" s="641"/>
      <c r="K126" s="641"/>
      <c r="L126" s="641"/>
      <c r="M126" s="641"/>
      <c r="N126" s="641"/>
      <c r="O126" s="641"/>
      <c r="P126" s="641"/>
      <c r="Q126" s="641"/>
      <c r="R126" s="641"/>
      <c r="S126" s="641"/>
      <c r="T126" s="1468" t="s">
        <v>1829</v>
      </c>
      <c r="U126" s="1471"/>
      <c r="V126" s="1471"/>
      <c r="W126" s="1471"/>
      <c r="X126" s="1472"/>
      <c r="Y126" s="710"/>
      <c r="Z126" s="707"/>
      <c r="AA126" s="678">
        <v>0.03</v>
      </c>
      <c r="AB126" s="678">
        <v>6.8699999999999997E-2</v>
      </c>
      <c r="AC126" s="723"/>
      <c r="AD126" s="705">
        <v>2.98E-2</v>
      </c>
    </row>
    <row r="127" spans="8:37" s="1" customFormat="1" ht="14.25" customHeight="1" x14ac:dyDescent="0.35">
      <c r="H127" s="641"/>
      <c r="I127" s="641"/>
      <c r="J127" s="641"/>
      <c r="K127" s="641"/>
      <c r="L127" s="641"/>
      <c r="M127" s="641"/>
      <c r="N127" s="641"/>
      <c r="O127" s="641"/>
      <c r="P127" s="641"/>
      <c r="Q127" s="641"/>
      <c r="R127" s="641"/>
      <c r="S127" s="641"/>
      <c r="T127" s="1468" t="s">
        <v>1830</v>
      </c>
      <c r="U127" s="1469"/>
      <c r="V127" s="1469"/>
      <c r="W127" s="1469"/>
      <c r="X127" s="1470"/>
      <c r="Y127" s="710"/>
      <c r="Z127" s="707"/>
      <c r="AA127" s="678">
        <v>0.03</v>
      </c>
      <c r="AB127" s="678">
        <v>7.7799999999999994E-2</v>
      </c>
      <c r="AC127" s="723"/>
      <c r="AD127" s="705">
        <v>3.6799999999999999E-2</v>
      </c>
    </row>
    <row r="128" spans="8:37" s="1" customFormat="1" ht="14.25" customHeight="1" x14ac:dyDescent="0.35">
      <c r="H128" s="641"/>
      <c r="I128" s="641"/>
      <c r="J128" s="641"/>
      <c r="K128" s="641"/>
      <c r="L128" s="641"/>
      <c r="M128" s="641"/>
      <c r="N128" s="641"/>
      <c r="O128" s="641"/>
      <c r="P128" s="641"/>
      <c r="Q128" s="641"/>
      <c r="R128" s="641"/>
      <c r="S128" s="641"/>
      <c r="T128" s="1468" t="s">
        <v>1831</v>
      </c>
      <c r="U128" s="1469"/>
      <c r="V128" s="1469"/>
      <c r="W128" s="1469"/>
      <c r="X128" s="1470"/>
      <c r="Y128" s="710"/>
      <c r="Z128" s="707"/>
      <c r="AA128" s="678">
        <v>0.03</v>
      </c>
      <c r="AB128" s="678">
        <v>8.3000000000000004E-2</v>
      </c>
      <c r="AC128" s="723"/>
      <c r="AD128" s="705">
        <v>4.0800000000000003E-2</v>
      </c>
    </row>
    <row r="129" spans="1:60" ht="14.25" customHeight="1" x14ac:dyDescent="0.35">
      <c r="A129" s="1"/>
      <c r="B129" s="1"/>
      <c r="C129" s="1"/>
      <c r="D129" s="1"/>
      <c r="E129" s="1"/>
      <c r="F129" s="1"/>
      <c r="T129" s="1467" t="s">
        <v>1832</v>
      </c>
      <c r="U129" s="1467"/>
      <c r="V129" s="1467"/>
      <c r="W129" s="1467"/>
      <c r="X129" s="1467"/>
      <c r="Y129" s="742"/>
      <c r="Z129" s="743"/>
      <c r="AA129" s="678">
        <v>0.03</v>
      </c>
      <c r="AB129" s="678">
        <v>8.7900000000000006E-2</v>
      </c>
      <c r="AC129" s="744"/>
      <c r="AD129" s="705">
        <v>4.4499999999999998E-2</v>
      </c>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x14ac:dyDescent="0.35">
      <c r="A130" s="1"/>
      <c r="B130" s="1"/>
      <c r="C130" s="1"/>
      <c r="D130" s="1"/>
      <c r="E130" s="1"/>
      <c r="F130" s="1"/>
      <c r="T130" s="1467" t="s">
        <v>1839</v>
      </c>
      <c r="U130" s="1467"/>
      <c r="V130" s="1467"/>
      <c r="W130" s="1467"/>
      <c r="X130" s="1467"/>
      <c r="Y130" s="742"/>
      <c r="Z130" s="743"/>
      <c r="AA130" s="678">
        <v>0.03</v>
      </c>
      <c r="AB130" s="678">
        <v>9.6000000000000002E-2</v>
      </c>
      <c r="AC130" s="744"/>
      <c r="AD130" s="705">
        <v>5.0799999999999998E-2</v>
      </c>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x14ac:dyDescent="0.35">
      <c r="A131" s="1"/>
      <c r="B131" s="1"/>
      <c r="C131" s="1"/>
      <c r="D131" s="1"/>
      <c r="E131" s="1"/>
      <c r="F131" s="1"/>
      <c r="T131" s="1467" t="s">
        <v>1840</v>
      </c>
      <c r="U131" s="1467"/>
      <c r="V131" s="1467"/>
      <c r="W131" s="1467"/>
      <c r="X131" s="1467"/>
      <c r="Y131" s="710"/>
      <c r="Z131" s="707"/>
      <c r="AA131" s="678">
        <v>0.03</v>
      </c>
      <c r="AB131" s="678">
        <v>0.10630000000000001</v>
      </c>
      <c r="AC131" s="723"/>
      <c r="AD131" s="705">
        <v>5.8700000000000002E-2</v>
      </c>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x14ac:dyDescent="0.35">
      <c r="A132" s="1"/>
      <c r="B132" s="1"/>
      <c r="C132" s="1"/>
      <c r="D132" s="1"/>
      <c r="E132" s="1"/>
      <c r="F132" s="1"/>
      <c r="T132" s="1467" t="s">
        <v>1841</v>
      </c>
      <c r="U132" s="1467"/>
      <c r="V132" s="1467"/>
      <c r="W132" s="1467"/>
      <c r="X132" s="1467"/>
      <c r="Y132" s="710"/>
      <c r="Z132" s="707"/>
      <c r="AA132" s="678">
        <v>0.03</v>
      </c>
      <c r="AB132" s="678">
        <v>0.1202</v>
      </c>
      <c r="AC132" s="723"/>
      <c r="AD132" s="705">
        <v>6.9400000000000003E-2</v>
      </c>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x14ac:dyDescent="0.35">
      <c r="A133" s="1"/>
      <c r="B133" s="1"/>
      <c r="C133" s="1"/>
      <c r="D133" s="1"/>
      <c r="E133" s="1"/>
      <c r="F133" s="1"/>
      <c r="T133" s="1468" t="s">
        <v>1849</v>
      </c>
      <c r="U133" s="1471"/>
      <c r="V133" s="1471"/>
      <c r="W133" s="1471"/>
      <c r="X133" s="1472"/>
      <c r="Y133" s="710"/>
      <c r="Z133" s="707"/>
      <c r="AA133" s="678">
        <v>0.03</v>
      </c>
      <c r="AB133" s="678">
        <v>0.12709999999999999</v>
      </c>
      <c r="AC133" s="723"/>
      <c r="AD133" s="705">
        <v>7.4700000000000003E-2</v>
      </c>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x14ac:dyDescent="0.35">
      <c r="A134" s="1"/>
      <c r="B134" s="1"/>
      <c r="C134" s="1"/>
      <c r="D134" s="1"/>
      <c r="E134" s="1"/>
      <c r="F134" s="1"/>
      <c r="T134" s="1467" t="s">
        <v>1850</v>
      </c>
      <c r="U134" s="1467"/>
      <c r="V134" s="1467"/>
      <c r="W134" s="1467"/>
      <c r="X134" s="1467"/>
      <c r="Y134" s="710"/>
      <c r="Z134" s="707"/>
      <c r="AA134" s="678">
        <v>0.03</v>
      </c>
      <c r="AB134" s="678">
        <v>0.13109999999999999</v>
      </c>
      <c r="AC134" s="723"/>
      <c r="AD134" s="705">
        <v>7.7799999999999994E-2</v>
      </c>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x14ac:dyDescent="0.35">
      <c r="A135" s="1"/>
      <c r="B135" s="1"/>
      <c r="C135" s="1"/>
      <c r="D135" s="1"/>
      <c r="E135" s="1"/>
      <c r="F135" s="1"/>
      <c r="T135" s="1467" t="s">
        <v>1855</v>
      </c>
      <c r="U135" s="1467"/>
      <c r="V135" s="1467"/>
      <c r="W135" s="1467"/>
      <c r="X135" s="1467"/>
      <c r="Y135" s="710"/>
      <c r="Z135" s="707"/>
      <c r="AA135" s="678">
        <v>0.03</v>
      </c>
      <c r="AB135" s="678">
        <v>0.14180000000000001</v>
      </c>
      <c r="AC135" s="723"/>
      <c r="AD135" s="705">
        <v>8.5999999999999993E-2</v>
      </c>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x14ac:dyDescent="0.35">
      <c r="A136" s="1"/>
      <c r="B136" s="1"/>
      <c r="C136" s="1"/>
      <c r="D136" s="1"/>
      <c r="E136" s="1"/>
      <c r="F136" s="1"/>
      <c r="T136" s="1467" t="s">
        <v>1861</v>
      </c>
      <c r="U136" s="1467"/>
      <c r="V136" s="1467"/>
      <c r="W136" s="1467"/>
      <c r="X136" s="1467"/>
      <c r="Y136" s="710"/>
      <c r="Z136" s="707"/>
      <c r="AA136" s="678">
        <v>0.03</v>
      </c>
      <c r="AB136" s="678">
        <v>0.15659999999999999</v>
      </c>
      <c r="AC136" s="723"/>
      <c r="AD136" s="705">
        <v>9.74E-2</v>
      </c>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x14ac:dyDescent="0.35">
      <c r="A137" s="1"/>
      <c r="B137" s="1"/>
      <c r="C137" s="1"/>
      <c r="D137" s="1"/>
      <c r="E137" s="1"/>
      <c r="F137" s="1"/>
      <c r="T137" s="1467" t="s">
        <v>1862</v>
      </c>
      <c r="U137" s="1467"/>
      <c r="V137" s="1467"/>
      <c r="W137" s="1467"/>
      <c r="X137" s="1467"/>
      <c r="Y137" s="710"/>
      <c r="Z137" s="707"/>
      <c r="AA137" s="678">
        <v>0.03</v>
      </c>
      <c r="AB137" s="678">
        <v>0.16259999999999999</v>
      </c>
      <c r="AC137" s="723"/>
      <c r="AD137" s="705">
        <v>0.10199999999999999</v>
      </c>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x14ac:dyDescent="0.35">
      <c r="A138" s="1"/>
      <c r="B138" s="1"/>
      <c r="C138" s="1"/>
      <c r="D138" s="1"/>
      <c r="E138" s="1"/>
      <c r="F138" s="1"/>
      <c r="T138" s="1467" t="s">
        <v>1880</v>
      </c>
      <c r="U138" s="1467"/>
      <c r="V138" s="1467"/>
      <c r="W138" s="1467"/>
      <c r="X138" s="1467"/>
      <c r="Y138" s="673"/>
      <c r="Z138" s="707"/>
      <c r="AA138" s="678">
        <v>0.03</v>
      </c>
      <c r="AB138" s="678">
        <v>0.16830000000000001</v>
      </c>
      <c r="AC138" s="723"/>
      <c r="AD138" s="705">
        <v>0.10639999999999999</v>
      </c>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x14ac:dyDescent="0.35">
      <c r="A139" s="1"/>
      <c r="B139" s="1"/>
      <c r="C139" s="1"/>
      <c r="D139" s="1"/>
      <c r="E139" s="1"/>
      <c r="F139" s="1"/>
      <c r="T139" s="1467" t="s">
        <v>1882</v>
      </c>
      <c r="U139" s="1467"/>
      <c r="V139" s="1467"/>
      <c r="W139" s="1467"/>
      <c r="X139" s="1467"/>
      <c r="Y139" s="673"/>
      <c r="Z139" s="707"/>
      <c r="AA139" s="678">
        <v>0.03</v>
      </c>
      <c r="AB139" s="678">
        <v>0.16</v>
      </c>
      <c r="AC139" s="723"/>
      <c r="AD139" s="705">
        <v>0.1</v>
      </c>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x14ac:dyDescent="0.35">
      <c r="A140" s="1"/>
      <c r="B140" s="1"/>
      <c r="C140" s="1"/>
      <c r="D140" s="1"/>
      <c r="E140" s="1"/>
      <c r="F140" s="1"/>
      <c r="T140" s="1467" t="s">
        <v>1884</v>
      </c>
      <c r="U140" s="1467"/>
      <c r="V140" s="1467"/>
      <c r="W140" s="1467"/>
      <c r="X140" s="1467"/>
      <c r="Y140" s="673"/>
      <c r="Z140" s="707"/>
      <c r="AA140" s="678">
        <v>0.03</v>
      </c>
      <c r="AB140" s="678">
        <v>0.14510000000000001</v>
      </c>
      <c r="AC140" s="723"/>
      <c r="AD140" s="705">
        <v>8.8499999999999995E-2</v>
      </c>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x14ac:dyDescent="0.35">
      <c r="A141" s="1"/>
      <c r="B141" s="1"/>
      <c r="C141" s="1"/>
      <c r="D141" s="1"/>
      <c r="E141" s="1"/>
      <c r="F141" s="1"/>
      <c r="T141" s="1467" t="s">
        <v>1902</v>
      </c>
      <c r="U141" s="1467"/>
      <c r="V141" s="1467"/>
      <c r="W141" s="1467"/>
      <c r="X141" s="1467"/>
      <c r="Y141" s="673"/>
      <c r="Z141" s="707"/>
      <c r="AA141" s="678">
        <v>0.03</v>
      </c>
      <c r="AB141" s="678">
        <v>0.14099999999999999</v>
      </c>
      <c r="AC141" s="723"/>
      <c r="AD141" s="705">
        <v>8.5400000000000004E-2</v>
      </c>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x14ac:dyDescent="0.35">
      <c r="A142" s="1"/>
      <c r="B142" s="1"/>
      <c r="C142" s="1"/>
      <c r="D142" s="1"/>
      <c r="E142" s="1"/>
      <c r="F142" s="1"/>
      <c r="T142" s="1467" t="s">
        <v>1995</v>
      </c>
      <c r="U142" s="1467"/>
      <c r="V142" s="1467"/>
      <c r="W142" s="1467"/>
      <c r="X142" s="1467"/>
      <c r="Y142" s="673"/>
      <c r="Z142" s="707"/>
      <c r="AA142" s="1417">
        <v>0.03</v>
      </c>
      <c r="AB142" s="1417">
        <v>0.1406</v>
      </c>
      <c r="AC142" s="723"/>
      <c r="AD142" s="705">
        <v>8.5099999999999995E-2</v>
      </c>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x14ac:dyDescent="0.35">
      <c r="A143" s="1"/>
      <c r="B143" s="1"/>
      <c r="C143" s="1"/>
      <c r="D143" s="1"/>
      <c r="E143" s="1"/>
      <c r="F143" s="1"/>
      <c r="T143" s="1467" t="s">
        <v>1996</v>
      </c>
      <c r="U143" s="1467"/>
      <c r="V143" s="1467"/>
      <c r="W143" s="1467"/>
      <c r="X143" s="1467"/>
      <c r="Y143" s="673"/>
      <c r="Z143" s="707"/>
      <c r="AA143" s="1418">
        <v>0.03</v>
      </c>
      <c r="AB143" s="1418">
        <v>0.14729999999999999</v>
      </c>
      <c r="AC143" s="723"/>
      <c r="AD143" s="705">
        <v>9.0200000000000002E-2</v>
      </c>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x14ac:dyDescent="0.35">
      <c r="A144" s="1"/>
      <c r="B144" s="1"/>
      <c r="C144" s="1"/>
      <c r="D144" s="1"/>
      <c r="E144" s="1"/>
      <c r="F144" s="1"/>
      <c r="T144" s="1467" t="s">
        <v>2022</v>
      </c>
      <c r="U144" s="1467"/>
      <c r="V144" s="1467"/>
      <c r="W144" s="1467"/>
      <c r="X144" s="1467"/>
      <c r="Y144" s="673"/>
      <c r="Z144" s="707"/>
      <c r="AA144" s="1428">
        <v>0.03</v>
      </c>
      <c r="AB144" s="1428">
        <v>0.1479</v>
      </c>
      <c r="AC144" s="723"/>
      <c r="AD144" s="705">
        <v>9.0700000000000003E-2</v>
      </c>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x14ac:dyDescent="0.35">
      <c r="A145" s="1"/>
      <c r="B145" s="1"/>
      <c r="C145" s="1"/>
      <c r="D145" s="1"/>
      <c r="E145" s="1"/>
      <c r="F145" s="1"/>
      <c r="T145" s="1467" t="s">
        <v>2025</v>
      </c>
      <c r="U145" s="1467"/>
      <c r="V145" s="1467"/>
      <c r="W145" s="1467"/>
      <c r="X145" s="1467"/>
      <c r="Y145" s="673"/>
      <c r="Z145" s="707"/>
      <c r="AA145" s="1458">
        <v>0.03</v>
      </c>
      <c r="AB145" s="1458">
        <v>0.14149999999999999</v>
      </c>
      <c r="AC145" s="723"/>
      <c r="AD145" s="705">
        <v>8.5800000000000001E-2</v>
      </c>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x14ac:dyDescent="0.35">
      <c r="A146" s="1"/>
      <c r="B146" s="1"/>
      <c r="C146" s="1"/>
      <c r="D146" s="1"/>
      <c r="E146" s="1"/>
      <c r="F146" s="1"/>
      <c r="T146" s="745"/>
      <c r="U146" s="745"/>
      <c r="V146" s="745"/>
      <c r="W146" s="745"/>
      <c r="X146" s="745"/>
      <c r="Y146" s="742"/>
      <c r="Z146" s="743"/>
      <c r="AA146" s="746"/>
      <c r="AB146" s="746"/>
      <c r="AC146" s="744"/>
      <c r="AD146" s="747"/>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30" customHeight="1" x14ac:dyDescent="0.35">
      <c r="A147" s="1"/>
      <c r="B147" s="1"/>
      <c r="C147" s="1"/>
      <c r="D147" s="1"/>
      <c r="E147" s="1"/>
      <c r="F147" s="1"/>
      <c r="H147" s="1462" t="s">
        <v>1825</v>
      </c>
      <c r="I147" s="1462"/>
      <c r="J147" s="1462"/>
      <c r="K147" s="1462"/>
      <c r="L147" s="1462"/>
      <c r="M147" s="1462"/>
      <c r="N147" s="1462"/>
      <c r="O147" s="1462"/>
      <c r="P147" s="1462"/>
      <c r="Q147" s="1462"/>
      <c r="R147" s="1462"/>
      <c r="S147" s="1462"/>
      <c r="T147" s="1463"/>
      <c r="U147" s="1463"/>
      <c r="V147" s="1463"/>
      <c r="W147" s="1463"/>
      <c r="X147" s="1463"/>
      <c r="Y147" s="748"/>
      <c r="Z147" s="749"/>
      <c r="AA147" s="1464" t="s">
        <v>27</v>
      </c>
      <c r="AB147" s="1464"/>
      <c r="AC147" s="750"/>
      <c r="AD147" s="751" t="s">
        <v>1922</v>
      </c>
      <c r="AE147" s="607"/>
      <c r="AF147" s="607"/>
      <c r="AG147" s="607"/>
      <c r="AH147" s="607"/>
      <c r="AI147" s="607"/>
      <c r="AJ147" s="607"/>
      <c r="AK147" s="607"/>
      <c r="AL147" s="1"/>
      <c r="AM147" s="1"/>
      <c r="AN147" s="1"/>
      <c r="AO147" s="1"/>
      <c r="AP147" s="1"/>
      <c r="AQ147" s="1"/>
      <c r="AR147" s="1"/>
      <c r="AS147" s="1"/>
      <c r="AT147" s="1"/>
      <c r="AU147" s="571"/>
      <c r="AV147" s="571"/>
      <c r="AW147" s="571"/>
      <c r="AX147" s="1"/>
      <c r="AY147" s="1"/>
      <c r="AZ147" s="1"/>
      <c r="BA147" s="1"/>
      <c r="BB147" s="1"/>
      <c r="BC147" s="1"/>
      <c r="BD147" s="1"/>
      <c r="BE147" s="1"/>
      <c r="BF147" s="1"/>
      <c r="BG147" s="1"/>
      <c r="BH147" s="1"/>
    </row>
    <row r="148" spans="1:60" ht="14.25" customHeight="1" x14ac:dyDescent="0.35">
      <c r="A148" s="1"/>
      <c r="B148" s="1"/>
      <c r="C148" s="1"/>
      <c r="D148" s="1"/>
      <c r="E148" s="1"/>
      <c r="F148" s="1"/>
      <c r="T148" s="1465" t="s">
        <v>1823</v>
      </c>
      <c r="U148" s="1465"/>
      <c r="V148" s="1465"/>
      <c r="W148" s="1465"/>
      <c r="X148" s="1465"/>
      <c r="Y148" s="673"/>
      <c r="Z148" s="707"/>
      <c r="AA148" s="1466">
        <v>0</v>
      </c>
      <c r="AB148" s="1466"/>
      <c r="AC148" s="720"/>
      <c r="AD148" s="705">
        <v>1E-3</v>
      </c>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6.6" customHeight="1" x14ac:dyDescent="0.35">
      <c r="A149" s="1"/>
      <c r="B149" s="1"/>
      <c r="C149" s="1"/>
      <c r="D149" s="1"/>
      <c r="E149" s="1"/>
      <c r="F149" s="1"/>
      <c r="T149" s="752"/>
      <c r="U149" s="752"/>
      <c r="V149" s="752"/>
      <c r="W149" s="752"/>
      <c r="X149" s="752"/>
      <c r="Z149" s="753"/>
      <c r="AA149" s="754"/>
      <c r="AB149" s="754"/>
      <c r="AC149" s="755"/>
      <c r="AD149" s="756"/>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03.2" hidden="1" customHeight="1" x14ac:dyDescent="0.25">
      <c r="A150" s="1"/>
      <c r="B150" s="1"/>
      <c r="C150" s="1"/>
      <c r="D150" s="1"/>
      <c r="E150" s="1"/>
      <c r="F150" s="1"/>
      <c r="H150" s="1482"/>
      <c r="I150" s="1482"/>
      <c r="J150" s="1482"/>
      <c r="K150" s="1482"/>
      <c r="L150" s="1482"/>
      <c r="M150" s="1482"/>
      <c r="N150" s="1482"/>
      <c r="O150" s="1482"/>
      <c r="P150" s="1482"/>
      <c r="Q150" s="1482"/>
      <c r="R150" s="1482"/>
      <c r="S150" s="1482"/>
      <c r="T150" s="1482"/>
      <c r="U150" s="1482"/>
      <c r="V150" s="1482"/>
      <c r="W150" s="1482"/>
      <c r="X150" s="1482"/>
      <c r="Y150" s="1482"/>
      <c r="Z150" s="1482"/>
      <c r="AA150" s="1482"/>
      <c r="AB150" s="1482"/>
      <c r="AC150" s="1482"/>
      <c r="AD150" s="1482"/>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9.95" hidden="1" customHeight="1" x14ac:dyDescent="0.25">
      <c r="A151" s="1"/>
      <c r="B151" s="1"/>
      <c r="C151" s="1"/>
      <c r="D151" s="1"/>
      <c r="E151" s="1"/>
      <c r="F151" s="1"/>
      <c r="H151" s="1483"/>
      <c r="I151" s="1483"/>
      <c r="J151" s="1483"/>
      <c r="K151" s="1483"/>
      <c r="L151" s="1483"/>
      <c r="M151" s="1483"/>
      <c r="N151" s="1483"/>
      <c r="O151" s="1483"/>
      <c r="P151" s="1483"/>
      <c r="Q151" s="1483"/>
      <c r="R151" s="1483"/>
      <c r="S151" s="1483"/>
      <c r="T151" s="1483"/>
      <c r="U151" s="1483"/>
      <c r="V151" s="1483"/>
      <c r="W151" s="1483"/>
      <c r="X151" s="1483"/>
      <c r="Y151" s="1483"/>
      <c r="Z151" s="1483"/>
      <c r="AA151" s="1483"/>
      <c r="AB151" s="1483"/>
      <c r="AC151" s="1483"/>
      <c r="AD151" s="1483"/>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3.5" customHeight="1" x14ac:dyDescent="0.35">
      <c r="A152" s="1"/>
      <c r="B152" s="1"/>
      <c r="C152" s="1"/>
      <c r="D152" s="1"/>
      <c r="E152" s="1"/>
      <c r="F152" s="1"/>
      <c r="AE152" s="1"/>
      <c r="AF152" s="1"/>
      <c r="AG152" s="1"/>
      <c r="AH152" s="1"/>
      <c r="AI152" s="1"/>
      <c r="AJ152" s="1"/>
      <c r="AK152" s="1"/>
      <c r="AU152" s="1"/>
      <c r="AV152" s="1"/>
      <c r="AW152" s="1"/>
      <c r="AX152" s="1"/>
      <c r="AY152" s="1"/>
      <c r="AZ152" s="1"/>
      <c r="BA152" s="1"/>
      <c r="BB152" s="1"/>
      <c r="BC152" s="1"/>
      <c r="BD152" s="1"/>
      <c r="BE152" s="1"/>
      <c r="BF152" s="1"/>
      <c r="BG152" s="1"/>
      <c r="BH152" s="1"/>
    </row>
    <row r="153" spans="1:60" ht="76.2" customHeight="1" x14ac:dyDescent="0.25">
      <c r="A153" s="1"/>
      <c r="B153" s="1"/>
      <c r="C153" s="1"/>
      <c r="D153" s="1"/>
      <c r="E153" s="1"/>
      <c r="F153" s="1"/>
      <c r="H153" s="758" t="s">
        <v>48</v>
      </c>
      <c r="I153" s="758"/>
      <c r="J153" s="758"/>
      <c r="K153" s="758"/>
      <c r="L153" s="758"/>
      <c r="M153" s="758"/>
      <c r="N153" s="758"/>
      <c r="O153" s="758"/>
      <c r="P153" s="758"/>
      <c r="Q153" s="758"/>
      <c r="R153" s="758"/>
      <c r="S153" s="758"/>
      <c r="T153" s="1475" t="s">
        <v>2026</v>
      </c>
      <c r="U153" s="1475"/>
      <c r="V153" s="1475"/>
      <c r="W153" s="1475"/>
      <c r="X153" s="1475"/>
      <c r="Y153" s="1475"/>
      <c r="Z153" s="1475"/>
      <c r="AA153" s="1475"/>
      <c r="AB153" s="1475"/>
      <c r="AC153" s="1475"/>
      <c r="AD153" s="1475"/>
      <c r="AE153" s="1"/>
      <c r="AF153" s="1"/>
      <c r="AG153" s="1"/>
      <c r="AH153" s="1"/>
      <c r="AI153" s="1"/>
      <c r="AJ153" s="1"/>
      <c r="AK153" s="1"/>
      <c r="AU153" s="1"/>
      <c r="AV153" s="1"/>
      <c r="AW153" s="1"/>
      <c r="AX153" s="1"/>
      <c r="AY153" s="1"/>
      <c r="AZ153" s="1"/>
      <c r="BA153" s="1"/>
      <c r="BB153" s="1"/>
      <c r="BC153" s="1"/>
      <c r="BD153" s="1"/>
      <c r="BE153" s="1"/>
      <c r="BF153" s="1"/>
      <c r="BG153" s="1"/>
      <c r="BH153" s="1"/>
    </row>
    <row r="154" spans="1:60" ht="17.25" customHeight="1" x14ac:dyDescent="0.25">
      <c r="A154" s="1"/>
      <c r="B154" s="1"/>
      <c r="C154" s="1"/>
      <c r="D154" s="1"/>
      <c r="E154" s="1"/>
      <c r="F154" s="1"/>
      <c r="H154" s="758" t="s">
        <v>49</v>
      </c>
      <c r="I154" s="758"/>
      <c r="J154" s="758"/>
      <c r="K154" s="758"/>
      <c r="L154" s="758"/>
      <c r="M154" s="758"/>
      <c r="N154" s="758"/>
      <c r="O154" s="758"/>
      <c r="P154" s="758"/>
      <c r="Q154" s="758"/>
      <c r="R154" s="758"/>
      <c r="S154" s="758"/>
      <c r="T154" s="1475" t="s">
        <v>50</v>
      </c>
      <c r="U154" s="1475"/>
      <c r="V154" s="1475"/>
      <c r="W154" s="1475"/>
      <c r="X154" s="1475"/>
      <c r="Y154" s="1475"/>
      <c r="Z154" s="1475"/>
      <c r="AA154" s="1475"/>
      <c r="AB154" s="1475"/>
      <c r="AC154" s="1475"/>
      <c r="AD154" s="1475"/>
      <c r="AE154" s="1"/>
      <c r="AF154" s="1"/>
      <c r="AG154" s="1"/>
      <c r="AH154" s="1"/>
      <c r="AI154" s="1"/>
      <c r="AJ154" s="1"/>
      <c r="AK154" s="1"/>
      <c r="AU154" s="1"/>
      <c r="AV154" s="1"/>
      <c r="AW154" s="1"/>
      <c r="AX154" s="1"/>
      <c r="AY154" s="1"/>
      <c r="AZ154" s="1"/>
      <c r="BA154" s="1"/>
      <c r="BB154" s="1"/>
      <c r="BC154" s="1"/>
      <c r="BD154" s="1"/>
      <c r="BE154" s="1"/>
      <c r="BF154" s="1"/>
      <c r="BG154" s="1"/>
      <c r="BH154" s="1"/>
    </row>
    <row r="155" spans="1:60" ht="16.5" customHeight="1" x14ac:dyDescent="0.25">
      <c r="A155" s="1"/>
      <c r="B155" s="1"/>
      <c r="C155" s="1"/>
      <c r="D155" s="1"/>
      <c r="E155" s="1"/>
      <c r="F155" s="1"/>
      <c r="H155" s="758" t="s">
        <v>51</v>
      </c>
      <c r="I155" s="758"/>
      <c r="J155" s="758"/>
      <c r="K155" s="758"/>
      <c r="L155" s="758"/>
      <c r="M155" s="758"/>
      <c r="N155" s="758"/>
      <c r="O155" s="758"/>
      <c r="P155" s="758"/>
      <c r="Q155" s="758"/>
      <c r="R155" s="758"/>
      <c r="S155" s="758"/>
      <c r="T155" s="759" t="s">
        <v>52</v>
      </c>
      <c r="U155" s="759"/>
      <c r="V155" s="759"/>
      <c r="W155" s="759"/>
      <c r="X155" s="759"/>
      <c r="Y155" s="759"/>
      <c r="Z155" s="759"/>
      <c r="AA155" s="759"/>
      <c r="AB155" s="759"/>
      <c r="AC155" s="759"/>
      <c r="AD155" s="759"/>
      <c r="AE155" s="1"/>
      <c r="AF155" s="1"/>
      <c r="AG155" s="1"/>
      <c r="AH155" s="1"/>
      <c r="AI155" s="1"/>
      <c r="AJ155" s="1"/>
      <c r="AK155" s="1"/>
      <c r="AU155" s="1"/>
      <c r="AV155" s="1"/>
      <c r="AW155" s="1"/>
      <c r="AX155" s="1"/>
      <c r="AY155" s="1"/>
      <c r="AZ155" s="1"/>
      <c r="BA155" s="1"/>
      <c r="BB155" s="1"/>
      <c r="BC155" s="1"/>
      <c r="BD155" s="1"/>
      <c r="BE155" s="1"/>
      <c r="BF155" s="1"/>
      <c r="BG155" s="1"/>
      <c r="BH155" s="1"/>
    </row>
    <row r="156" spans="1:60" ht="31.95" customHeight="1" x14ac:dyDescent="0.25">
      <c r="A156" s="1"/>
      <c r="B156" s="1"/>
      <c r="C156" s="1"/>
      <c r="D156" s="1"/>
      <c r="E156" s="1"/>
      <c r="F156" s="1"/>
      <c r="H156" s="758" t="s">
        <v>53</v>
      </c>
      <c r="I156" s="758"/>
      <c r="J156" s="758"/>
      <c r="K156" s="758"/>
      <c r="L156" s="758"/>
      <c r="M156" s="758"/>
      <c r="N156" s="758"/>
      <c r="O156" s="758"/>
      <c r="P156" s="758"/>
      <c r="Q156" s="758"/>
      <c r="R156" s="758"/>
      <c r="S156" s="758"/>
      <c r="T156" s="1475" t="s">
        <v>54</v>
      </c>
      <c r="U156" s="1475"/>
      <c r="V156" s="1475"/>
      <c r="W156" s="1475"/>
      <c r="X156" s="1475"/>
      <c r="Y156" s="1475"/>
      <c r="Z156" s="1475"/>
      <c r="AA156" s="1475"/>
      <c r="AB156" s="1475"/>
      <c r="AC156" s="1475"/>
      <c r="AD156" s="1475"/>
      <c r="AE156" s="1"/>
      <c r="AF156" s="1"/>
      <c r="AG156" s="1"/>
      <c r="AH156" s="1"/>
      <c r="AI156" s="1"/>
      <c r="AJ156" s="1"/>
      <c r="AK156" s="1"/>
      <c r="AU156" s="1"/>
      <c r="AV156" s="1"/>
      <c r="AW156" s="1"/>
      <c r="AX156" s="1"/>
      <c r="AY156" s="1"/>
      <c r="AZ156" s="1"/>
      <c r="BA156" s="1"/>
      <c r="BB156" s="1"/>
      <c r="BC156" s="1"/>
      <c r="BD156" s="1"/>
      <c r="BE156" s="1"/>
      <c r="BF156" s="1"/>
      <c r="BG156" s="1"/>
      <c r="BH156" s="1"/>
    </row>
    <row r="157" spans="1:60" ht="78" customHeight="1" x14ac:dyDescent="0.25">
      <c r="A157" s="582"/>
      <c r="B157" s="1"/>
      <c r="C157" s="1"/>
      <c r="D157" s="1"/>
      <c r="E157" s="1"/>
      <c r="F157" s="1"/>
      <c r="H157" s="758" t="s">
        <v>55</v>
      </c>
      <c r="I157" s="758"/>
      <c r="J157" s="758"/>
      <c r="K157" s="758"/>
      <c r="L157" s="758"/>
      <c r="M157" s="758"/>
      <c r="N157" s="758"/>
      <c r="O157" s="758"/>
      <c r="P157" s="758"/>
      <c r="Q157" s="758"/>
      <c r="R157" s="758"/>
      <c r="S157" s="758"/>
      <c r="T157" s="1475" t="s">
        <v>1029</v>
      </c>
      <c r="U157" s="1475"/>
      <c r="V157" s="1475"/>
      <c r="W157" s="1475"/>
      <c r="X157" s="1475"/>
      <c r="Y157" s="1475"/>
      <c r="Z157" s="1475"/>
      <c r="AA157" s="1475"/>
      <c r="AB157" s="1475"/>
      <c r="AC157" s="1475"/>
      <c r="AD157" s="1475"/>
      <c r="AE157" s="1"/>
      <c r="AF157" s="1"/>
      <c r="AG157" s="1"/>
      <c r="AH157" s="1"/>
      <c r="AI157" s="1"/>
      <c r="AJ157" s="1"/>
      <c r="AK157" s="1"/>
      <c r="AU157" s="1"/>
      <c r="AV157" s="1"/>
      <c r="AW157" s="1"/>
      <c r="AX157" s="1"/>
      <c r="AY157" s="1"/>
      <c r="AZ157" s="1"/>
      <c r="BA157" s="1"/>
      <c r="BB157" s="1"/>
      <c r="BC157" s="1"/>
      <c r="BD157" s="1"/>
      <c r="BE157" s="1"/>
      <c r="BF157" s="1"/>
      <c r="BG157" s="1"/>
      <c r="BH157" s="1"/>
    </row>
    <row r="158" spans="1:60" ht="47.4" customHeight="1" x14ac:dyDescent="0.25">
      <c r="A158" s="582"/>
      <c r="B158" s="1"/>
      <c r="C158" s="1"/>
      <c r="D158" s="1"/>
      <c r="E158" s="1"/>
      <c r="F158" s="1"/>
      <c r="H158" s="758" t="s">
        <v>56</v>
      </c>
      <c r="I158" s="758"/>
      <c r="J158" s="758"/>
      <c r="K158" s="758"/>
      <c r="L158" s="758"/>
      <c r="M158" s="758"/>
      <c r="N158" s="758"/>
      <c r="O158" s="758"/>
      <c r="P158" s="758"/>
      <c r="Q158" s="758"/>
      <c r="R158" s="758"/>
      <c r="S158" s="758"/>
      <c r="T158" s="1475" t="s">
        <v>1138</v>
      </c>
      <c r="U158" s="1475"/>
      <c r="V158" s="1475"/>
      <c r="W158" s="1475"/>
      <c r="X158" s="1475"/>
      <c r="Y158" s="1475"/>
      <c r="Z158" s="1475"/>
      <c r="AA158" s="1475"/>
      <c r="AB158" s="1475"/>
      <c r="AC158" s="1475"/>
      <c r="AD158" s="1475"/>
      <c r="AE158" s="1"/>
      <c r="AF158" s="1"/>
      <c r="AG158" s="1"/>
      <c r="AH158" s="1"/>
      <c r="AI158" s="1"/>
      <c r="AJ158" s="1"/>
      <c r="AK158" s="1"/>
      <c r="AU158" s="1"/>
      <c r="AV158" s="1"/>
      <c r="AW158" s="1"/>
      <c r="AX158" s="1"/>
      <c r="AY158" s="1"/>
      <c r="AZ158" s="1"/>
      <c r="BA158" s="1"/>
      <c r="BB158" s="1"/>
      <c r="BC158" s="1"/>
      <c r="BD158" s="1"/>
      <c r="BE158" s="1"/>
      <c r="BF158" s="1"/>
      <c r="BG158" s="1"/>
      <c r="BH158" s="1"/>
    </row>
    <row r="159" spans="1:60" ht="48.6" customHeight="1" x14ac:dyDescent="0.25">
      <c r="A159" s="1"/>
      <c r="B159" s="1"/>
      <c r="C159" s="1"/>
      <c r="D159" s="1"/>
      <c r="E159" s="1"/>
      <c r="F159" s="1"/>
      <c r="H159" s="758" t="s">
        <v>57</v>
      </c>
      <c r="I159" s="758"/>
      <c r="J159" s="758"/>
      <c r="K159" s="758"/>
      <c r="L159" s="758"/>
      <c r="M159" s="758"/>
      <c r="N159" s="758"/>
      <c r="O159" s="758"/>
      <c r="P159" s="758"/>
      <c r="Q159" s="758"/>
      <c r="R159" s="758"/>
      <c r="S159" s="758"/>
      <c r="T159" s="1475" t="s">
        <v>1343</v>
      </c>
      <c r="U159" s="1475"/>
      <c r="V159" s="1475"/>
      <c r="W159" s="1475"/>
      <c r="X159" s="1475"/>
      <c r="Y159" s="1475"/>
      <c r="Z159" s="1475"/>
      <c r="AA159" s="1475"/>
      <c r="AB159" s="1475"/>
      <c r="AC159" s="1475"/>
      <c r="AD159" s="1475"/>
      <c r="AE159" s="1"/>
      <c r="AF159" s="1"/>
      <c r="AG159" s="1"/>
      <c r="AH159" s="1"/>
      <c r="AI159" s="1"/>
      <c r="AJ159" s="1"/>
      <c r="AK159" s="1"/>
      <c r="AU159" s="1"/>
      <c r="AV159" s="1"/>
      <c r="AW159" s="1"/>
      <c r="AX159" s="1"/>
      <c r="AY159" s="1"/>
      <c r="AZ159" s="1"/>
      <c r="BA159" s="1"/>
      <c r="BB159" s="1"/>
      <c r="BC159" s="1"/>
      <c r="BD159" s="1"/>
      <c r="BE159" s="1"/>
      <c r="BF159" s="1"/>
      <c r="BG159" s="1"/>
      <c r="BH159" s="1"/>
    </row>
    <row r="160" spans="1:60" ht="30.75" customHeight="1" x14ac:dyDescent="0.25">
      <c r="A160" s="1"/>
      <c r="B160" s="1"/>
      <c r="C160" s="1"/>
      <c r="D160" s="1"/>
      <c r="E160" s="1"/>
      <c r="F160" s="1"/>
      <c r="H160" s="758" t="s">
        <v>58</v>
      </c>
      <c r="I160" s="758"/>
      <c r="J160" s="758"/>
      <c r="K160" s="758"/>
      <c r="L160" s="758"/>
      <c r="M160" s="758"/>
      <c r="N160" s="758"/>
      <c r="O160" s="758"/>
      <c r="P160" s="758"/>
      <c r="Q160" s="758"/>
      <c r="R160" s="758"/>
      <c r="S160" s="758"/>
      <c r="T160" s="1474" t="s">
        <v>1510</v>
      </c>
      <c r="U160" s="1474"/>
      <c r="V160" s="1474"/>
      <c r="W160" s="1474"/>
      <c r="X160" s="1474"/>
      <c r="Y160" s="1474"/>
      <c r="Z160" s="1474"/>
      <c r="AA160" s="1474"/>
      <c r="AB160" s="1474"/>
      <c r="AC160" s="1474"/>
      <c r="AD160" s="1474"/>
      <c r="AE160" s="1"/>
      <c r="AF160" s="1"/>
      <c r="AG160" s="1"/>
      <c r="AH160" s="1"/>
      <c r="AI160" s="1"/>
      <c r="AJ160" s="1"/>
      <c r="AK160" s="1"/>
      <c r="AU160" s="1"/>
      <c r="AV160" s="1"/>
      <c r="AW160" s="1"/>
      <c r="AX160" s="1"/>
      <c r="AY160" s="1"/>
      <c r="AZ160" s="1"/>
      <c r="BA160" s="1"/>
      <c r="BB160" s="1"/>
      <c r="BC160" s="1"/>
      <c r="BD160" s="1"/>
      <c r="BE160" s="1"/>
      <c r="BF160" s="1"/>
      <c r="BG160" s="1"/>
      <c r="BH160" s="1"/>
    </row>
    <row r="161" spans="1:60" ht="17.399999999999999" customHeight="1" x14ac:dyDescent="0.25">
      <c r="A161" s="1"/>
      <c r="B161" s="1"/>
      <c r="C161" s="1"/>
      <c r="D161" s="1"/>
      <c r="E161" s="1"/>
      <c r="F161" s="1"/>
      <c r="H161" s="758" t="s">
        <v>59</v>
      </c>
      <c r="I161" s="758"/>
      <c r="J161" s="758"/>
      <c r="K161" s="758"/>
      <c r="L161" s="758"/>
      <c r="M161" s="758"/>
      <c r="N161" s="758"/>
      <c r="O161" s="758"/>
      <c r="P161" s="758"/>
      <c r="Q161" s="758"/>
      <c r="R161" s="758"/>
      <c r="S161" s="758"/>
      <c r="T161" s="1474" t="s">
        <v>1351</v>
      </c>
      <c r="U161" s="1474"/>
      <c r="V161" s="1474"/>
      <c r="W161" s="1474"/>
      <c r="X161" s="1474"/>
      <c r="Y161" s="1474"/>
      <c r="Z161" s="1474"/>
      <c r="AA161" s="1474"/>
      <c r="AB161" s="1474"/>
      <c r="AC161" s="1474"/>
      <c r="AD161" s="1474"/>
      <c r="AE161" s="1"/>
      <c r="AF161" s="1"/>
      <c r="AG161" s="1"/>
      <c r="AH161" s="1"/>
      <c r="AI161" s="1"/>
      <c r="AJ161" s="1"/>
      <c r="AK161" s="1"/>
      <c r="AU161" s="1"/>
      <c r="AV161" s="1"/>
      <c r="AW161" s="1"/>
      <c r="AX161" s="1"/>
      <c r="AY161" s="1"/>
      <c r="AZ161" s="1"/>
      <c r="BA161" s="1"/>
      <c r="BB161" s="1"/>
      <c r="BC161" s="1"/>
      <c r="BD161" s="1"/>
      <c r="BE161" s="1"/>
      <c r="BF161" s="1"/>
      <c r="BG161" s="1"/>
      <c r="BH161" s="1"/>
    </row>
    <row r="162" spans="1:60" ht="48" customHeight="1" x14ac:dyDescent="0.25">
      <c r="A162" s="1"/>
      <c r="B162" s="1"/>
      <c r="C162" s="1"/>
      <c r="D162" s="1"/>
      <c r="E162" s="1"/>
      <c r="F162" s="1"/>
      <c r="H162" s="758" t="s">
        <v>60</v>
      </c>
      <c r="I162" s="758"/>
      <c r="J162" s="758"/>
      <c r="K162" s="758"/>
      <c r="L162" s="758"/>
      <c r="M162" s="758"/>
      <c r="N162" s="758"/>
      <c r="O162" s="758"/>
      <c r="P162" s="758"/>
      <c r="Q162" s="758"/>
      <c r="R162" s="758"/>
      <c r="S162" s="758"/>
      <c r="T162" s="1474" t="s">
        <v>2029</v>
      </c>
      <c r="U162" s="1474"/>
      <c r="V162" s="1474"/>
      <c r="W162" s="1474"/>
      <c r="X162" s="1474"/>
      <c r="Y162" s="1474"/>
      <c r="Z162" s="1474"/>
      <c r="AA162" s="1474"/>
      <c r="AB162" s="1474"/>
      <c r="AC162" s="1474"/>
      <c r="AD162" s="1474"/>
      <c r="AE162" s="1"/>
      <c r="AF162" s="1"/>
      <c r="AG162" s="1"/>
      <c r="AH162" s="1"/>
      <c r="AI162" s="1"/>
      <c r="AJ162" s="1"/>
      <c r="AK162" s="1"/>
      <c r="AU162" s="1"/>
      <c r="AV162" s="1"/>
      <c r="AW162" s="1"/>
      <c r="AX162" s="1"/>
      <c r="AY162" s="1"/>
      <c r="AZ162" s="1"/>
      <c r="BA162" s="1"/>
      <c r="BB162" s="1"/>
      <c r="BC162" s="1"/>
      <c r="BD162" s="1"/>
      <c r="BE162" s="1"/>
      <c r="BF162" s="1"/>
      <c r="BG162" s="1"/>
      <c r="BH162" s="1"/>
    </row>
    <row r="163" spans="1:60" ht="21.6" customHeight="1" x14ac:dyDescent="0.25">
      <c r="A163" s="1"/>
      <c r="B163" s="1"/>
      <c r="C163" s="1"/>
      <c r="D163" s="1"/>
      <c r="E163" s="1"/>
      <c r="F163" s="1"/>
      <c r="H163" s="758" t="s">
        <v>61</v>
      </c>
      <c r="I163" s="758"/>
      <c r="J163" s="758"/>
      <c r="K163" s="758"/>
      <c r="L163" s="758"/>
      <c r="M163" s="758"/>
      <c r="N163" s="758"/>
      <c r="O163" s="758"/>
      <c r="P163" s="758"/>
      <c r="Q163" s="758"/>
      <c r="R163" s="758"/>
      <c r="S163" s="758"/>
      <c r="T163" s="1474" t="s">
        <v>65</v>
      </c>
      <c r="U163" s="1474"/>
      <c r="V163" s="1474"/>
      <c r="W163" s="1474"/>
      <c r="X163" s="1474"/>
      <c r="Y163" s="1474"/>
      <c r="Z163" s="1474"/>
      <c r="AA163" s="1474"/>
      <c r="AB163" s="1474"/>
      <c r="AC163" s="1474"/>
      <c r="AD163" s="1474"/>
      <c r="AE163" s="1"/>
      <c r="AF163" s="1"/>
      <c r="AG163" s="1"/>
      <c r="AH163" s="1"/>
      <c r="AI163" s="1"/>
      <c r="AJ163" s="1"/>
      <c r="AK163" s="1"/>
      <c r="AU163" s="1"/>
      <c r="AV163" s="1"/>
      <c r="AW163" s="1"/>
      <c r="AX163" s="1"/>
      <c r="AY163" s="1"/>
      <c r="AZ163" s="1"/>
      <c r="BA163" s="1"/>
      <c r="BB163" s="1"/>
      <c r="BC163" s="1"/>
      <c r="BD163" s="1"/>
      <c r="BE163" s="1"/>
      <c r="BF163" s="1"/>
      <c r="BG163" s="1"/>
      <c r="BH163" s="1"/>
    </row>
    <row r="164" spans="1:60" ht="61.2" customHeight="1" x14ac:dyDescent="0.25">
      <c r="A164" s="1"/>
      <c r="B164" s="1"/>
      <c r="C164" s="1"/>
      <c r="D164" s="1"/>
      <c r="E164" s="1"/>
      <c r="F164" s="1"/>
      <c r="H164" s="758" t="s">
        <v>62</v>
      </c>
      <c r="I164" s="758"/>
      <c r="J164" s="758"/>
      <c r="K164" s="758"/>
      <c r="L164" s="758"/>
      <c r="M164" s="758"/>
      <c r="N164" s="758"/>
      <c r="O164" s="758"/>
      <c r="P164" s="758"/>
      <c r="Q164" s="758"/>
      <c r="R164" s="758"/>
      <c r="S164" s="758"/>
      <c r="T164" s="1474" t="s">
        <v>1479</v>
      </c>
      <c r="U164" s="1474"/>
      <c r="V164" s="1474"/>
      <c r="W164" s="1474"/>
      <c r="X164" s="1474"/>
      <c r="Y164" s="1474"/>
      <c r="Z164" s="1474"/>
      <c r="AA164" s="1474"/>
      <c r="AB164" s="1474"/>
      <c r="AC164" s="1474"/>
      <c r="AD164" s="1474"/>
      <c r="AE164" s="1"/>
      <c r="AF164" s="1"/>
      <c r="AG164" s="1"/>
      <c r="AH164" s="1"/>
      <c r="AI164" s="1"/>
      <c r="AJ164" s="1"/>
      <c r="AK164" s="1"/>
      <c r="AU164" s="1"/>
      <c r="AV164" s="1"/>
      <c r="AW164" s="1"/>
      <c r="AX164" s="1"/>
      <c r="AY164" s="1"/>
      <c r="AZ164" s="1"/>
      <c r="BA164" s="1"/>
      <c r="BB164" s="1"/>
      <c r="BC164" s="1"/>
      <c r="BD164" s="1"/>
      <c r="BE164" s="1"/>
      <c r="BF164" s="1"/>
      <c r="BG164" s="1"/>
      <c r="BH164" s="1"/>
    </row>
    <row r="165" spans="1:60" ht="87.6" customHeight="1" x14ac:dyDescent="0.25">
      <c r="A165" s="1"/>
      <c r="B165" s="1"/>
      <c r="C165" s="1"/>
      <c r="D165" s="1"/>
      <c r="E165" s="1"/>
      <c r="F165" s="1"/>
      <c r="H165" s="760" t="s">
        <v>63</v>
      </c>
      <c r="I165" s="760"/>
      <c r="J165" s="760"/>
      <c r="K165" s="760"/>
      <c r="L165" s="760"/>
      <c r="M165" s="760"/>
      <c r="N165" s="760"/>
      <c r="O165" s="760"/>
      <c r="P165" s="760"/>
      <c r="Q165" s="760"/>
      <c r="R165" s="760"/>
      <c r="S165" s="760"/>
      <c r="T165" s="1476" t="s">
        <v>1412</v>
      </c>
      <c r="U165" s="1476"/>
      <c r="V165" s="1476"/>
      <c r="W165" s="1476"/>
      <c r="X165" s="1476"/>
      <c r="Y165" s="1476"/>
      <c r="Z165" s="1476"/>
      <c r="AA165" s="1476"/>
      <c r="AB165" s="1476"/>
      <c r="AC165" s="1476"/>
      <c r="AD165" s="1476"/>
      <c r="AE165" s="1"/>
      <c r="AF165" s="1"/>
      <c r="AG165" s="1"/>
      <c r="AH165" s="1"/>
      <c r="AI165" s="1"/>
      <c r="AJ165" s="1"/>
      <c r="AK165" s="1"/>
      <c r="AU165" s="1"/>
      <c r="AV165" s="1"/>
      <c r="AW165" s="1"/>
      <c r="AX165" s="1"/>
      <c r="AY165" s="1"/>
      <c r="AZ165" s="1"/>
      <c r="BA165" s="1"/>
      <c r="BB165" s="1"/>
      <c r="BC165" s="1"/>
      <c r="BD165" s="1"/>
      <c r="BE165" s="1"/>
      <c r="BF165" s="1"/>
      <c r="BG165" s="1"/>
      <c r="BH165" s="1"/>
    </row>
    <row r="166" spans="1:60" ht="60.6" customHeight="1" x14ac:dyDescent="0.25">
      <c r="A166" s="1"/>
      <c r="B166" s="1"/>
      <c r="C166" s="1"/>
      <c r="D166" s="1"/>
      <c r="E166" s="1"/>
      <c r="F166" s="1"/>
      <c r="H166" s="758" t="s">
        <v>64</v>
      </c>
      <c r="I166" s="758"/>
      <c r="J166" s="758"/>
      <c r="K166" s="758"/>
      <c r="L166" s="758"/>
      <c r="M166" s="758"/>
      <c r="N166" s="758"/>
      <c r="O166" s="758"/>
      <c r="P166" s="758"/>
      <c r="Q166" s="758"/>
      <c r="R166" s="758"/>
      <c r="S166" s="758"/>
      <c r="T166" s="1474" t="s">
        <v>1854</v>
      </c>
      <c r="U166" s="1474"/>
      <c r="V166" s="1474"/>
      <c r="W166" s="1474"/>
      <c r="X166" s="1474"/>
      <c r="Y166" s="1474"/>
      <c r="Z166" s="1474"/>
      <c r="AA166" s="1474"/>
      <c r="AB166" s="1474"/>
      <c r="AC166" s="1474"/>
      <c r="AD166" s="1474"/>
      <c r="AE166" s="1"/>
      <c r="AF166" s="1"/>
      <c r="AG166" s="1"/>
      <c r="AH166" s="1"/>
      <c r="AI166" s="1"/>
      <c r="AJ166" s="1"/>
      <c r="AK166" s="1"/>
      <c r="AU166" s="1"/>
      <c r="AV166" s="1"/>
      <c r="AW166" s="1"/>
      <c r="AX166" s="1"/>
      <c r="AY166" s="1"/>
      <c r="AZ166" s="1"/>
      <c r="BA166" s="1"/>
      <c r="BB166" s="1"/>
      <c r="BC166" s="1"/>
      <c r="BD166" s="1"/>
      <c r="BE166" s="1"/>
      <c r="BF166" s="1"/>
      <c r="BG166" s="1"/>
      <c r="BH166" s="1"/>
    </row>
    <row r="167" spans="1:60" ht="59.25" hidden="1" customHeight="1" x14ac:dyDescent="0.25">
      <c r="A167" s="1"/>
      <c r="B167" s="1"/>
      <c r="C167" s="1"/>
      <c r="D167" s="1"/>
      <c r="E167" s="1"/>
      <c r="F167" s="1"/>
      <c r="H167" s="758"/>
      <c r="I167" s="758"/>
      <c r="J167" s="758"/>
      <c r="K167" s="758"/>
      <c r="L167" s="758"/>
      <c r="M167" s="758"/>
      <c r="N167" s="758"/>
      <c r="O167" s="758"/>
      <c r="P167" s="758"/>
      <c r="Q167" s="758"/>
      <c r="R167" s="758"/>
      <c r="S167" s="758"/>
      <c r="T167" s="1474"/>
      <c r="U167" s="1474"/>
      <c r="V167" s="1474"/>
      <c r="W167" s="1474"/>
      <c r="X167" s="1474"/>
      <c r="Y167" s="1474"/>
      <c r="Z167" s="1474"/>
      <c r="AA167" s="1474"/>
      <c r="AB167" s="1474"/>
      <c r="AC167" s="1474"/>
      <c r="AD167" s="1474"/>
      <c r="AE167" s="1"/>
      <c r="AF167" s="1"/>
      <c r="AG167" s="1"/>
      <c r="AH167" s="1"/>
      <c r="AI167" s="1"/>
      <c r="AJ167" s="1"/>
      <c r="AK167" s="1"/>
      <c r="AU167" s="1"/>
      <c r="AV167" s="1"/>
      <c r="AW167" s="1"/>
      <c r="AX167" s="1"/>
      <c r="AY167" s="1"/>
      <c r="AZ167" s="1"/>
      <c r="BA167" s="1"/>
      <c r="BB167" s="1"/>
      <c r="BC167" s="1"/>
      <c r="BD167" s="1"/>
      <c r="BE167" s="1"/>
      <c r="BF167" s="1"/>
      <c r="BG167" s="1"/>
      <c r="BH167" s="1"/>
    </row>
    <row r="168" spans="1:60" ht="60" hidden="1" customHeight="1" x14ac:dyDescent="0.25">
      <c r="A168" s="1"/>
      <c r="B168" s="1"/>
      <c r="C168" s="1"/>
      <c r="D168" s="1"/>
      <c r="E168" s="1"/>
      <c r="F168" s="1"/>
      <c r="H168" s="758"/>
      <c r="I168" s="758"/>
      <c r="J168" s="758"/>
      <c r="K168" s="758"/>
      <c r="L168" s="758"/>
      <c r="M168" s="758"/>
      <c r="N168" s="758"/>
      <c r="O168" s="758"/>
      <c r="P168" s="758"/>
      <c r="Q168" s="758"/>
      <c r="R168" s="758"/>
      <c r="S168" s="758"/>
      <c r="T168" s="1474"/>
      <c r="U168" s="1474"/>
      <c r="V168" s="1474"/>
      <c r="W168" s="1474"/>
      <c r="X168" s="1474"/>
      <c r="Y168" s="1474"/>
      <c r="Z168" s="1474"/>
      <c r="AA168" s="1474"/>
      <c r="AB168" s="1474"/>
      <c r="AC168" s="1474"/>
      <c r="AD168" s="1474"/>
      <c r="AE168" s="1"/>
      <c r="AF168" s="1"/>
      <c r="AG168" s="1"/>
      <c r="AH168" s="1"/>
      <c r="AI168" s="1"/>
      <c r="AJ168" s="1"/>
      <c r="AK168" s="1"/>
      <c r="AU168" s="1"/>
      <c r="AV168" s="1"/>
      <c r="AW168" s="1"/>
      <c r="AX168" s="1"/>
      <c r="AY168" s="1"/>
      <c r="AZ168" s="1"/>
      <c r="BA168" s="1"/>
      <c r="BB168" s="1"/>
      <c r="BC168" s="1"/>
      <c r="BD168" s="1"/>
      <c r="BE168" s="1"/>
      <c r="BF168" s="1"/>
      <c r="BG168" s="1"/>
      <c r="BH168" s="1"/>
    </row>
    <row r="169" spans="1:60" ht="57.75" hidden="1" customHeight="1" x14ac:dyDescent="0.25">
      <c r="A169" s="1"/>
      <c r="B169" s="1"/>
      <c r="C169" s="1"/>
      <c r="D169" s="1"/>
      <c r="E169" s="1"/>
      <c r="F169" s="1"/>
      <c r="H169" s="758"/>
      <c r="I169" s="758"/>
      <c r="J169" s="758"/>
      <c r="K169" s="758"/>
      <c r="L169" s="758"/>
      <c r="M169" s="758"/>
      <c r="N169" s="758"/>
      <c r="O169" s="758"/>
      <c r="P169" s="758"/>
      <c r="Q169" s="758"/>
      <c r="R169" s="758"/>
      <c r="S169" s="758"/>
      <c r="T169" s="1474"/>
      <c r="U169" s="1474"/>
      <c r="V169" s="1474"/>
      <c r="W169" s="1474"/>
      <c r="X169" s="1474"/>
      <c r="Y169" s="1474"/>
      <c r="Z169" s="1474"/>
      <c r="AA169" s="1474"/>
      <c r="AB169" s="1474"/>
      <c r="AC169" s="1474"/>
      <c r="AD169" s="1474"/>
      <c r="AE169" s="1"/>
      <c r="AF169" s="1"/>
      <c r="AG169" s="1"/>
      <c r="AH169" s="1"/>
      <c r="AI169" s="1"/>
      <c r="AJ169" s="1"/>
      <c r="AK169" s="1"/>
      <c r="AU169" s="1"/>
      <c r="AV169" s="1"/>
      <c r="AW169" s="1"/>
      <c r="AX169" s="1"/>
      <c r="AY169" s="1"/>
      <c r="AZ169" s="1"/>
      <c r="BA169" s="1"/>
      <c r="BB169" s="1"/>
      <c r="BC169" s="1"/>
      <c r="BD169" s="1"/>
      <c r="BE169" s="1"/>
      <c r="BF169" s="1"/>
      <c r="BG169" s="1"/>
      <c r="BH169" s="1"/>
    </row>
    <row r="170" spans="1:60" ht="40.5" hidden="1" customHeight="1" x14ac:dyDescent="0.25">
      <c r="A170" s="1"/>
      <c r="B170" s="1"/>
      <c r="C170" s="1"/>
      <c r="D170" s="1"/>
      <c r="E170" s="1"/>
      <c r="F170" s="1"/>
      <c r="H170" s="758" t="s">
        <v>1133</v>
      </c>
      <c r="I170" s="758"/>
      <c r="J170" s="758"/>
      <c r="K170" s="758"/>
      <c r="L170" s="758"/>
      <c r="M170" s="758"/>
      <c r="N170" s="758"/>
      <c r="O170" s="758"/>
      <c r="P170" s="758"/>
      <c r="Q170" s="758"/>
      <c r="R170" s="758"/>
      <c r="S170" s="758"/>
      <c r="T170" s="1474" t="s">
        <v>1134</v>
      </c>
      <c r="U170" s="1474"/>
      <c r="V170" s="1474"/>
      <c r="W170" s="1474"/>
      <c r="X170" s="1474"/>
      <c r="Y170" s="1474"/>
      <c r="Z170" s="1474"/>
      <c r="AA170" s="1474"/>
      <c r="AB170" s="1474"/>
      <c r="AC170" s="1474"/>
      <c r="AD170" s="1474"/>
      <c r="AE170" s="1"/>
      <c r="AF170" s="1"/>
      <c r="AG170" s="1"/>
      <c r="AH170" s="1"/>
      <c r="AI170" s="1"/>
      <c r="AJ170" s="1"/>
      <c r="AK170" s="1"/>
      <c r="AU170" s="1"/>
      <c r="AV170" s="1"/>
      <c r="AW170" s="1"/>
      <c r="AX170" s="1"/>
      <c r="AY170" s="1"/>
      <c r="AZ170" s="1"/>
      <c r="BA170" s="1"/>
      <c r="BB170" s="1"/>
      <c r="BC170" s="1"/>
      <c r="BD170" s="1"/>
      <c r="BE170" s="1"/>
      <c r="BF170" s="1"/>
      <c r="BG170" s="1"/>
      <c r="BH170" s="1"/>
    </row>
    <row r="171" spans="1:60" ht="33" hidden="1" customHeight="1" x14ac:dyDescent="0.25">
      <c r="A171" s="1"/>
      <c r="B171" s="1"/>
      <c r="C171" s="1"/>
      <c r="D171" s="1"/>
      <c r="E171" s="1"/>
      <c r="F171" s="1"/>
      <c r="H171" s="758" t="s">
        <v>1135</v>
      </c>
      <c r="I171" s="758"/>
      <c r="J171" s="758"/>
      <c r="K171" s="758"/>
      <c r="L171" s="758"/>
      <c r="M171" s="758"/>
      <c r="N171" s="758"/>
      <c r="O171" s="758"/>
      <c r="P171" s="758"/>
      <c r="Q171" s="758"/>
      <c r="R171" s="758"/>
      <c r="S171" s="758"/>
      <c r="T171" s="1474"/>
      <c r="U171" s="1474"/>
      <c r="V171" s="1474"/>
      <c r="W171" s="1474"/>
      <c r="X171" s="1474"/>
      <c r="Y171" s="1474"/>
      <c r="Z171" s="1474"/>
      <c r="AA171" s="1474"/>
      <c r="AB171" s="1474"/>
      <c r="AC171" s="1474"/>
      <c r="AD171" s="1474"/>
      <c r="AE171" s="1"/>
      <c r="AF171" s="1"/>
      <c r="AG171" s="1"/>
      <c r="AH171" s="1"/>
      <c r="AI171" s="1"/>
      <c r="AJ171" s="1"/>
      <c r="AK171" s="1"/>
      <c r="AU171" s="1"/>
      <c r="AV171" s="1"/>
      <c r="AW171" s="1"/>
      <c r="AX171" s="1"/>
      <c r="AY171" s="1"/>
      <c r="AZ171" s="1"/>
      <c r="BA171" s="1"/>
      <c r="BB171" s="1"/>
      <c r="BC171" s="1"/>
      <c r="BD171" s="1"/>
      <c r="BE171" s="1"/>
      <c r="BF171" s="1"/>
      <c r="BG171" s="1"/>
      <c r="BH171" s="1"/>
    </row>
    <row r="172" spans="1:60" ht="23.25" hidden="1" customHeight="1" x14ac:dyDescent="0.25">
      <c r="A172" s="1"/>
      <c r="B172" s="1"/>
      <c r="C172" s="1"/>
      <c r="D172" s="1"/>
      <c r="E172" s="1"/>
      <c r="F172" s="1"/>
      <c r="H172" s="758" t="s">
        <v>1136</v>
      </c>
      <c r="I172" s="758"/>
      <c r="J172" s="758"/>
      <c r="K172" s="758"/>
      <c r="L172" s="758"/>
      <c r="M172" s="758"/>
      <c r="N172" s="758"/>
      <c r="O172" s="758"/>
      <c r="P172" s="758"/>
      <c r="Q172" s="758"/>
      <c r="R172" s="758"/>
      <c r="S172" s="758"/>
      <c r="T172" s="1474"/>
      <c r="U172" s="1474"/>
      <c r="V172" s="1474"/>
      <c r="W172" s="1474"/>
      <c r="X172" s="1474"/>
      <c r="Y172" s="1474"/>
      <c r="Z172" s="1474"/>
      <c r="AA172" s="1474"/>
      <c r="AB172" s="1474"/>
      <c r="AC172" s="1474"/>
      <c r="AD172" s="1474"/>
      <c r="AE172" s="1"/>
      <c r="AF172" s="1"/>
      <c r="AG172" s="1"/>
      <c r="AH172" s="1"/>
      <c r="AI172" s="1"/>
      <c r="AJ172" s="1"/>
      <c r="AK172" s="1"/>
      <c r="AU172" s="1"/>
      <c r="AV172" s="1"/>
      <c r="AW172" s="1"/>
      <c r="AX172" s="1"/>
      <c r="AY172" s="1"/>
      <c r="AZ172" s="1"/>
      <c r="BA172" s="1"/>
      <c r="BB172" s="1"/>
      <c r="BC172" s="1"/>
      <c r="BD172" s="1"/>
      <c r="BE172" s="1"/>
      <c r="BF172" s="1"/>
      <c r="BG172" s="1"/>
      <c r="BH172" s="1"/>
    </row>
    <row r="173" spans="1:60" ht="18.75" hidden="1" customHeight="1" x14ac:dyDescent="0.25">
      <c r="A173" s="1"/>
      <c r="B173" s="1"/>
      <c r="C173" s="1"/>
      <c r="D173" s="1"/>
      <c r="E173" s="1"/>
      <c r="F173" s="1"/>
      <c r="H173" s="758"/>
      <c r="I173" s="758"/>
      <c r="J173" s="758"/>
      <c r="K173" s="758"/>
      <c r="L173" s="758"/>
      <c r="M173" s="758"/>
      <c r="N173" s="758"/>
      <c r="O173" s="758"/>
      <c r="P173" s="758"/>
      <c r="Q173" s="758"/>
      <c r="R173" s="758"/>
      <c r="S173" s="758"/>
      <c r="T173" s="1474"/>
      <c r="U173" s="1474"/>
      <c r="V173" s="1474"/>
      <c r="W173" s="1474"/>
      <c r="X173" s="1474"/>
      <c r="Y173" s="1474"/>
      <c r="Z173" s="1474"/>
      <c r="AA173" s="1474"/>
      <c r="AB173" s="1474"/>
      <c r="AC173" s="1474"/>
      <c r="AD173" s="1474"/>
      <c r="AE173" s="1"/>
      <c r="AF173" s="1"/>
      <c r="AG173" s="1"/>
      <c r="AH173" s="1"/>
      <c r="AI173" s="1"/>
      <c r="AJ173" s="1"/>
      <c r="AK173" s="1"/>
      <c r="AU173" s="1"/>
      <c r="AV173" s="1"/>
      <c r="AW173" s="1"/>
      <c r="AX173" s="1"/>
      <c r="AY173" s="1"/>
      <c r="AZ173" s="1"/>
      <c r="BA173" s="1"/>
      <c r="BB173" s="1"/>
      <c r="BC173" s="1"/>
      <c r="BD173" s="1"/>
      <c r="BE173" s="1"/>
      <c r="BF173" s="1"/>
      <c r="BG173" s="1"/>
      <c r="BH173" s="1"/>
    </row>
    <row r="174" spans="1:60" ht="107.25" hidden="1" customHeight="1" x14ac:dyDescent="0.35">
      <c r="A174" s="1"/>
      <c r="B174" s="1"/>
      <c r="C174" s="1"/>
      <c r="D174" s="1"/>
      <c r="E174" s="1"/>
      <c r="F174" s="1"/>
      <c r="T174" s="1481" t="s">
        <v>1405</v>
      </c>
      <c r="U174" s="1481"/>
      <c r="V174" s="1481"/>
      <c r="W174" s="1481"/>
      <c r="X174" s="1481"/>
      <c r="Y174" s="1481"/>
      <c r="Z174" s="1481"/>
      <c r="AA174" s="1481"/>
      <c r="AB174" s="1481"/>
      <c r="AC174" s="1481"/>
      <c r="AD174" s="1481"/>
      <c r="AE174" s="1"/>
      <c r="AF174" s="1"/>
      <c r="AG174" s="1"/>
      <c r="AH174" s="1"/>
      <c r="AI174" s="1"/>
      <c r="AJ174" s="1"/>
      <c r="AK174" s="1"/>
      <c r="AU174" s="1"/>
      <c r="AV174" s="1"/>
      <c r="AW174" s="1"/>
      <c r="AX174" s="1"/>
      <c r="AY174" s="1"/>
      <c r="AZ174" s="1"/>
      <c r="BA174" s="1"/>
      <c r="BB174" s="1"/>
      <c r="BC174" s="1"/>
      <c r="BD174" s="1"/>
      <c r="BE174" s="1"/>
      <c r="BF174" s="1"/>
      <c r="BG174" s="1"/>
      <c r="BH174" s="1"/>
    </row>
    <row r="175" spans="1:60" x14ac:dyDescent="0.35">
      <c r="A175" s="1"/>
      <c r="B175" s="1"/>
      <c r="C175" s="1"/>
      <c r="D175" s="1"/>
      <c r="E175" s="1"/>
      <c r="F175" s="1"/>
      <c r="T175" s="761" t="s">
        <v>66</v>
      </c>
      <c r="AE175" s="1"/>
      <c r="AF175" s="1"/>
      <c r="AG175" s="1"/>
      <c r="AH175" s="1"/>
      <c r="AI175" s="1"/>
      <c r="AJ175" s="1"/>
      <c r="AK175" s="1"/>
      <c r="AU175" s="1"/>
      <c r="AV175" s="1"/>
      <c r="AW175" s="1"/>
      <c r="AX175" s="1"/>
      <c r="AY175" s="1"/>
      <c r="AZ175" s="1"/>
      <c r="BA175" s="1"/>
      <c r="BB175" s="1"/>
      <c r="BC175" s="1"/>
      <c r="BD175" s="1"/>
      <c r="BE175" s="1"/>
      <c r="BF175" s="1"/>
      <c r="BG175" s="1"/>
      <c r="BH175" s="1"/>
    </row>
    <row r="176" spans="1:60" ht="15" x14ac:dyDescent="0.35">
      <c r="A176" s="1"/>
      <c r="B176" s="1"/>
      <c r="C176" s="1"/>
      <c r="D176" s="1"/>
      <c r="E176" s="1"/>
      <c r="F176" s="1"/>
      <c r="T176" s="762"/>
      <c r="U176" s="763"/>
      <c r="AE176" s="1"/>
      <c r="AF176" s="1"/>
      <c r="AG176" s="1"/>
      <c r="AH176" s="1"/>
      <c r="AI176" s="1"/>
      <c r="AJ176" s="1"/>
      <c r="AK176" s="1"/>
      <c r="AU176" s="1"/>
      <c r="AV176" s="1"/>
      <c r="AW176" s="1"/>
      <c r="AX176" s="1"/>
      <c r="AY176" s="1"/>
      <c r="AZ176" s="1"/>
      <c r="BA176" s="1"/>
      <c r="BB176" s="1"/>
      <c r="BC176" s="1"/>
      <c r="BD176" s="1"/>
      <c r="BE176" s="1"/>
      <c r="BF176" s="1"/>
      <c r="BG176" s="1"/>
      <c r="BH176" s="1"/>
    </row>
    <row r="177" spans="1:60" ht="15" x14ac:dyDescent="0.35">
      <c r="A177" s="1"/>
      <c r="B177" s="1"/>
      <c r="C177" s="1"/>
      <c r="D177" s="1"/>
      <c r="E177" s="1"/>
      <c r="F177" s="1"/>
      <c r="T177" s="764"/>
      <c r="U177" s="763"/>
      <c r="Y177" s="695"/>
      <c r="AE177" s="1"/>
      <c r="AF177" s="1"/>
      <c r="AG177" s="1"/>
      <c r="AH177" s="1"/>
      <c r="AI177" s="1"/>
      <c r="AJ177" s="1"/>
      <c r="AK177" s="1"/>
      <c r="AU177" s="1"/>
      <c r="AV177" s="1"/>
      <c r="AW177" s="1"/>
      <c r="AX177" s="1"/>
      <c r="AY177" s="1"/>
      <c r="AZ177" s="1"/>
      <c r="BA177" s="1"/>
      <c r="BB177" s="1"/>
      <c r="BC177" s="1"/>
      <c r="BD177" s="1"/>
      <c r="BE177" s="1"/>
      <c r="BF177" s="1"/>
      <c r="BG177" s="1"/>
      <c r="BH177" s="1"/>
    </row>
    <row r="178" spans="1:60" ht="15" x14ac:dyDescent="0.35">
      <c r="A178" s="1"/>
      <c r="B178" s="1"/>
      <c r="C178" s="1"/>
      <c r="D178" s="1"/>
      <c r="E178" s="1"/>
      <c r="F178" s="1"/>
      <c r="T178" s="764"/>
      <c r="U178" s="763"/>
      <c r="Y178" s="695"/>
      <c r="AE178" s="1"/>
      <c r="AF178" s="1"/>
      <c r="AG178" s="1"/>
      <c r="AH178" s="1"/>
      <c r="AI178" s="1"/>
      <c r="AJ178" s="1"/>
      <c r="AK178" s="1"/>
      <c r="AU178" s="1"/>
      <c r="AV178" s="1"/>
      <c r="AW178" s="1"/>
      <c r="AX178" s="1"/>
      <c r="AY178" s="1"/>
      <c r="AZ178" s="1"/>
      <c r="BA178" s="1"/>
      <c r="BB178" s="1"/>
      <c r="BC178" s="1"/>
      <c r="BD178" s="1"/>
      <c r="BE178" s="1"/>
      <c r="BF178" s="1"/>
      <c r="BG178" s="1"/>
      <c r="BH178" s="1"/>
    </row>
    <row r="179" spans="1:60" ht="19.5" customHeight="1" x14ac:dyDescent="0.35">
      <c r="A179" s="1"/>
      <c r="B179" s="1"/>
      <c r="C179" s="1"/>
      <c r="D179" s="1"/>
      <c r="E179" s="1"/>
      <c r="F179" s="1"/>
      <c r="T179" s="765"/>
      <c r="U179" s="763"/>
      <c r="Y179" s="695"/>
      <c r="AE179" s="1"/>
      <c r="AF179" s="1"/>
      <c r="AG179" s="1"/>
      <c r="AH179" s="1"/>
      <c r="AI179" s="1"/>
      <c r="AJ179" s="1"/>
      <c r="AK179" s="1"/>
      <c r="AU179" s="1"/>
      <c r="AV179" s="1"/>
      <c r="AW179" s="1"/>
      <c r="AX179" s="1"/>
      <c r="AY179" s="1"/>
      <c r="AZ179" s="1"/>
      <c r="BA179" s="1"/>
      <c r="BB179" s="1"/>
      <c r="BC179" s="1"/>
      <c r="BD179" s="1"/>
      <c r="BE179" s="1"/>
      <c r="BF179" s="1"/>
      <c r="BG179" s="1"/>
      <c r="BH179" s="1"/>
    </row>
    <row r="180" spans="1:60" ht="15" customHeight="1" x14ac:dyDescent="0.35">
      <c r="A180" s="1"/>
      <c r="B180" s="1"/>
      <c r="C180" s="1"/>
      <c r="D180" s="1"/>
      <c r="E180" s="1"/>
      <c r="F180" s="1"/>
      <c r="T180" s="766" t="s">
        <v>67</v>
      </c>
      <c r="U180" s="1477" t="s">
        <v>68</v>
      </c>
      <c r="V180" s="1478"/>
      <c r="W180" s="1478"/>
      <c r="X180" s="1478"/>
      <c r="Y180" s="1478"/>
      <c r="Z180" s="1478"/>
      <c r="AA180" s="1478"/>
      <c r="AB180" s="1478"/>
      <c r="AC180" s="1478"/>
      <c r="AD180" s="1478"/>
      <c r="AE180" s="1"/>
      <c r="AF180" s="1"/>
      <c r="AG180" s="1"/>
      <c r="AH180" s="1"/>
      <c r="AI180" s="1"/>
      <c r="AJ180" s="1"/>
      <c r="AK180" s="1"/>
      <c r="AU180" s="1"/>
      <c r="AV180" s="1"/>
      <c r="AW180" s="1"/>
      <c r="AX180" s="1"/>
      <c r="AY180" s="1"/>
      <c r="AZ180" s="1"/>
      <c r="BA180" s="1"/>
      <c r="BB180" s="1"/>
      <c r="BC180" s="1"/>
      <c r="BD180" s="1"/>
      <c r="BE180" s="1"/>
      <c r="BF180" s="1"/>
      <c r="BG180" s="1"/>
      <c r="BH180" s="1"/>
    </row>
    <row r="181" spans="1:60" ht="15" customHeight="1" x14ac:dyDescent="0.35">
      <c r="A181" s="1"/>
      <c r="B181" s="1"/>
      <c r="C181" s="1"/>
      <c r="D181" s="1"/>
      <c r="E181" s="1"/>
      <c r="F181" s="1"/>
      <c r="T181" s="766" t="s">
        <v>69</v>
      </c>
      <c r="U181" s="1477" t="s">
        <v>70</v>
      </c>
      <c r="V181" s="1478"/>
      <c r="W181" s="1478"/>
      <c r="X181" s="1478"/>
      <c r="Y181" s="1478"/>
      <c r="Z181" s="1478"/>
      <c r="AA181" s="1478"/>
      <c r="AB181" s="1478"/>
      <c r="AC181" s="1478"/>
      <c r="AD181" s="1478"/>
      <c r="AE181" s="1"/>
      <c r="AF181" s="1"/>
      <c r="AG181" s="1"/>
      <c r="AH181" s="1"/>
      <c r="AI181" s="1"/>
      <c r="AJ181" s="1"/>
      <c r="AK181" s="1"/>
      <c r="AU181" s="1"/>
      <c r="AV181" s="1"/>
      <c r="AW181" s="1"/>
      <c r="AX181" s="1"/>
      <c r="AY181" s="1"/>
      <c r="AZ181" s="1"/>
      <c r="BA181" s="1"/>
      <c r="BB181" s="1"/>
      <c r="BC181" s="1"/>
      <c r="BD181" s="1"/>
      <c r="BE181" s="1"/>
      <c r="BF181" s="1"/>
      <c r="BG181" s="1"/>
      <c r="BH181" s="1"/>
    </row>
    <row r="182" spans="1:60" ht="15" customHeight="1" x14ac:dyDescent="0.35">
      <c r="A182" s="1"/>
      <c r="B182" s="1"/>
      <c r="C182" s="1"/>
      <c r="D182" s="1"/>
      <c r="E182" s="1"/>
      <c r="F182" s="1"/>
      <c r="T182" s="766" t="s">
        <v>71</v>
      </c>
      <c r="U182" s="1477" t="s">
        <v>72</v>
      </c>
      <c r="V182" s="1478"/>
      <c r="W182" s="1478"/>
      <c r="X182" s="1478"/>
      <c r="Y182" s="1478"/>
      <c r="Z182" s="1478"/>
      <c r="AA182" s="1478"/>
      <c r="AB182" s="1478"/>
      <c r="AC182" s="1478"/>
      <c r="AD182" s="1478"/>
      <c r="AE182" s="1"/>
      <c r="AF182" s="1"/>
      <c r="AG182" s="1"/>
      <c r="AH182" s="1"/>
      <c r="AI182" s="1"/>
      <c r="AJ182" s="1"/>
      <c r="AK182" s="1"/>
      <c r="AU182" s="1"/>
      <c r="AV182" s="1"/>
      <c r="AW182" s="1"/>
      <c r="AX182" s="1"/>
      <c r="AY182" s="1"/>
      <c r="AZ182" s="1"/>
      <c r="BA182" s="1"/>
      <c r="BB182" s="1"/>
      <c r="BC182" s="1"/>
      <c r="BD182" s="1"/>
      <c r="BE182" s="1"/>
      <c r="BF182" s="1"/>
      <c r="BG182" s="1"/>
      <c r="BH182" s="1"/>
    </row>
    <row r="183" spans="1:60" ht="15" customHeight="1" x14ac:dyDescent="0.35">
      <c r="A183" s="1"/>
      <c r="B183" s="1"/>
      <c r="C183" s="1"/>
      <c r="D183" s="1"/>
      <c r="E183" s="1"/>
      <c r="F183" s="1"/>
      <c r="T183" s="766" t="s">
        <v>73</v>
      </c>
      <c r="U183" s="1477" t="s">
        <v>74</v>
      </c>
      <c r="V183" s="1478"/>
      <c r="W183" s="1478"/>
      <c r="X183" s="1478"/>
      <c r="Y183" s="1478"/>
      <c r="Z183" s="1478"/>
      <c r="AA183" s="1478"/>
      <c r="AB183" s="1478"/>
      <c r="AC183" s="1478"/>
      <c r="AD183" s="1478"/>
      <c r="AE183" s="1"/>
      <c r="AF183" s="1"/>
      <c r="AG183" s="1"/>
      <c r="AH183" s="1"/>
      <c r="AI183" s="1"/>
      <c r="AJ183" s="1"/>
      <c r="AK183" s="1"/>
      <c r="AU183" s="1"/>
      <c r="AV183" s="1"/>
      <c r="AW183" s="1"/>
      <c r="AX183" s="1"/>
      <c r="AY183" s="1"/>
      <c r="AZ183" s="1"/>
      <c r="BA183" s="1"/>
      <c r="BB183" s="1"/>
      <c r="BC183" s="1"/>
      <c r="BD183" s="1"/>
      <c r="BE183" s="1"/>
      <c r="BF183" s="1"/>
      <c r="BG183" s="1"/>
      <c r="BH183" s="1"/>
    </row>
    <row r="184" spans="1:60" ht="29.25" customHeight="1" x14ac:dyDescent="0.35">
      <c r="A184" s="1"/>
      <c r="B184" s="1"/>
      <c r="C184" s="1"/>
      <c r="D184" s="1"/>
      <c r="E184" s="1"/>
      <c r="F184" s="1"/>
      <c r="T184" s="766" t="s">
        <v>75</v>
      </c>
      <c r="U184" s="1477" t="s">
        <v>1923</v>
      </c>
      <c r="V184" s="1478"/>
      <c r="W184" s="1478"/>
      <c r="X184" s="1478"/>
      <c r="Y184" s="1478"/>
      <c r="Z184" s="1478"/>
      <c r="AA184" s="1478"/>
      <c r="AB184" s="1478"/>
      <c r="AC184" s="1478"/>
      <c r="AD184" s="1478"/>
      <c r="AE184" s="1"/>
      <c r="AF184" s="1"/>
      <c r="AG184" s="1"/>
      <c r="AH184" s="1"/>
      <c r="AI184" s="1"/>
      <c r="AJ184" s="1"/>
      <c r="AK184" s="1"/>
      <c r="AU184" s="1"/>
      <c r="AV184" s="1"/>
      <c r="AW184" s="1"/>
      <c r="AX184" s="1"/>
      <c r="AY184" s="1"/>
      <c r="AZ184" s="1"/>
      <c r="BA184" s="1"/>
      <c r="BB184" s="1"/>
      <c r="BC184" s="1"/>
      <c r="BD184" s="1"/>
      <c r="BE184" s="1"/>
      <c r="BF184" s="1"/>
      <c r="BG184" s="1"/>
      <c r="BH184" s="1"/>
    </row>
    <row r="185" spans="1:60" ht="15" customHeight="1" x14ac:dyDescent="0.35">
      <c r="A185" s="1"/>
      <c r="B185" s="1"/>
      <c r="C185" s="1"/>
      <c r="D185" s="1"/>
      <c r="E185" s="1"/>
      <c r="F185" s="1"/>
      <c r="T185" s="766" t="s">
        <v>76</v>
      </c>
      <c r="U185" s="1477" t="s">
        <v>77</v>
      </c>
      <c r="V185" s="1478"/>
      <c r="W185" s="1478"/>
      <c r="X185" s="1478"/>
      <c r="Y185" s="1478"/>
      <c r="Z185" s="1478"/>
      <c r="AA185" s="1478"/>
      <c r="AB185" s="1478"/>
      <c r="AC185" s="1478"/>
      <c r="AD185" s="1478"/>
      <c r="AE185" s="1"/>
      <c r="AF185" s="1"/>
      <c r="AG185" s="1"/>
      <c r="AH185" s="1"/>
      <c r="AI185" s="1"/>
      <c r="AJ185" s="1"/>
      <c r="AK185" s="1"/>
      <c r="AU185" s="1"/>
      <c r="AV185" s="1"/>
      <c r="AW185" s="1"/>
      <c r="AX185" s="1"/>
      <c r="AY185" s="1"/>
      <c r="AZ185" s="1"/>
      <c r="BA185" s="1"/>
      <c r="BB185" s="1"/>
      <c r="BC185" s="1"/>
      <c r="BD185" s="1"/>
      <c r="BE185" s="1"/>
      <c r="BF185" s="1"/>
      <c r="BG185" s="1"/>
      <c r="BH185" s="1"/>
    </row>
    <row r="186" spans="1:60" ht="15" customHeight="1" x14ac:dyDescent="0.35">
      <c r="A186" s="1"/>
      <c r="B186" s="1"/>
      <c r="C186" s="1"/>
      <c r="D186" s="1"/>
      <c r="E186" s="1"/>
      <c r="F186" s="1"/>
      <c r="T186" s="766" t="s">
        <v>78</v>
      </c>
      <c r="U186" s="1477" t="s">
        <v>79</v>
      </c>
      <c r="V186" s="1478"/>
      <c r="W186" s="1478"/>
      <c r="X186" s="1478"/>
      <c r="Y186" s="1478"/>
      <c r="Z186" s="1478"/>
      <c r="AA186" s="1478"/>
      <c r="AB186" s="1478"/>
      <c r="AC186" s="1478"/>
      <c r="AD186" s="1478"/>
      <c r="AE186" s="1"/>
      <c r="AF186" s="1"/>
      <c r="AG186" s="1"/>
      <c r="AH186" s="1"/>
      <c r="AI186" s="1"/>
      <c r="AJ186" s="1"/>
      <c r="AK186" s="1"/>
      <c r="AU186" s="1"/>
      <c r="AV186" s="1"/>
      <c r="AW186" s="1"/>
      <c r="AX186" s="1"/>
      <c r="AY186" s="1"/>
      <c r="AZ186" s="1"/>
      <c r="BA186" s="1"/>
      <c r="BB186" s="1"/>
      <c r="BC186" s="1"/>
      <c r="BD186" s="1"/>
      <c r="BE186" s="1"/>
      <c r="BF186" s="1"/>
      <c r="BG186" s="1"/>
      <c r="BH186" s="1"/>
    </row>
    <row r="187" spans="1:60" ht="28.5" customHeight="1" x14ac:dyDescent="0.35">
      <c r="A187" s="1"/>
      <c r="B187" s="1"/>
      <c r="C187" s="1"/>
      <c r="D187" s="1"/>
      <c r="E187" s="1"/>
      <c r="F187" s="1"/>
      <c r="T187" s="1479" t="s">
        <v>1028</v>
      </c>
      <c r="U187" s="1479"/>
      <c r="V187" s="1479"/>
      <c r="W187" s="1479"/>
      <c r="X187" s="1479"/>
      <c r="Y187" s="1479"/>
      <c r="Z187" s="1479"/>
      <c r="AA187" s="1479"/>
      <c r="AB187" s="1479"/>
      <c r="AC187" s="1479"/>
      <c r="AD187" s="1479"/>
      <c r="AE187" s="1"/>
      <c r="AF187" s="1"/>
      <c r="AG187" s="1"/>
      <c r="AH187" s="1"/>
      <c r="AI187" s="1"/>
      <c r="AJ187" s="1"/>
      <c r="AK187" s="1"/>
      <c r="AU187" s="1"/>
      <c r="AV187" s="1"/>
      <c r="AW187" s="1"/>
      <c r="AX187" s="1"/>
      <c r="AY187" s="1"/>
      <c r="AZ187" s="1"/>
      <c r="BA187" s="1"/>
      <c r="BB187" s="1"/>
      <c r="BC187" s="1"/>
      <c r="BD187" s="1"/>
      <c r="BE187" s="1"/>
      <c r="BF187" s="1"/>
      <c r="BG187" s="1"/>
      <c r="BH187" s="1"/>
    </row>
    <row r="188" spans="1:60" ht="15" hidden="1" customHeight="1" x14ac:dyDescent="0.35">
      <c r="A188" s="1"/>
      <c r="B188" s="1"/>
      <c r="C188" s="1"/>
      <c r="D188" s="1"/>
      <c r="E188" s="1"/>
      <c r="F188" s="1"/>
      <c r="T188" s="767"/>
      <c r="U188" s="767"/>
      <c r="V188" s="767"/>
      <c r="W188" s="767"/>
      <c r="X188" s="767"/>
      <c r="Y188" s="767"/>
      <c r="Z188" s="767"/>
      <c r="AA188" s="767"/>
      <c r="AB188" s="767"/>
      <c r="AC188" s="767"/>
      <c r="AD188" s="767"/>
      <c r="AE188" s="1"/>
      <c r="AF188" s="1"/>
      <c r="AG188" s="1"/>
      <c r="AH188" s="1"/>
      <c r="AI188" s="1"/>
      <c r="AJ188" s="1"/>
      <c r="AK188" s="1"/>
      <c r="AU188" s="1"/>
      <c r="AV188" s="1"/>
      <c r="AW188" s="1"/>
      <c r="AX188" s="1"/>
      <c r="AY188" s="1"/>
      <c r="AZ188" s="1"/>
      <c r="BA188" s="1"/>
      <c r="BB188" s="1"/>
      <c r="BC188" s="1"/>
      <c r="BD188" s="1"/>
      <c r="BE188" s="1"/>
      <c r="BF188" s="1"/>
      <c r="BG188" s="1"/>
      <c r="BH188" s="1"/>
    </row>
    <row r="189" spans="1:60" ht="36.75" customHeight="1" x14ac:dyDescent="0.35">
      <c r="A189" s="1"/>
      <c r="B189" s="1"/>
      <c r="C189" s="1"/>
      <c r="D189" s="1"/>
      <c r="E189" s="1"/>
      <c r="F189" s="1"/>
      <c r="T189" s="1479" t="s">
        <v>1885</v>
      </c>
      <c r="U189" s="1479"/>
      <c r="V189" s="1479"/>
      <c r="W189" s="1479"/>
      <c r="X189" s="1479"/>
      <c r="Y189" s="1479"/>
      <c r="Z189" s="1479"/>
      <c r="AA189" s="1479"/>
      <c r="AB189" s="1479"/>
      <c r="AC189" s="1479"/>
      <c r="AD189" s="1479"/>
      <c r="AE189" s="1"/>
      <c r="AF189" s="1"/>
      <c r="AG189" s="1"/>
      <c r="AH189" s="1"/>
      <c r="AI189" s="1"/>
      <c r="AJ189" s="1"/>
      <c r="AK189" s="1"/>
      <c r="AU189" s="1"/>
      <c r="AV189" s="1"/>
      <c r="AW189" s="1"/>
      <c r="AX189" s="1"/>
      <c r="AY189" s="1"/>
      <c r="AZ189" s="1"/>
      <c r="BA189" s="1"/>
      <c r="BB189" s="1"/>
      <c r="BC189" s="1"/>
      <c r="BD189" s="1"/>
      <c r="BE189" s="1"/>
      <c r="BF189" s="1"/>
      <c r="BG189" s="1"/>
      <c r="BH189" s="1"/>
    </row>
    <row r="190" spans="1:60" ht="6.6" customHeight="1" x14ac:dyDescent="0.35">
      <c r="A190" s="1"/>
      <c r="B190" s="1"/>
      <c r="C190" s="1"/>
      <c r="D190" s="1"/>
      <c r="E190" s="1"/>
      <c r="F190" s="1"/>
      <c r="T190" s="767"/>
      <c r="U190" s="767"/>
      <c r="V190" s="767"/>
      <c r="W190" s="767"/>
      <c r="X190" s="767"/>
      <c r="Y190" s="767"/>
      <c r="Z190" s="767"/>
      <c r="AA190" s="767"/>
      <c r="AB190" s="767"/>
      <c r="AC190" s="767"/>
      <c r="AD190" s="767"/>
      <c r="AE190" s="1"/>
      <c r="AF190" s="1"/>
      <c r="AG190" s="1"/>
      <c r="AH190" s="1"/>
      <c r="AI190" s="1"/>
      <c r="AJ190" s="1"/>
      <c r="AK190" s="1"/>
      <c r="AU190" s="1"/>
      <c r="AV190" s="1"/>
      <c r="AW190" s="1"/>
      <c r="AX190" s="1"/>
      <c r="AY190" s="1"/>
      <c r="AZ190" s="1"/>
      <c r="BA190" s="1"/>
      <c r="BB190" s="1"/>
      <c r="BC190" s="1"/>
      <c r="BD190" s="1"/>
      <c r="BE190" s="1"/>
      <c r="BF190" s="1"/>
      <c r="BG190" s="1"/>
      <c r="BH190" s="1"/>
    </row>
    <row r="191" spans="1:60" ht="69" customHeight="1" x14ac:dyDescent="0.35">
      <c r="A191" s="1"/>
      <c r="B191" s="1"/>
      <c r="C191" s="1"/>
      <c r="D191" s="1"/>
      <c r="E191" s="1"/>
      <c r="F191" s="1"/>
      <c r="T191" s="767"/>
      <c r="U191" s="767"/>
      <c r="V191" s="1419" t="s">
        <v>1887</v>
      </c>
      <c r="W191" s="1416"/>
      <c r="X191" s="1419" t="s">
        <v>1888</v>
      </c>
      <c r="Y191" s="1416"/>
      <c r="Z191" s="1416"/>
      <c r="AA191" s="1420" t="s">
        <v>1889</v>
      </c>
      <c r="AB191" s="767"/>
      <c r="AC191" s="767"/>
      <c r="AD191" s="767"/>
      <c r="AE191" s="1"/>
      <c r="AF191" s="1"/>
      <c r="AG191" s="1"/>
      <c r="AH191" s="1"/>
      <c r="AI191" s="1"/>
      <c r="AJ191" s="1"/>
      <c r="AK191" s="1"/>
      <c r="AU191" s="1"/>
      <c r="AV191" s="1"/>
      <c r="AW191" s="1"/>
      <c r="AX191" s="1"/>
      <c r="AY191" s="1"/>
      <c r="AZ191" s="1"/>
      <c r="BA191" s="1"/>
      <c r="BB191" s="1"/>
      <c r="BC191" s="1"/>
      <c r="BD191" s="1"/>
      <c r="BE191" s="1"/>
      <c r="BF191" s="1"/>
      <c r="BG191" s="1"/>
      <c r="BH191" s="1"/>
    </row>
    <row r="192" spans="1:60" ht="15" customHeight="1" x14ac:dyDescent="0.35">
      <c r="A192" s="1"/>
      <c r="B192" s="1"/>
      <c r="C192" s="1"/>
      <c r="D192" s="1"/>
      <c r="E192" s="1"/>
      <c r="F192" s="1"/>
      <c r="T192" s="767"/>
      <c r="U192" s="767"/>
      <c r="V192" s="1421" t="s">
        <v>1890</v>
      </c>
      <c r="W192" s="1416"/>
      <c r="X192" s="1422" t="s">
        <v>1891</v>
      </c>
      <c r="Y192" s="1416"/>
      <c r="Z192" s="1416"/>
      <c r="AA192" s="1423">
        <v>808</v>
      </c>
      <c r="AB192" s="767"/>
      <c r="AC192" s="767"/>
      <c r="AD192" s="767"/>
      <c r="AE192" s="1"/>
      <c r="AF192" s="1"/>
      <c r="AG192" s="1"/>
      <c r="AH192" s="1"/>
      <c r="AI192" s="1"/>
      <c r="AJ192" s="1"/>
      <c r="AK192" s="1"/>
      <c r="AU192" s="1"/>
      <c r="AV192" s="1"/>
      <c r="AW192" s="1"/>
      <c r="AX192" s="1"/>
      <c r="AY192" s="1"/>
      <c r="AZ192" s="1"/>
      <c r="BA192" s="1"/>
      <c r="BB192" s="1"/>
      <c r="BC192" s="1"/>
      <c r="BD192" s="1"/>
      <c r="BE192" s="1"/>
      <c r="BF192" s="1"/>
      <c r="BG192" s="1"/>
      <c r="BH192" s="1"/>
    </row>
    <row r="193" spans="1:60" ht="15" hidden="1" customHeight="1" x14ac:dyDescent="0.35">
      <c r="A193" s="1"/>
      <c r="B193" s="1"/>
      <c r="C193" s="1"/>
      <c r="D193" s="1"/>
      <c r="E193" s="1"/>
      <c r="F193" s="1"/>
      <c r="T193" s="767"/>
      <c r="U193" s="767"/>
      <c r="V193" s="768" t="s">
        <v>1892</v>
      </c>
      <c r="W193" s="767"/>
      <c r="X193" s="769" t="s">
        <v>1893</v>
      </c>
      <c r="Y193" s="767"/>
      <c r="Z193" s="767"/>
      <c r="AA193" s="770" t="s">
        <v>1894</v>
      </c>
      <c r="AB193" s="767"/>
      <c r="AC193" s="767"/>
      <c r="AD193" s="767"/>
      <c r="AE193" s="1"/>
      <c r="AF193" s="1"/>
      <c r="AG193" s="1"/>
      <c r="AH193" s="1"/>
      <c r="AI193" s="1"/>
      <c r="AJ193" s="1"/>
      <c r="AK193" s="1"/>
      <c r="AU193" s="1"/>
      <c r="AV193" s="1"/>
      <c r="AW193" s="1"/>
      <c r="AX193" s="1"/>
      <c r="AY193" s="1"/>
      <c r="AZ193" s="1"/>
      <c r="BA193" s="1"/>
      <c r="BB193" s="1"/>
      <c r="BC193" s="1"/>
      <c r="BD193" s="1"/>
      <c r="BE193" s="1"/>
      <c r="BF193" s="1"/>
      <c r="BG193" s="1"/>
      <c r="BH193" s="1"/>
    </row>
    <row r="194" spans="1:60" ht="15.75" hidden="1" customHeight="1" x14ac:dyDescent="0.35">
      <c r="A194" s="1"/>
      <c r="B194" s="1"/>
      <c r="C194" s="1"/>
      <c r="D194" s="1"/>
      <c r="E194" s="1"/>
      <c r="F194" s="1"/>
      <c r="T194" s="767"/>
      <c r="U194" s="767"/>
      <c r="V194" s="771">
        <v>66000000</v>
      </c>
      <c r="W194" s="767"/>
      <c r="X194" s="768" t="s">
        <v>1895</v>
      </c>
      <c r="Y194" s="767"/>
      <c r="Z194" s="767"/>
      <c r="AA194" s="772">
        <v>1721</v>
      </c>
      <c r="AB194" s="767"/>
      <c r="AC194" s="767"/>
      <c r="AD194" s="767"/>
      <c r="AE194" s="1"/>
      <c r="AF194" s="1"/>
      <c r="AG194" s="1"/>
      <c r="AH194" s="1"/>
      <c r="AI194" s="1"/>
      <c r="AJ194" s="1"/>
      <c r="AK194" s="1"/>
      <c r="AU194" s="1"/>
      <c r="AV194" s="1"/>
      <c r="AW194" s="1"/>
      <c r="AX194" s="1"/>
      <c r="AY194" s="1"/>
      <c r="AZ194" s="1"/>
      <c r="BA194" s="1"/>
      <c r="BB194" s="1"/>
      <c r="BC194" s="1"/>
      <c r="BD194" s="1"/>
      <c r="BE194" s="1"/>
      <c r="BF194" s="1"/>
      <c r="BG194" s="1"/>
      <c r="BH194" s="1"/>
    </row>
    <row r="195" spans="1:60" ht="9" hidden="1" customHeight="1" x14ac:dyDescent="0.35">
      <c r="A195" s="1"/>
      <c r="B195" s="1"/>
      <c r="C195" s="1"/>
      <c r="D195" s="1"/>
      <c r="E195" s="1"/>
      <c r="F195" s="1"/>
      <c r="T195" s="1479" t="s">
        <v>1896</v>
      </c>
      <c r="U195" s="1479"/>
      <c r="V195" s="1479"/>
      <c r="W195" s="1479"/>
      <c r="X195" s="1479"/>
      <c r="Y195" s="1479"/>
      <c r="Z195" s="1479"/>
      <c r="AA195" s="1479"/>
      <c r="AB195" s="1479"/>
      <c r="AC195" s="1479"/>
      <c r="AD195" s="1479"/>
      <c r="AE195" s="1"/>
      <c r="AF195" s="1"/>
      <c r="AG195" s="1"/>
      <c r="AH195" s="1"/>
      <c r="AI195" s="1"/>
      <c r="AJ195" s="1"/>
      <c r="AK195" s="1"/>
      <c r="AU195" s="1"/>
      <c r="AV195" s="1"/>
      <c r="AW195" s="1"/>
      <c r="AX195" s="1"/>
      <c r="AY195" s="1"/>
      <c r="AZ195" s="1"/>
      <c r="BA195" s="1"/>
      <c r="BB195" s="1"/>
      <c r="BC195" s="1"/>
      <c r="BD195" s="1"/>
      <c r="BE195" s="1"/>
      <c r="BF195" s="1"/>
      <c r="BG195" s="1"/>
      <c r="BH195" s="1"/>
    </row>
    <row r="196" spans="1:60" ht="82.95" customHeight="1" x14ac:dyDescent="0.35">
      <c r="A196" s="1"/>
      <c r="B196" s="1"/>
      <c r="C196" s="1"/>
      <c r="D196" s="1"/>
      <c r="E196" s="1"/>
      <c r="F196" s="1"/>
      <c r="T196" s="1479"/>
      <c r="U196" s="1479"/>
      <c r="V196" s="1479"/>
      <c r="W196" s="1479"/>
      <c r="X196" s="1479"/>
      <c r="Y196" s="1479"/>
      <c r="Z196" s="1479"/>
      <c r="AA196" s="1479"/>
      <c r="AB196" s="1479"/>
      <c r="AC196" s="1479"/>
      <c r="AD196" s="1479"/>
      <c r="AE196" s="1"/>
      <c r="AF196" s="1"/>
      <c r="AG196" s="1"/>
      <c r="AH196" s="1"/>
      <c r="AI196" s="1"/>
      <c r="AJ196" s="1"/>
      <c r="AK196" s="1"/>
      <c r="AU196" s="1"/>
      <c r="AV196" s="1"/>
      <c r="AW196" s="1"/>
      <c r="AX196" s="1"/>
      <c r="AY196" s="1"/>
      <c r="AZ196" s="1"/>
      <c r="BA196" s="1"/>
      <c r="BB196" s="1"/>
      <c r="BC196" s="1"/>
      <c r="BD196" s="1"/>
      <c r="BE196" s="1"/>
      <c r="BF196" s="1"/>
      <c r="BG196" s="1"/>
      <c r="BH196" s="1"/>
    </row>
    <row r="197" spans="1:60" ht="37.950000000000003" customHeight="1" x14ac:dyDescent="0.35">
      <c r="A197" s="1"/>
      <c r="B197" s="1"/>
      <c r="C197" s="1"/>
      <c r="D197" s="1"/>
      <c r="E197" s="1"/>
      <c r="F197" s="1"/>
      <c r="H197" s="1473" t="s">
        <v>2030</v>
      </c>
      <c r="I197" s="1473"/>
      <c r="J197" s="1473"/>
      <c r="K197" s="1473"/>
      <c r="L197" s="1473"/>
      <c r="M197" s="1473"/>
      <c r="N197" s="1473"/>
      <c r="O197" s="1473"/>
      <c r="P197" s="1473"/>
      <c r="Q197" s="1473"/>
      <c r="R197" s="1473"/>
      <c r="S197" s="1473"/>
      <c r="T197" s="1473"/>
      <c r="U197" s="1473"/>
      <c r="V197" s="1473"/>
      <c r="W197" s="1473"/>
      <c r="X197" s="1473"/>
      <c r="Y197" s="1473"/>
      <c r="Z197" s="1473"/>
      <c r="AA197" s="1473"/>
      <c r="AB197" s="1473"/>
      <c r="AC197" s="1473"/>
      <c r="AD197" s="1473"/>
      <c r="AE197" s="1"/>
      <c r="AF197" s="1"/>
      <c r="AG197" s="1"/>
      <c r="AH197" s="1"/>
      <c r="AI197" s="1"/>
      <c r="AJ197" s="1"/>
      <c r="AK197" s="1"/>
      <c r="AU197" s="1"/>
      <c r="AV197" s="1"/>
      <c r="AW197" s="1"/>
      <c r="AX197" s="1"/>
      <c r="AY197" s="1"/>
      <c r="AZ197" s="1"/>
      <c r="BA197" s="1"/>
      <c r="BB197" s="1"/>
      <c r="BC197" s="1"/>
      <c r="BD197" s="1"/>
      <c r="BE197" s="1"/>
      <c r="BF197" s="1"/>
      <c r="BG197" s="1"/>
      <c r="BH197" s="1"/>
    </row>
    <row r="198" spans="1:60" x14ac:dyDescent="0.35">
      <c r="A198" s="1"/>
      <c r="B198" s="1"/>
      <c r="C198" s="1"/>
      <c r="D198" s="1"/>
      <c r="E198" s="1"/>
      <c r="F198" s="1"/>
      <c r="H198" s="773"/>
      <c r="I198" s="773"/>
      <c r="J198" s="773"/>
      <c r="K198" s="773"/>
      <c r="L198" s="773"/>
      <c r="M198" s="773"/>
      <c r="N198" s="773"/>
      <c r="O198" s="773"/>
      <c r="P198" s="773"/>
      <c r="Q198" s="773"/>
      <c r="R198" s="773"/>
      <c r="S198" s="773"/>
      <c r="T198" s="773"/>
      <c r="U198" s="773"/>
      <c r="V198" s="773"/>
      <c r="W198" s="773"/>
      <c r="X198" s="773"/>
      <c r="Y198" s="773"/>
      <c r="Z198" s="773"/>
      <c r="AA198" s="773"/>
      <c r="AB198" s="773"/>
      <c r="AC198" s="773"/>
      <c r="AD198" s="773"/>
      <c r="AE198" s="1"/>
      <c r="AF198" s="1"/>
      <c r="AG198" s="1"/>
      <c r="AH198" s="1"/>
      <c r="AI198" s="1"/>
      <c r="AJ198" s="1"/>
      <c r="AK198" s="1"/>
      <c r="AU198" s="1"/>
      <c r="AV198" s="1"/>
      <c r="AW198" s="1"/>
      <c r="AX198" s="1"/>
      <c r="AY198" s="1"/>
      <c r="AZ198" s="1"/>
      <c r="BA198" s="1"/>
      <c r="BB198" s="1"/>
      <c r="BC198" s="1"/>
      <c r="BD198" s="1"/>
      <c r="BE198" s="1"/>
      <c r="BF198" s="1"/>
      <c r="BG198" s="1"/>
      <c r="BH198" s="1"/>
    </row>
    <row r="199" spans="1:60" x14ac:dyDescent="0.35">
      <c r="A199" s="1"/>
      <c r="B199" s="1"/>
      <c r="C199" s="1"/>
      <c r="D199" s="1"/>
      <c r="E199" s="1"/>
      <c r="F199" s="1"/>
      <c r="H199" s="641" t="s">
        <v>2027</v>
      </c>
      <c r="AE199" s="1"/>
      <c r="AF199" s="1"/>
      <c r="AG199" s="1"/>
      <c r="AH199" s="1"/>
      <c r="AI199" s="1"/>
      <c r="AJ199" s="1"/>
      <c r="AK199" s="1"/>
      <c r="AU199" s="1"/>
      <c r="AV199" s="1"/>
      <c r="AW199" s="1"/>
      <c r="AX199" s="1"/>
      <c r="AY199" s="1"/>
      <c r="AZ199" s="1"/>
      <c r="BA199" s="1"/>
      <c r="BB199" s="1"/>
      <c r="BC199" s="1"/>
      <c r="BD199" s="1"/>
      <c r="BE199" s="1"/>
      <c r="BF199" s="1"/>
      <c r="BG199" s="1"/>
      <c r="BH199" s="1"/>
    </row>
    <row r="200" spans="1:60" hidden="1" x14ac:dyDescent="0.35">
      <c r="A200" s="1"/>
      <c r="B200" s="1"/>
      <c r="C200" s="1"/>
      <c r="D200" s="1"/>
      <c r="E200" s="1"/>
      <c r="F200" s="1"/>
      <c r="AE200" s="1"/>
      <c r="AF200" s="1"/>
      <c r="AG200" s="1"/>
      <c r="AH200" s="1"/>
      <c r="AI200" s="1"/>
      <c r="AJ200" s="1"/>
      <c r="AK200" s="1"/>
      <c r="AU200" s="1"/>
      <c r="AV200" s="1"/>
      <c r="AW200" s="1"/>
      <c r="AX200" s="1"/>
      <c r="AY200" s="1"/>
      <c r="AZ200" s="1"/>
      <c r="BA200" s="1"/>
      <c r="BB200" s="1"/>
      <c r="BC200" s="1"/>
      <c r="BD200" s="1"/>
      <c r="BE200" s="1"/>
      <c r="BF200" s="1"/>
      <c r="BG200" s="1"/>
      <c r="BH200" s="1"/>
    </row>
    <row r="201" spans="1:60" x14ac:dyDescent="0.35">
      <c r="A201" s="1"/>
      <c r="B201" s="1"/>
      <c r="C201" s="1"/>
      <c r="D201" s="1"/>
      <c r="E201" s="1"/>
      <c r="F201" s="1"/>
      <c r="H201" s="641" t="s">
        <v>2028</v>
      </c>
      <c r="AE201" s="1"/>
      <c r="AF201" s="1"/>
      <c r="AG201" s="1"/>
      <c r="AH201" s="1"/>
      <c r="AI201" s="1"/>
      <c r="AJ201" s="1"/>
      <c r="AK201" s="1"/>
      <c r="AU201" s="1"/>
      <c r="AV201" s="1"/>
      <c r="AW201" s="1"/>
      <c r="AX201" s="1"/>
      <c r="AY201" s="1"/>
      <c r="AZ201" s="1"/>
      <c r="BA201" s="1"/>
      <c r="BB201" s="1"/>
      <c r="BC201" s="1"/>
      <c r="BD201" s="1"/>
      <c r="BE201" s="1"/>
      <c r="BF201" s="1"/>
      <c r="BG201" s="1"/>
      <c r="BH201" s="1"/>
    </row>
    <row r="204" spans="1:60" hidden="1" x14ac:dyDescent="0.35"/>
    <row r="205" spans="1:60" hidden="1" x14ac:dyDescent="0.35"/>
    <row r="206" spans="1:60" hidden="1" x14ac:dyDescent="0.35"/>
    <row r="207" spans="1:60" hidden="1" x14ac:dyDescent="0.35"/>
    <row r="208" spans="1:60" hidden="1" x14ac:dyDescent="0.35"/>
    <row r="209" spans="38:56" hidden="1" x14ac:dyDescent="0.35"/>
    <row r="210" spans="38:56" hidden="1" x14ac:dyDescent="0.35"/>
    <row r="211" spans="38:56" hidden="1" x14ac:dyDescent="0.35"/>
    <row r="212" spans="38:56" hidden="1" x14ac:dyDescent="0.35"/>
    <row r="213" spans="38:56" hidden="1" x14ac:dyDescent="0.35"/>
    <row r="214" spans="38:56" hidden="1" x14ac:dyDescent="0.35"/>
    <row r="215" spans="38:56" hidden="1" x14ac:dyDescent="0.35"/>
    <row r="216" spans="38:56" hidden="1" x14ac:dyDescent="0.35"/>
    <row r="217" spans="38:56" hidden="1" x14ac:dyDescent="0.35"/>
    <row r="218" spans="38:56" hidden="1" x14ac:dyDescent="0.35"/>
    <row r="219" spans="38:56" hidden="1" x14ac:dyDescent="0.35"/>
    <row r="220" spans="38:56" hidden="1" x14ac:dyDescent="0.35"/>
    <row r="221" spans="38:56" ht="42.6" hidden="1" x14ac:dyDescent="0.35">
      <c r="AL221" s="286" t="s">
        <v>30</v>
      </c>
      <c r="AM221" s="286" t="s">
        <v>31</v>
      </c>
      <c r="AN221" s="286" t="s">
        <v>32</v>
      </c>
      <c r="AO221" s="286" t="s">
        <v>33</v>
      </c>
      <c r="AP221" s="286" t="s">
        <v>34</v>
      </c>
      <c r="AQ221" s="286" t="s">
        <v>35</v>
      </c>
      <c r="AR221" s="286" t="s">
        <v>36</v>
      </c>
      <c r="AS221" s="1" t="s">
        <v>37</v>
      </c>
      <c r="AT221" s="1" t="s">
        <v>37</v>
      </c>
      <c r="AV221" s="286" t="s">
        <v>30</v>
      </c>
      <c r="AW221" s="286" t="s">
        <v>31</v>
      </c>
      <c r="AX221" s="286" t="s">
        <v>32</v>
      </c>
      <c r="AY221" s="286" t="s">
        <v>33</v>
      </c>
      <c r="AZ221" s="286" t="s">
        <v>34</v>
      </c>
      <c r="BA221" s="286" t="s">
        <v>35</v>
      </c>
      <c r="BB221" s="286" t="s">
        <v>36</v>
      </c>
      <c r="BC221" s="1"/>
      <c r="BD221" s="1"/>
    </row>
    <row r="222" spans="38:56" ht="15" hidden="1" x14ac:dyDescent="0.35">
      <c r="AL222" s="14">
        <v>0</v>
      </c>
      <c r="AM222" s="538">
        <f>AN23</f>
        <v>12000000</v>
      </c>
      <c r="AN222" s="575"/>
      <c r="AO222" s="14"/>
      <c r="AP222" s="14"/>
      <c r="AQ222" s="14"/>
      <c r="AR222" s="538">
        <f>-AN23+AR33+AR34+AR38</f>
        <v>-11984400</v>
      </c>
      <c r="AS222" s="538">
        <f>-AN23+AR32+AR33+AR34+AR38</f>
        <v>-11942400</v>
      </c>
      <c r="AT222" s="576">
        <f>-AN23+AR33+AR34+AR38</f>
        <v>-11984400</v>
      </c>
      <c r="AV222" s="14">
        <v>0</v>
      </c>
      <c r="AW222" s="299">
        <f>AN23</f>
        <v>12000000</v>
      </c>
      <c r="BB222" s="299">
        <f>-AN23+AR33+AR34+AR38</f>
        <v>-11984400</v>
      </c>
    </row>
    <row r="223" spans="38:56" ht="15" hidden="1" x14ac:dyDescent="0.35">
      <c r="AL223" s="14">
        <v>1</v>
      </c>
      <c r="AM223" s="538">
        <f>+AM222-AN223</f>
        <v>11963614.37886619</v>
      </c>
      <c r="AN223" s="578">
        <f>PPMT($AN$32/360*(365/12),AL223,$AN$24,-$AN$23)</f>
        <v>36385.621133809844</v>
      </c>
      <c r="AO223" s="539">
        <f>AM222*$AN$32/360*(365/12)</f>
        <v>30416.666666666668</v>
      </c>
      <c r="AP223" s="538">
        <f>(AN223+AO223)</f>
        <v>66802.287800476508</v>
      </c>
      <c r="AQ223" s="540">
        <f>$AR$23</f>
        <v>0</v>
      </c>
      <c r="AR223" s="541">
        <f>IF(AP223&lt;1,0,(AP223+AQ223))</f>
        <v>66802.287800476508</v>
      </c>
      <c r="AS223" s="541">
        <f>IF(AP223&lt;1,0,(AP223+AQ223))</f>
        <v>66802.287800476508</v>
      </c>
      <c r="AT223" s="579">
        <f>IF(AP223&lt;1,0,(AP223+AQ223))</f>
        <v>66802.287800476508</v>
      </c>
      <c r="AV223" s="14">
        <v>1</v>
      </c>
      <c r="AW223" s="538">
        <f>+AW222-AX223</f>
        <v>12000000</v>
      </c>
      <c r="AX223" s="606">
        <f>IF(AL223&lt;=24,0,PPMT($AN$32/360*(365/12),AL223-24,$AN$24-24,-$AN$23))</f>
        <v>0</v>
      </c>
      <c r="AY223" s="299">
        <f>AW222*$AN$32/360*(365/12)</f>
        <v>30416.666666666668</v>
      </c>
      <c r="AZ223" s="538">
        <f>(AX223+AY223)</f>
        <v>30416.666666666668</v>
      </c>
      <c r="BA223" s="540">
        <f>$AR$23</f>
        <v>0</v>
      </c>
      <c r="BB223" s="541">
        <f>IF(AZ223&lt;1,0,(AZ223+BA223))</f>
        <v>30416.666666666668</v>
      </c>
    </row>
    <row r="224" spans="38:56" ht="15" hidden="1" x14ac:dyDescent="0.35">
      <c r="AL224" s="14">
        <v>2</v>
      </c>
      <c r="AM224" s="538">
        <f t="shared" ref="AM224:AM287" si="11">+AM223-AN224</f>
        <v>11927136.530289924</v>
      </c>
      <c r="AN224" s="538">
        <f t="shared" ref="AN224:AN254" si="12">PPMT($AN$32/360*(365/12),AL224,$AN$24,-$AN$23)</f>
        <v>36477.848576267068</v>
      </c>
      <c r="AO224" s="539">
        <f t="shared" ref="AO224:AO286" si="13">AM223*$AN$32/360*(365/12)</f>
        <v>30324.43922420944</v>
      </c>
      <c r="AP224" s="538">
        <f t="shared" ref="AP224:AP287" si="14">(AN224+AO224)</f>
        <v>66802.287800476508</v>
      </c>
      <c r="AQ224" s="540">
        <f>+AQ223</f>
        <v>0</v>
      </c>
      <c r="AR224" s="541">
        <f t="shared" ref="AR224:AR287" si="15">IF(AP224&lt;1,0,(AP224+AQ224))</f>
        <v>66802.287800476508</v>
      </c>
      <c r="AS224" s="541">
        <f t="shared" ref="AS224:AS287" si="16">IF(AP224&lt;1,0,(AP224+AQ224))</f>
        <v>66802.287800476508</v>
      </c>
      <c r="AT224" s="1">
        <f t="shared" ref="AT224:AT287" si="17">IF(AP224&lt;1,0,(AP224+AQ224))</f>
        <v>66802.287800476508</v>
      </c>
      <c r="AV224" s="14">
        <v>2</v>
      </c>
      <c r="AW224" s="538">
        <f t="shared" ref="AW224:AW287" si="18">+AW223-AX224</f>
        <v>12000000</v>
      </c>
      <c r="AX224" s="606">
        <f t="shared" ref="AX224:AX287" si="19">IF(AL224&lt;=24,0,PPMT($AN$32/360*(365/12),AL224-24,$AN$24-24,-$AN$23))</f>
        <v>0</v>
      </c>
      <c r="AY224" s="299">
        <f t="shared" ref="AY224:AY287" si="20">AW223*$AN$32/360*(365/12)</f>
        <v>30416.666666666668</v>
      </c>
      <c r="AZ224" s="538">
        <f t="shared" ref="AZ224:AZ287" si="21">(AX224+AY224)</f>
        <v>30416.666666666668</v>
      </c>
      <c r="BA224" s="540">
        <f t="shared" ref="BA224:BA287" si="22">$AR$23</f>
        <v>0</v>
      </c>
      <c r="BB224" s="541">
        <f t="shared" ref="BB224:BB287" si="23">IF(AZ224&lt;1,0,(AZ224+BA224))</f>
        <v>30416.666666666668</v>
      </c>
    </row>
    <row r="225" spans="38:54" ht="15" hidden="1" x14ac:dyDescent="0.35">
      <c r="AL225" s="14">
        <v>3</v>
      </c>
      <c r="AM225" s="538">
        <f t="shared" si="11"/>
        <v>11890566.220500251</v>
      </c>
      <c r="AN225" s="538">
        <f t="shared" si="12"/>
        <v>36570.309789672196</v>
      </c>
      <c r="AO225" s="539">
        <f t="shared" si="13"/>
        <v>30231.97801080432</v>
      </c>
      <c r="AP225" s="538">
        <f t="shared" si="14"/>
        <v>66802.287800476508</v>
      </c>
      <c r="AQ225" s="540">
        <f t="shared" ref="AQ225:AQ287" si="24">+AQ224</f>
        <v>0</v>
      </c>
      <c r="AR225" s="541">
        <f t="shared" si="15"/>
        <v>66802.287800476508</v>
      </c>
      <c r="AS225" s="541">
        <f>IF(AP225&lt;1,0,(AP225+AQ225))</f>
        <v>66802.287800476508</v>
      </c>
      <c r="AT225" s="542">
        <f t="shared" si="17"/>
        <v>66802.287800476508</v>
      </c>
      <c r="AV225" s="14">
        <v>3</v>
      </c>
      <c r="AW225" s="538">
        <f t="shared" si="18"/>
        <v>12000000</v>
      </c>
      <c r="AX225" s="606">
        <f t="shared" si="19"/>
        <v>0</v>
      </c>
      <c r="AY225" s="299">
        <f t="shared" si="20"/>
        <v>30416.666666666668</v>
      </c>
      <c r="AZ225" s="538">
        <f t="shared" si="21"/>
        <v>30416.666666666668</v>
      </c>
      <c r="BA225" s="540">
        <f t="shared" si="22"/>
        <v>0</v>
      </c>
      <c r="BB225" s="541">
        <f t="shared" si="23"/>
        <v>30416.666666666668</v>
      </c>
    </row>
    <row r="226" spans="38:54" ht="15" hidden="1" x14ac:dyDescent="0.35">
      <c r="AL226" s="14">
        <v>4</v>
      </c>
      <c r="AM226" s="538">
        <f t="shared" si="11"/>
        <v>11853903.215133682</v>
      </c>
      <c r="AN226" s="538">
        <f t="shared" si="12"/>
        <v>36663.005366569625</v>
      </c>
      <c r="AO226" s="539">
        <f t="shared" si="13"/>
        <v>30139.282433906887</v>
      </c>
      <c r="AP226" s="538">
        <f t="shared" si="14"/>
        <v>66802.287800476508</v>
      </c>
      <c r="AQ226" s="540">
        <f t="shared" si="24"/>
        <v>0</v>
      </c>
      <c r="AR226" s="541">
        <f t="shared" si="15"/>
        <v>66802.287800476508</v>
      </c>
      <c r="AS226" s="541">
        <f t="shared" si="16"/>
        <v>66802.287800476508</v>
      </c>
      <c r="AT226" s="542">
        <f t="shared" si="17"/>
        <v>66802.287800476508</v>
      </c>
      <c r="AV226" s="14">
        <v>4</v>
      </c>
      <c r="AW226" s="538">
        <f t="shared" si="18"/>
        <v>12000000</v>
      </c>
      <c r="AX226" s="606">
        <f t="shared" si="19"/>
        <v>0</v>
      </c>
      <c r="AY226" s="299">
        <f t="shared" si="20"/>
        <v>30416.666666666668</v>
      </c>
      <c r="AZ226" s="538">
        <f t="shared" si="21"/>
        <v>30416.666666666668</v>
      </c>
      <c r="BA226" s="540">
        <f t="shared" si="22"/>
        <v>0</v>
      </c>
      <c r="BB226" s="541">
        <f t="shared" si="23"/>
        <v>30416.666666666668</v>
      </c>
    </row>
    <row r="227" spans="38:54" ht="15" hidden="1" x14ac:dyDescent="0.35">
      <c r="AL227" s="14">
        <v>5</v>
      </c>
      <c r="AM227" s="538">
        <f t="shared" si="11"/>
        <v>11817147.279232677</v>
      </c>
      <c r="AN227" s="538">
        <f t="shared" si="12"/>
        <v>36755.935901005723</v>
      </c>
      <c r="AO227" s="539">
        <f t="shared" si="13"/>
        <v>30046.351899470792</v>
      </c>
      <c r="AP227" s="538">
        <f t="shared" si="14"/>
        <v>66802.287800476508</v>
      </c>
      <c r="AQ227" s="540">
        <f t="shared" si="24"/>
        <v>0</v>
      </c>
      <c r="AR227" s="541">
        <f t="shared" si="15"/>
        <v>66802.287800476508</v>
      </c>
      <c r="AS227" s="541">
        <f>IF(AP227&lt;1,0,(AP227+AQ227))</f>
        <v>66802.287800476508</v>
      </c>
      <c r="AT227" s="542">
        <f t="shared" si="17"/>
        <v>66802.287800476508</v>
      </c>
      <c r="AV227" s="14">
        <v>5</v>
      </c>
      <c r="AW227" s="538">
        <f t="shared" si="18"/>
        <v>12000000</v>
      </c>
      <c r="AX227" s="606">
        <f t="shared" si="19"/>
        <v>0</v>
      </c>
      <c r="AY227" s="299">
        <f t="shared" si="20"/>
        <v>30416.666666666668</v>
      </c>
      <c r="AZ227" s="538">
        <f t="shared" si="21"/>
        <v>30416.666666666668</v>
      </c>
      <c r="BA227" s="540">
        <f t="shared" si="22"/>
        <v>0</v>
      </c>
      <c r="BB227" s="541">
        <f t="shared" si="23"/>
        <v>30416.666666666668</v>
      </c>
    </row>
    <row r="228" spans="38:54" ht="15" hidden="1" x14ac:dyDescent="0.35">
      <c r="AL228" s="14">
        <v>6</v>
      </c>
      <c r="AM228" s="538">
        <f t="shared" si="11"/>
        <v>11780298.177244145</v>
      </c>
      <c r="AN228" s="538">
        <f t="shared" si="12"/>
        <v>36849.10198853258</v>
      </c>
      <c r="AO228" s="539">
        <f t="shared" si="13"/>
        <v>29953.185811943935</v>
      </c>
      <c r="AP228" s="538">
        <f t="shared" si="14"/>
        <v>66802.287800476508</v>
      </c>
      <c r="AQ228" s="540">
        <f t="shared" si="24"/>
        <v>0</v>
      </c>
      <c r="AR228" s="541">
        <f t="shared" si="15"/>
        <v>66802.287800476508</v>
      </c>
      <c r="AS228" s="541">
        <f>IF(AP228&lt;1,0,(AP228+AQ228))</f>
        <v>66802.287800476508</v>
      </c>
      <c r="AT228" s="542">
        <f t="shared" si="17"/>
        <v>66802.287800476508</v>
      </c>
      <c r="AV228" s="14">
        <v>6</v>
      </c>
      <c r="AW228" s="538">
        <f t="shared" si="18"/>
        <v>12000000</v>
      </c>
      <c r="AX228" s="606">
        <f t="shared" si="19"/>
        <v>0</v>
      </c>
      <c r="AY228" s="299">
        <f t="shared" si="20"/>
        <v>30416.666666666668</v>
      </c>
      <c r="AZ228" s="538">
        <f t="shared" si="21"/>
        <v>30416.666666666668</v>
      </c>
      <c r="BA228" s="540">
        <f t="shared" si="22"/>
        <v>0</v>
      </c>
      <c r="BB228" s="541">
        <f t="shared" si="23"/>
        <v>30416.666666666668</v>
      </c>
    </row>
    <row r="229" spans="38:54" ht="15" hidden="1" x14ac:dyDescent="0.35">
      <c r="AL229" s="14">
        <v>7</v>
      </c>
      <c r="AM229" s="538">
        <f t="shared" si="11"/>
        <v>11743355.673017934</v>
      </c>
      <c r="AN229" s="538">
        <f t="shared" si="12"/>
        <v>36942.504226211844</v>
      </c>
      <c r="AO229" s="539">
        <f t="shared" si="13"/>
        <v>29859.783574264678</v>
      </c>
      <c r="AP229" s="538">
        <f t="shared" si="14"/>
        <v>66802.287800476523</v>
      </c>
      <c r="AQ229" s="540">
        <f t="shared" si="24"/>
        <v>0</v>
      </c>
      <c r="AR229" s="541">
        <f t="shared" si="15"/>
        <v>66802.287800476523</v>
      </c>
      <c r="AS229" s="541">
        <f>IF(AP229&lt;1,0,(AP229+AQ229))</f>
        <v>66802.287800476523</v>
      </c>
      <c r="AT229" s="542">
        <f t="shared" si="17"/>
        <v>66802.287800476523</v>
      </c>
      <c r="AV229" s="14">
        <v>7</v>
      </c>
      <c r="AW229" s="538">
        <f t="shared" si="18"/>
        <v>12000000</v>
      </c>
      <c r="AX229" s="606">
        <f t="shared" si="19"/>
        <v>0</v>
      </c>
      <c r="AY229" s="299">
        <f t="shared" si="20"/>
        <v>30416.666666666668</v>
      </c>
      <c r="AZ229" s="538">
        <f t="shared" si="21"/>
        <v>30416.666666666668</v>
      </c>
      <c r="BA229" s="540">
        <f t="shared" si="22"/>
        <v>0</v>
      </c>
      <c r="BB229" s="541">
        <f t="shared" si="23"/>
        <v>30416.666666666668</v>
      </c>
    </row>
    <row r="230" spans="38:54" ht="15" hidden="1" x14ac:dyDescent="0.35">
      <c r="AL230" s="14">
        <v>8</v>
      </c>
      <c r="AM230" s="538">
        <f t="shared" si="11"/>
        <v>11706319.529805316</v>
      </c>
      <c r="AN230" s="538">
        <f t="shared" si="12"/>
        <v>37036.143212618561</v>
      </c>
      <c r="AO230" s="539">
        <f t="shared" si="13"/>
        <v>29766.144587857958</v>
      </c>
      <c r="AP230" s="538">
        <f t="shared" si="14"/>
        <v>66802.287800476523</v>
      </c>
      <c r="AQ230" s="540">
        <f t="shared" si="24"/>
        <v>0</v>
      </c>
      <c r="AR230" s="541">
        <f t="shared" si="15"/>
        <v>66802.287800476523</v>
      </c>
      <c r="AS230" s="541">
        <f t="shared" si="16"/>
        <v>66802.287800476523</v>
      </c>
      <c r="AT230" s="542">
        <f t="shared" si="17"/>
        <v>66802.287800476523</v>
      </c>
      <c r="AV230" s="14">
        <v>8</v>
      </c>
      <c r="AW230" s="538">
        <f t="shared" si="18"/>
        <v>12000000</v>
      </c>
      <c r="AX230" s="606">
        <f t="shared" si="19"/>
        <v>0</v>
      </c>
      <c r="AY230" s="299">
        <f t="shared" si="20"/>
        <v>30416.666666666668</v>
      </c>
      <c r="AZ230" s="538">
        <f t="shared" si="21"/>
        <v>30416.666666666668</v>
      </c>
      <c r="BA230" s="540">
        <f t="shared" si="22"/>
        <v>0</v>
      </c>
      <c r="BB230" s="541">
        <f t="shared" si="23"/>
        <v>30416.666666666668</v>
      </c>
    </row>
    <row r="231" spans="38:54" ht="15" hidden="1" x14ac:dyDescent="0.35">
      <c r="AL231" s="14">
        <v>9</v>
      </c>
      <c r="AM231" s="538">
        <f t="shared" si="11"/>
        <v>11669189.510257471</v>
      </c>
      <c r="AN231" s="538">
        <f t="shared" si="12"/>
        <v>37130.01954784499</v>
      </c>
      <c r="AO231" s="539">
        <f t="shared" si="13"/>
        <v>29672.268252631529</v>
      </c>
      <c r="AP231" s="538">
        <f t="shared" si="14"/>
        <v>66802.287800476523</v>
      </c>
      <c r="AQ231" s="540">
        <f t="shared" si="24"/>
        <v>0</v>
      </c>
      <c r="AR231" s="541">
        <f t="shared" si="15"/>
        <v>66802.287800476523</v>
      </c>
      <c r="AS231" s="541">
        <f t="shared" si="16"/>
        <v>66802.287800476523</v>
      </c>
      <c r="AT231" s="542">
        <f t="shared" si="17"/>
        <v>66802.287800476523</v>
      </c>
      <c r="AV231" s="14">
        <v>9</v>
      </c>
      <c r="AW231" s="538">
        <f t="shared" si="18"/>
        <v>12000000</v>
      </c>
      <c r="AX231" s="606">
        <f t="shared" si="19"/>
        <v>0</v>
      </c>
      <c r="AY231" s="299">
        <f t="shared" si="20"/>
        <v>30416.666666666668</v>
      </c>
      <c r="AZ231" s="538">
        <f t="shared" si="21"/>
        <v>30416.666666666668</v>
      </c>
      <c r="BA231" s="540">
        <f t="shared" si="22"/>
        <v>0</v>
      </c>
      <c r="BB231" s="541">
        <f t="shared" si="23"/>
        <v>30416.666666666668</v>
      </c>
    </row>
    <row r="232" spans="38:54" ht="15" hidden="1" x14ac:dyDescent="0.35">
      <c r="AL232" s="14">
        <v>10</v>
      </c>
      <c r="AM232" s="538">
        <f t="shared" si="11"/>
        <v>11631965.376423966</v>
      </c>
      <c r="AN232" s="538">
        <f t="shared" si="12"/>
        <v>37224.133833504464</v>
      </c>
      <c r="AO232" s="539">
        <f t="shared" si="13"/>
        <v>29578.153966972059</v>
      </c>
      <c r="AP232" s="538">
        <f t="shared" si="14"/>
        <v>66802.287800476523</v>
      </c>
      <c r="AQ232" s="540">
        <f t="shared" si="24"/>
        <v>0</v>
      </c>
      <c r="AR232" s="541">
        <f t="shared" si="15"/>
        <v>66802.287800476523</v>
      </c>
      <c r="AS232" s="541">
        <f t="shared" si="16"/>
        <v>66802.287800476523</v>
      </c>
      <c r="AT232" s="542">
        <f t="shared" si="17"/>
        <v>66802.287800476523</v>
      </c>
      <c r="AV232" s="14">
        <v>10</v>
      </c>
      <c r="AW232" s="538">
        <f t="shared" si="18"/>
        <v>12000000</v>
      </c>
      <c r="AX232" s="606">
        <f t="shared" si="19"/>
        <v>0</v>
      </c>
      <c r="AY232" s="299">
        <f t="shared" si="20"/>
        <v>30416.666666666668</v>
      </c>
      <c r="AZ232" s="538">
        <f t="shared" si="21"/>
        <v>30416.666666666668</v>
      </c>
      <c r="BA232" s="540">
        <f t="shared" si="22"/>
        <v>0</v>
      </c>
      <c r="BB232" s="541">
        <f t="shared" si="23"/>
        <v>30416.666666666668</v>
      </c>
    </row>
    <row r="233" spans="38:54" ht="15" hidden="1" x14ac:dyDescent="0.35">
      <c r="AL233" s="14">
        <v>11</v>
      </c>
      <c r="AM233" s="538">
        <f t="shared" si="11"/>
        <v>11594646.889751231</v>
      </c>
      <c r="AN233" s="538">
        <f t="shared" si="12"/>
        <v>37318.48667273522</v>
      </c>
      <c r="AO233" s="539">
        <f t="shared" si="13"/>
        <v>29483.801127741299</v>
      </c>
      <c r="AP233" s="538">
        <f t="shared" si="14"/>
        <v>66802.287800476523</v>
      </c>
      <c r="AQ233" s="540">
        <f>+AQ232</f>
        <v>0</v>
      </c>
      <c r="AR233" s="541">
        <f t="shared" si="15"/>
        <v>66802.287800476523</v>
      </c>
      <c r="AS233" s="541">
        <f t="shared" si="16"/>
        <v>66802.287800476523</v>
      </c>
      <c r="AT233" s="542">
        <f t="shared" si="17"/>
        <v>66802.287800476523</v>
      </c>
      <c r="AV233" s="14">
        <v>11</v>
      </c>
      <c r="AW233" s="538">
        <f t="shared" si="18"/>
        <v>12000000</v>
      </c>
      <c r="AX233" s="606">
        <f t="shared" si="19"/>
        <v>0</v>
      </c>
      <c r="AY233" s="299">
        <f t="shared" si="20"/>
        <v>30416.666666666668</v>
      </c>
      <c r="AZ233" s="538">
        <f t="shared" si="21"/>
        <v>30416.666666666668</v>
      </c>
      <c r="BA233" s="540">
        <f t="shared" si="22"/>
        <v>0</v>
      </c>
      <c r="BB233" s="541">
        <f t="shared" si="23"/>
        <v>30416.666666666668</v>
      </c>
    </row>
    <row r="234" spans="38:54" ht="15" hidden="1" x14ac:dyDescent="0.35">
      <c r="AL234" s="14">
        <v>12</v>
      </c>
      <c r="AM234" s="538">
        <f t="shared" si="11"/>
        <v>11557233.811081028</v>
      </c>
      <c r="AN234" s="538">
        <f t="shared" si="12"/>
        <v>37413.078670204304</v>
      </c>
      <c r="AO234" s="539">
        <f t="shared" si="13"/>
        <v>29389.209130272218</v>
      </c>
      <c r="AP234" s="538">
        <f t="shared" si="14"/>
        <v>66802.287800476523</v>
      </c>
      <c r="AQ234" s="540">
        <f t="shared" si="24"/>
        <v>0</v>
      </c>
      <c r="AR234" s="541">
        <f t="shared" si="15"/>
        <v>66802.287800476523</v>
      </c>
      <c r="AS234" s="541">
        <f t="shared" si="16"/>
        <v>66802.287800476523</v>
      </c>
      <c r="AT234" s="542">
        <f t="shared" si="17"/>
        <v>66802.287800476523</v>
      </c>
      <c r="AV234" s="14">
        <v>12</v>
      </c>
      <c r="AW234" s="538">
        <f t="shared" si="18"/>
        <v>12000000</v>
      </c>
      <c r="AX234" s="606">
        <f t="shared" si="19"/>
        <v>0</v>
      </c>
      <c r="AY234" s="299">
        <f t="shared" si="20"/>
        <v>30416.666666666668</v>
      </c>
      <c r="AZ234" s="538">
        <f t="shared" si="21"/>
        <v>30416.666666666668</v>
      </c>
      <c r="BA234" s="540">
        <f t="shared" si="22"/>
        <v>0</v>
      </c>
      <c r="BB234" s="541">
        <f t="shared" si="23"/>
        <v>30416.666666666668</v>
      </c>
    </row>
    <row r="235" spans="38:54" ht="15" hidden="1" x14ac:dyDescent="0.35">
      <c r="AL235" s="14">
        <v>13</v>
      </c>
      <c r="AM235" s="538">
        <f t="shared" si="11"/>
        <v>11519725.900648916</v>
      </c>
      <c r="AN235" s="538">
        <f t="shared" si="12"/>
        <v>37507.910432111421</v>
      </c>
      <c r="AO235" s="539">
        <f t="shared" si="13"/>
        <v>29294.377368365102</v>
      </c>
      <c r="AP235" s="538">
        <f t="shared" si="14"/>
        <v>66802.287800476523</v>
      </c>
      <c r="AQ235" s="540">
        <f t="shared" si="24"/>
        <v>0</v>
      </c>
      <c r="AR235" s="541">
        <f t="shared" si="15"/>
        <v>66802.287800476523</v>
      </c>
      <c r="AS235" s="541">
        <f t="shared" si="16"/>
        <v>66802.287800476523</v>
      </c>
      <c r="AT235" s="542">
        <f t="shared" si="17"/>
        <v>66802.287800476523</v>
      </c>
      <c r="AV235" s="14">
        <v>13</v>
      </c>
      <c r="AW235" s="538">
        <f t="shared" si="18"/>
        <v>12000000</v>
      </c>
      <c r="AX235" s="606">
        <f t="shared" si="19"/>
        <v>0</v>
      </c>
      <c r="AY235" s="299">
        <f t="shared" si="20"/>
        <v>30416.666666666668</v>
      </c>
      <c r="AZ235" s="538">
        <f t="shared" si="21"/>
        <v>30416.666666666668</v>
      </c>
      <c r="BA235" s="540">
        <f t="shared" si="22"/>
        <v>0</v>
      </c>
      <c r="BB235" s="541">
        <f t="shared" si="23"/>
        <v>30416.666666666668</v>
      </c>
    </row>
    <row r="236" spans="38:54" ht="15" hidden="1" x14ac:dyDescent="0.35">
      <c r="AL236" s="14">
        <v>14</v>
      </c>
      <c r="AM236" s="538">
        <f t="shared" si="11"/>
        <v>11482122.918082723</v>
      </c>
      <c r="AN236" s="538">
        <f t="shared" si="12"/>
        <v>37602.982566192812</v>
      </c>
      <c r="AO236" s="539">
        <f t="shared" si="13"/>
        <v>29199.305234283715</v>
      </c>
      <c r="AP236" s="538">
        <f t="shared" si="14"/>
        <v>66802.287800476523</v>
      </c>
      <c r="AQ236" s="540">
        <f t="shared" si="24"/>
        <v>0</v>
      </c>
      <c r="AR236" s="541">
        <f t="shared" si="15"/>
        <v>66802.287800476523</v>
      </c>
      <c r="AS236" s="541">
        <f t="shared" si="16"/>
        <v>66802.287800476523</v>
      </c>
      <c r="AT236" s="542">
        <f t="shared" si="17"/>
        <v>66802.287800476523</v>
      </c>
      <c r="AV236" s="14">
        <v>14</v>
      </c>
      <c r="AW236" s="538">
        <f t="shared" si="18"/>
        <v>12000000</v>
      </c>
      <c r="AX236" s="606">
        <f t="shared" si="19"/>
        <v>0</v>
      </c>
      <c r="AY236" s="299">
        <f t="shared" si="20"/>
        <v>30416.666666666668</v>
      </c>
      <c r="AZ236" s="538">
        <f t="shared" si="21"/>
        <v>30416.666666666668</v>
      </c>
      <c r="BA236" s="540">
        <f t="shared" si="22"/>
        <v>0</v>
      </c>
      <c r="BB236" s="541">
        <f t="shared" si="23"/>
        <v>30416.666666666668</v>
      </c>
    </row>
    <row r="237" spans="38:54" ht="15" hidden="1" x14ac:dyDescent="0.35">
      <c r="AL237" s="14">
        <v>15</v>
      </c>
      <c r="AM237" s="538">
        <f t="shared" si="11"/>
        <v>11444424.622400999</v>
      </c>
      <c r="AN237" s="538">
        <f t="shared" si="12"/>
        <v>37698.295681725176</v>
      </c>
      <c r="AO237" s="539">
        <f t="shared" si="13"/>
        <v>29103.992118751346</v>
      </c>
      <c r="AP237" s="538">
        <f t="shared" si="14"/>
        <v>66802.287800476523</v>
      </c>
      <c r="AQ237" s="540">
        <f t="shared" si="24"/>
        <v>0</v>
      </c>
      <c r="AR237" s="541">
        <f t="shared" si="15"/>
        <v>66802.287800476523</v>
      </c>
      <c r="AS237" s="541">
        <f t="shared" si="16"/>
        <v>66802.287800476523</v>
      </c>
      <c r="AT237" s="542">
        <f t="shared" si="17"/>
        <v>66802.287800476523</v>
      </c>
      <c r="AV237" s="14">
        <v>15</v>
      </c>
      <c r="AW237" s="538">
        <f t="shared" si="18"/>
        <v>12000000</v>
      </c>
      <c r="AX237" s="606">
        <f t="shared" si="19"/>
        <v>0</v>
      </c>
      <c r="AY237" s="299">
        <f t="shared" si="20"/>
        <v>30416.666666666668</v>
      </c>
      <c r="AZ237" s="538">
        <f t="shared" si="21"/>
        <v>30416.666666666668</v>
      </c>
      <c r="BA237" s="540">
        <f t="shared" si="22"/>
        <v>0</v>
      </c>
      <c r="BB237" s="541">
        <f t="shared" si="23"/>
        <v>30416.666666666668</v>
      </c>
    </row>
    <row r="238" spans="38:54" ht="15" hidden="1" x14ac:dyDescent="0.35">
      <c r="AL238" s="14">
        <v>16</v>
      </c>
      <c r="AM238" s="538">
        <f t="shared" si="11"/>
        <v>11406630.77201147</v>
      </c>
      <c r="AN238" s="538">
        <f t="shared" si="12"/>
        <v>37793.850389529536</v>
      </c>
      <c r="AO238" s="539">
        <f t="shared" si="13"/>
        <v>29008.437410946979</v>
      </c>
      <c r="AP238" s="538">
        <f t="shared" si="14"/>
        <v>66802.287800476508</v>
      </c>
      <c r="AQ238" s="540">
        <f t="shared" si="24"/>
        <v>0</v>
      </c>
      <c r="AR238" s="541">
        <f t="shared" si="15"/>
        <v>66802.287800476508</v>
      </c>
      <c r="AS238" s="541">
        <f t="shared" si="16"/>
        <v>66802.287800476508</v>
      </c>
      <c r="AT238" s="542">
        <f t="shared" si="17"/>
        <v>66802.287800476508</v>
      </c>
      <c r="AV238" s="14">
        <v>16</v>
      </c>
      <c r="AW238" s="538">
        <f t="shared" si="18"/>
        <v>12000000</v>
      </c>
      <c r="AX238" s="606">
        <f t="shared" si="19"/>
        <v>0</v>
      </c>
      <c r="AY238" s="299">
        <f t="shared" si="20"/>
        <v>30416.666666666668</v>
      </c>
      <c r="AZ238" s="538">
        <f t="shared" si="21"/>
        <v>30416.666666666668</v>
      </c>
      <c r="BA238" s="540">
        <f t="shared" si="22"/>
        <v>0</v>
      </c>
      <c r="BB238" s="541">
        <f t="shared" si="23"/>
        <v>30416.666666666668</v>
      </c>
    </row>
    <row r="239" spans="38:54" ht="15" hidden="1" x14ac:dyDescent="0.35">
      <c r="AL239" s="14">
        <v>17</v>
      </c>
      <c r="AM239" s="538">
        <f t="shared" si="11"/>
        <v>11368741.124709494</v>
      </c>
      <c r="AN239" s="538">
        <f t="shared" si="12"/>
        <v>37889.64730197523</v>
      </c>
      <c r="AO239" s="539">
        <f t="shared" si="13"/>
        <v>28912.640498501292</v>
      </c>
      <c r="AP239" s="538">
        <f t="shared" si="14"/>
        <v>66802.287800476523</v>
      </c>
      <c r="AQ239" s="540">
        <f t="shared" si="24"/>
        <v>0</v>
      </c>
      <c r="AR239" s="541">
        <f t="shared" si="15"/>
        <v>66802.287800476523</v>
      </c>
      <c r="AS239" s="541">
        <f t="shared" si="16"/>
        <v>66802.287800476523</v>
      </c>
      <c r="AT239" s="542">
        <f t="shared" si="17"/>
        <v>66802.287800476523</v>
      </c>
      <c r="AV239" s="14">
        <v>17</v>
      </c>
      <c r="AW239" s="538">
        <f t="shared" si="18"/>
        <v>12000000</v>
      </c>
      <c r="AX239" s="606">
        <f t="shared" si="19"/>
        <v>0</v>
      </c>
      <c r="AY239" s="299">
        <f t="shared" si="20"/>
        <v>30416.666666666668</v>
      </c>
      <c r="AZ239" s="538">
        <f t="shared" si="21"/>
        <v>30416.666666666668</v>
      </c>
      <c r="BA239" s="540">
        <f t="shared" si="22"/>
        <v>0</v>
      </c>
      <c r="BB239" s="541">
        <f t="shared" si="23"/>
        <v>30416.666666666668</v>
      </c>
    </row>
    <row r="240" spans="38:54" ht="15" hidden="1" x14ac:dyDescent="0.35">
      <c r="AL240" s="14">
        <v>18</v>
      </c>
      <c r="AM240" s="538">
        <f t="shared" si="11"/>
        <v>11330755.43767651</v>
      </c>
      <c r="AN240" s="538">
        <f t="shared" si="12"/>
        <v>37985.687032983711</v>
      </c>
      <c r="AO240" s="539">
        <f t="shared" si="13"/>
        <v>28816.600767492815</v>
      </c>
      <c r="AP240" s="538">
        <f t="shared" si="14"/>
        <v>66802.287800476523</v>
      </c>
      <c r="AQ240" s="540">
        <f t="shared" si="24"/>
        <v>0</v>
      </c>
      <c r="AR240" s="541">
        <f t="shared" si="15"/>
        <v>66802.287800476523</v>
      </c>
      <c r="AS240" s="541">
        <f t="shared" si="16"/>
        <v>66802.287800476523</v>
      </c>
      <c r="AT240" s="542">
        <f t="shared" si="17"/>
        <v>66802.287800476523</v>
      </c>
      <c r="AV240" s="14">
        <v>18</v>
      </c>
      <c r="AW240" s="538">
        <f t="shared" si="18"/>
        <v>12000000</v>
      </c>
      <c r="AX240" s="606">
        <f t="shared" si="19"/>
        <v>0</v>
      </c>
      <c r="AY240" s="299">
        <f t="shared" si="20"/>
        <v>30416.666666666668</v>
      </c>
      <c r="AZ240" s="538">
        <f t="shared" si="21"/>
        <v>30416.666666666668</v>
      </c>
      <c r="BA240" s="540">
        <f t="shared" si="22"/>
        <v>0</v>
      </c>
      <c r="BB240" s="541">
        <f t="shared" si="23"/>
        <v>30416.666666666668</v>
      </c>
    </row>
    <row r="241" spans="38:54" ht="15" hidden="1" x14ac:dyDescent="0.35">
      <c r="AL241" s="14">
        <v>19</v>
      </c>
      <c r="AM241" s="538">
        <f t="shared" si="11"/>
        <v>11292673.467478476</v>
      </c>
      <c r="AN241" s="538">
        <f t="shared" si="12"/>
        <v>38081.970198032584</v>
      </c>
      <c r="AO241" s="539">
        <f t="shared" si="13"/>
        <v>28720.317602443931</v>
      </c>
      <c r="AP241" s="538">
        <f t="shared" si="14"/>
        <v>66802.287800476508</v>
      </c>
      <c r="AQ241" s="540">
        <f t="shared" si="24"/>
        <v>0</v>
      </c>
      <c r="AR241" s="541">
        <f t="shared" si="15"/>
        <v>66802.287800476508</v>
      </c>
      <c r="AS241" s="541">
        <f t="shared" si="16"/>
        <v>66802.287800476508</v>
      </c>
      <c r="AT241" s="542">
        <f t="shared" si="17"/>
        <v>66802.287800476508</v>
      </c>
      <c r="AV241" s="14">
        <v>19</v>
      </c>
      <c r="AW241" s="538">
        <f t="shared" si="18"/>
        <v>12000000</v>
      </c>
      <c r="AX241" s="606">
        <f t="shared" si="19"/>
        <v>0</v>
      </c>
      <c r="AY241" s="299">
        <f t="shared" si="20"/>
        <v>30416.666666666668</v>
      </c>
      <c r="AZ241" s="538">
        <f t="shared" si="21"/>
        <v>30416.666666666668</v>
      </c>
      <c r="BA241" s="540">
        <f t="shared" si="22"/>
        <v>0</v>
      </c>
      <c r="BB241" s="541">
        <f t="shared" si="23"/>
        <v>30416.666666666668</v>
      </c>
    </row>
    <row r="242" spans="38:54" ht="15" hidden="1" x14ac:dyDescent="0.35">
      <c r="AL242" s="14">
        <v>20</v>
      </c>
      <c r="AM242" s="538">
        <f t="shared" si="11"/>
        <v>11254494.970064318</v>
      </c>
      <c r="AN242" s="538">
        <f t="shared" si="12"/>
        <v>38178.497414159552</v>
      </c>
      <c r="AO242" s="539">
        <f t="shared" si="13"/>
        <v>28623.79038631697</v>
      </c>
      <c r="AP242" s="538">
        <f t="shared" si="14"/>
        <v>66802.287800476523</v>
      </c>
      <c r="AQ242" s="540">
        <f t="shared" si="24"/>
        <v>0</v>
      </c>
      <c r="AR242" s="541">
        <f t="shared" si="15"/>
        <v>66802.287800476523</v>
      </c>
      <c r="AS242" s="541">
        <f t="shared" si="16"/>
        <v>66802.287800476523</v>
      </c>
      <c r="AT242" s="542">
        <f t="shared" si="17"/>
        <v>66802.287800476523</v>
      </c>
      <c r="AV242" s="14">
        <v>20</v>
      </c>
      <c r="AW242" s="538">
        <f t="shared" si="18"/>
        <v>12000000</v>
      </c>
      <c r="AX242" s="606">
        <f t="shared" si="19"/>
        <v>0</v>
      </c>
      <c r="AY242" s="299">
        <f t="shared" si="20"/>
        <v>30416.666666666668</v>
      </c>
      <c r="AZ242" s="538">
        <f t="shared" si="21"/>
        <v>30416.666666666668</v>
      </c>
      <c r="BA242" s="540">
        <f t="shared" si="22"/>
        <v>0</v>
      </c>
      <c r="BB242" s="541">
        <f t="shared" si="23"/>
        <v>30416.666666666668</v>
      </c>
    </row>
    <row r="243" spans="38:54" ht="15" hidden="1" x14ac:dyDescent="0.35">
      <c r="AL243" s="14">
        <v>21</v>
      </c>
      <c r="AM243" s="538">
        <f t="shared" si="11"/>
        <v>11216219.700764352</v>
      </c>
      <c r="AN243" s="538">
        <f t="shared" si="12"/>
        <v>38275.269299966269</v>
      </c>
      <c r="AO243" s="539">
        <f t="shared" si="13"/>
        <v>28527.01850051025</v>
      </c>
      <c r="AP243" s="538">
        <f t="shared" si="14"/>
        <v>66802.287800476523</v>
      </c>
      <c r="AQ243" s="540">
        <f t="shared" si="24"/>
        <v>0</v>
      </c>
      <c r="AR243" s="541">
        <f t="shared" si="15"/>
        <v>66802.287800476523</v>
      </c>
      <c r="AS243" s="541">
        <f t="shared" si="16"/>
        <v>66802.287800476523</v>
      </c>
      <c r="AT243" s="542">
        <f t="shared" si="17"/>
        <v>66802.287800476523</v>
      </c>
      <c r="AV243" s="14">
        <v>21</v>
      </c>
      <c r="AW243" s="538">
        <f t="shared" si="18"/>
        <v>12000000</v>
      </c>
      <c r="AX243" s="606">
        <f t="shared" si="19"/>
        <v>0</v>
      </c>
      <c r="AY243" s="299">
        <f t="shared" si="20"/>
        <v>30416.666666666668</v>
      </c>
      <c r="AZ243" s="538">
        <f t="shared" si="21"/>
        <v>30416.666666666668</v>
      </c>
      <c r="BA243" s="540">
        <f t="shared" si="22"/>
        <v>0</v>
      </c>
      <c r="BB243" s="541">
        <f t="shared" si="23"/>
        <v>30416.666666666668</v>
      </c>
    </row>
    <row r="244" spans="38:54" ht="15" hidden="1" x14ac:dyDescent="0.35">
      <c r="AL244" s="14">
        <v>22</v>
      </c>
      <c r="AM244" s="538">
        <f t="shared" si="11"/>
        <v>11177847.414288729</v>
      </c>
      <c r="AN244" s="538">
        <f t="shared" si="12"/>
        <v>38372.28647562243</v>
      </c>
      <c r="AO244" s="539">
        <f t="shared" si="13"/>
        <v>28430.001324854089</v>
      </c>
      <c r="AP244" s="538">
        <f t="shared" si="14"/>
        <v>66802.287800476523</v>
      </c>
      <c r="AQ244" s="540">
        <f t="shared" si="24"/>
        <v>0</v>
      </c>
      <c r="AR244" s="541">
        <f t="shared" si="15"/>
        <v>66802.287800476523</v>
      </c>
      <c r="AS244" s="541">
        <f t="shared" si="16"/>
        <v>66802.287800476523</v>
      </c>
      <c r="AT244" s="542">
        <f t="shared" si="17"/>
        <v>66802.287800476523</v>
      </c>
      <c r="AV244" s="14">
        <v>22</v>
      </c>
      <c r="AW244" s="538">
        <f t="shared" si="18"/>
        <v>12000000</v>
      </c>
      <c r="AX244" s="606">
        <f t="shared" si="19"/>
        <v>0</v>
      </c>
      <c r="AY244" s="299">
        <f t="shared" si="20"/>
        <v>30416.666666666668</v>
      </c>
      <c r="AZ244" s="538">
        <f t="shared" si="21"/>
        <v>30416.666666666668</v>
      </c>
      <c r="BA244" s="540">
        <f t="shared" si="22"/>
        <v>0</v>
      </c>
      <c r="BB244" s="541">
        <f t="shared" si="23"/>
        <v>30416.666666666668</v>
      </c>
    </row>
    <row r="245" spans="38:54" ht="15" hidden="1" x14ac:dyDescent="0.35">
      <c r="AL245" s="14">
        <v>23</v>
      </c>
      <c r="AM245" s="538">
        <f t="shared" si="11"/>
        <v>11139377.86472586</v>
      </c>
      <c r="AN245" s="538">
        <f t="shared" si="12"/>
        <v>38469.549562869674</v>
      </c>
      <c r="AO245" s="539">
        <f t="shared" si="13"/>
        <v>28332.738237606849</v>
      </c>
      <c r="AP245" s="538">
        <f t="shared" si="14"/>
        <v>66802.287800476523</v>
      </c>
      <c r="AQ245" s="540">
        <f t="shared" si="24"/>
        <v>0</v>
      </c>
      <c r="AR245" s="541">
        <f t="shared" si="15"/>
        <v>66802.287800476523</v>
      </c>
      <c r="AS245" s="541">
        <f t="shared" si="16"/>
        <v>66802.287800476523</v>
      </c>
      <c r="AT245" s="542">
        <f t="shared" si="17"/>
        <v>66802.287800476523</v>
      </c>
      <c r="AV245" s="14">
        <v>23</v>
      </c>
      <c r="AW245" s="538">
        <f t="shared" si="18"/>
        <v>12000000</v>
      </c>
      <c r="AX245" s="606">
        <f t="shared" si="19"/>
        <v>0</v>
      </c>
      <c r="AY245" s="299">
        <f t="shared" si="20"/>
        <v>30416.666666666668</v>
      </c>
      <c r="AZ245" s="538">
        <f t="shared" si="21"/>
        <v>30416.666666666668</v>
      </c>
      <c r="BA245" s="540">
        <f t="shared" si="22"/>
        <v>0</v>
      </c>
      <c r="BB245" s="541">
        <f t="shared" si="23"/>
        <v>30416.666666666668</v>
      </c>
    </row>
    <row r="246" spans="38:54" ht="15" hidden="1" x14ac:dyDescent="0.35">
      <c r="AL246" s="14">
        <v>24</v>
      </c>
      <c r="AM246" s="538">
        <f t="shared" si="11"/>
        <v>11100810.805540834</v>
      </c>
      <c r="AN246" s="538">
        <f t="shared" si="12"/>
        <v>38567.059185025559</v>
      </c>
      <c r="AO246" s="539">
        <f t="shared" si="13"/>
        <v>28235.22861545096</v>
      </c>
      <c r="AP246" s="538">
        <f t="shared" si="14"/>
        <v>66802.287800476523</v>
      </c>
      <c r="AQ246" s="540">
        <f t="shared" si="24"/>
        <v>0</v>
      </c>
      <c r="AR246" s="541">
        <f t="shared" si="15"/>
        <v>66802.287800476523</v>
      </c>
      <c r="AS246" s="541">
        <f t="shared" si="16"/>
        <v>66802.287800476523</v>
      </c>
      <c r="AT246" s="542">
        <f t="shared" si="17"/>
        <v>66802.287800476523</v>
      </c>
      <c r="AV246" s="14">
        <v>24</v>
      </c>
      <c r="AW246" s="538">
        <f t="shared" si="18"/>
        <v>12000000</v>
      </c>
      <c r="AX246" s="606">
        <f t="shared" si="19"/>
        <v>0</v>
      </c>
      <c r="AY246" s="299">
        <f t="shared" si="20"/>
        <v>30416.666666666668</v>
      </c>
      <c r="AZ246" s="538">
        <f t="shared" si="21"/>
        <v>30416.666666666668</v>
      </c>
      <c r="BA246" s="540">
        <f t="shared" si="22"/>
        <v>0</v>
      </c>
      <c r="BB246" s="541">
        <f t="shared" si="23"/>
        <v>30416.666666666668</v>
      </c>
    </row>
    <row r="247" spans="38:54" ht="15" hidden="1" x14ac:dyDescent="0.35">
      <c r="AL247" s="14">
        <v>25</v>
      </c>
      <c r="AM247" s="538">
        <f t="shared" si="11"/>
        <v>11062145.989573846</v>
      </c>
      <c r="AN247" s="538">
        <f t="shared" si="12"/>
        <v>38664.815966987604</v>
      </c>
      <c r="AO247" s="539">
        <f t="shared" si="13"/>
        <v>28137.471833488918</v>
      </c>
      <c r="AP247" s="538">
        <f t="shared" si="14"/>
        <v>66802.287800476523</v>
      </c>
      <c r="AQ247" s="540">
        <f t="shared" si="24"/>
        <v>0</v>
      </c>
      <c r="AR247" s="541">
        <f t="shared" si="15"/>
        <v>66802.287800476523</v>
      </c>
      <c r="AS247" s="541">
        <f t="shared" si="16"/>
        <v>66802.287800476523</v>
      </c>
      <c r="AT247" s="542">
        <f t="shared" si="17"/>
        <v>66802.287800476523</v>
      </c>
      <c r="AV247" s="14">
        <v>25</v>
      </c>
      <c r="AW247" s="538">
        <f t="shared" si="18"/>
        <v>11958203.25202081</v>
      </c>
      <c r="AX247" s="606">
        <f t="shared" si="19"/>
        <v>41796.747979189298</v>
      </c>
      <c r="AY247" s="299">
        <f t="shared" si="20"/>
        <v>30416.666666666668</v>
      </c>
      <c r="AZ247" s="538">
        <f t="shared" si="21"/>
        <v>72213.41464585597</v>
      </c>
      <c r="BA247" s="540">
        <f t="shared" si="22"/>
        <v>0</v>
      </c>
      <c r="BB247" s="541">
        <f t="shared" si="23"/>
        <v>72213.41464585597</v>
      </c>
    </row>
    <row r="248" spans="38:54" ht="15" hidden="1" x14ac:dyDescent="0.35">
      <c r="AL248" s="14">
        <v>26</v>
      </c>
      <c r="AM248" s="538">
        <f t="shared" si="11"/>
        <v>11023383.169038609</v>
      </c>
      <c r="AN248" s="538">
        <f t="shared" si="12"/>
        <v>38762.820535237261</v>
      </c>
      <c r="AO248" s="539">
        <f t="shared" si="13"/>
        <v>28039.467265239262</v>
      </c>
      <c r="AP248" s="538">
        <f t="shared" si="14"/>
        <v>66802.287800476523</v>
      </c>
      <c r="AQ248" s="540">
        <f t="shared" si="24"/>
        <v>0</v>
      </c>
      <c r="AR248" s="541">
        <f t="shared" si="15"/>
        <v>66802.287800476523</v>
      </c>
      <c r="AS248" s="541">
        <f t="shared" si="16"/>
        <v>66802.287800476523</v>
      </c>
      <c r="AT248" s="542">
        <f t="shared" si="17"/>
        <v>66802.287800476523</v>
      </c>
      <c r="AV248" s="14">
        <v>26</v>
      </c>
      <c r="AW248" s="538">
        <f t="shared" si="18"/>
        <v>11916300.560895702</v>
      </c>
      <c r="AX248" s="606">
        <f t="shared" si="19"/>
        <v>41902.691125108766</v>
      </c>
      <c r="AY248" s="299">
        <f t="shared" si="20"/>
        <v>30310.723520747193</v>
      </c>
      <c r="AZ248" s="538">
        <f t="shared" si="21"/>
        <v>72213.414645855955</v>
      </c>
      <c r="BA248" s="540">
        <f t="shared" si="22"/>
        <v>0</v>
      </c>
      <c r="BB248" s="541">
        <f t="shared" si="23"/>
        <v>72213.414645855955</v>
      </c>
    </row>
    <row r="249" spans="38:54" ht="15" hidden="1" x14ac:dyDescent="0.35">
      <c r="AL249" s="14">
        <v>27</v>
      </c>
      <c r="AM249" s="538">
        <f t="shared" si="11"/>
        <v>10984522.095520765</v>
      </c>
      <c r="AN249" s="538">
        <f t="shared" si="12"/>
        <v>38861.073517843935</v>
      </c>
      <c r="AO249" s="539">
        <f t="shared" si="13"/>
        <v>27941.214282632583</v>
      </c>
      <c r="AP249" s="538">
        <f t="shared" si="14"/>
        <v>66802.287800476523</v>
      </c>
      <c r="AQ249" s="540">
        <f t="shared" si="24"/>
        <v>0</v>
      </c>
      <c r="AR249" s="541">
        <f t="shared" si="15"/>
        <v>66802.287800476523</v>
      </c>
      <c r="AS249" s="541">
        <f t="shared" si="16"/>
        <v>66802.287800476523</v>
      </c>
      <c r="AT249" s="542">
        <f t="shared" si="17"/>
        <v>66802.287800476523</v>
      </c>
      <c r="AV249" s="14">
        <v>27</v>
      </c>
      <c r="AW249" s="538">
        <f t="shared" si="18"/>
        <v>11874291.658088228</v>
      </c>
      <c r="AX249" s="606">
        <f t="shared" si="19"/>
        <v>42008.902807474493</v>
      </c>
      <c r="AY249" s="299">
        <f t="shared" si="20"/>
        <v>30204.511838381466</v>
      </c>
      <c r="AZ249" s="538">
        <f t="shared" si="21"/>
        <v>72213.414645855955</v>
      </c>
      <c r="BA249" s="540">
        <f t="shared" si="22"/>
        <v>0</v>
      </c>
      <c r="BB249" s="541">
        <f t="shared" si="23"/>
        <v>72213.414645855955</v>
      </c>
    </row>
    <row r="250" spans="38:54" ht="15" hidden="1" x14ac:dyDescent="0.35">
      <c r="AL250" s="14">
        <v>28</v>
      </c>
      <c r="AM250" s="538">
        <f t="shared" si="11"/>
        <v>10945562.519976296</v>
      </c>
      <c r="AN250" s="538">
        <f t="shared" si="12"/>
        <v>38959.575544469029</v>
      </c>
      <c r="AO250" s="539">
        <f t="shared" si="13"/>
        <v>27842.712256007493</v>
      </c>
      <c r="AP250" s="538">
        <f t="shared" si="14"/>
        <v>66802.287800476523</v>
      </c>
      <c r="AQ250" s="540">
        <f t="shared" si="24"/>
        <v>0</v>
      </c>
      <c r="AR250" s="541">
        <f t="shared" si="15"/>
        <v>66802.287800476523</v>
      </c>
      <c r="AS250" s="541">
        <f t="shared" si="16"/>
        <v>66802.287800476523</v>
      </c>
      <c r="AT250" s="542">
        <f t="shared" si="17"/>
        <v>66802.287800476523</v>
      </c>
      <c r="AV250" s="14">
        <v>28</v>
      </c>
      <c r="AW250" s="538">
        <f t="shared" si="18"/>
        <v>11832176.274381276</v>
      </c>
      <c r="AX250" s="606">
        <f t="shared" si="19"/>
        <v>42115.383706951776</v>
      </c>
      <c r="AY250" s="299">
        <f t="shared" si="20"/>
        <v>30098.03093890419</v>
      </c>
      <c r="AZ250" s="538">
        <f t="shared" si="21"/>
        <v>72213.41464585597</v>
      </c>
      <c r="BA250" s="540">
        <f t="shared" si="22"/>
        <v>0</v>
      </c>
      <c r="BB250" s="541">
        <f t="shared" si="23"/>
        <v>72213.41464585597</v>
      </c>
    </row>
    <row r="251" spans="38:54" ht="15" hidden="1" x14ac:dyDescent="0.35">
      <c r="AL251" s="14">
        <v>29</v>
      </c>
      <c r="AM251" s="538">
        <f t="shared" si="11"/>
        <v>10906504.192729926</v>
      </c>
      <c r="AN251" s="538">
        <f t="shared" si="12"/>
        <v>39058.32724636994</v>
      </c>
      <c r="AO251" s="539">
        <f t="shared" si="13"/>
        <v>27743.960554106583</v>
      </c>
      <c r="AP251" s="538">
        <f t="shared" si="14"/>
        <v>66802.287800476523</v>
      </c>
      <c r="AQ251" s="540">
        <f t="shared" si="24"/>
        <v>0</v>
      </c>
      <c r="AR251" s="541">
        <f t="shared" si="15"/>
        <v>66802.287800476523</v>
      </c>
      <c r="AS251" s="541">
        <f t="shared" si="16"/>
        <v>66802.287800476523</v>
      </c>
      <c r="AT251" s="542">
        <f t="shared" si="17"/>
        <v>66802.287800476523</v>
      </c>
      <c r="AV251" s="14">
        <v>29</v>
      </c>
      <c r="AW251" s="538">
        <f t="shared" si="18"/>
        <v>11789954.139875345</v>
      </c>
      <c r="AX251" s="606">
        <f t="shared" si="19"/>
        <v>42222.134505931201</v>
      </c>
      <c r="AY251" s="299">
        <f t="shared" si="20"/>
        <v>29991.280139924758</v>
      </c>
      <c r="AZ251" s="538">
        <f t="shared" si="21"/>
        <v>72213.414645855955</v>
      </c>
      <c r="BA251" s="540">
        <f t="shared" si="22"/>
        <v>0</v>
      </c>
      <c r="BB251" s="541">
        <f t="shared" si="23"/>
        <v>72213.414645855955</v>
      </c>
    </row>
    <row r="252" spans="38:54" ht="15" hidden="1" x14ac:dyDescent="0.35">
      <c r="AL252" s="14">
        <v>30</v>
      </c>
      <c r="AM252" s="538">
        <f t="shared" si="11"/>
        <v>10867346.863473522</v>
      </c>
      <c r="AN252" s="538">
        <f t="shared" si="12"/>
        <v>39157.32925640414</v>
      </c>
      <c r="AO252" s="539">
        <f t="shared" si="13"/>
        <v>27644.958544072379</v>
      </c>
      <c r="AP252" s="538">
        <f t="shared" si="14"/>
        <v>66802.287800476523</v>
      </c>
      <c r="AQ252" s="540">
        <f t="shared" si="24"/>
        <v>0</v>
      </c>
      <c r="AR252" s="541">
        <f t="shared" si="15"/>
        <v>66802.287800476523</v>
      </c>
      <c r="AS252" s="541">
        <f t="shared" si="16"/>
        <v>66802.287800476523</v>
      </c>
      <c r="AT252" s="542">
        <f t="shared" si="17"/>
        <v>66802.287800476523</v>
      </c>
      <c r="AV252" s="14">
        <v>30</v>
      </c>
      <c r="AW252" s="538">
        <f t="shared" si="18"/>
        <v>11747624.983986812</v>
      </c>
      <c r="AX252" s="606">
        <f t="shared" si="19"/>
        <v>42329.155888533038</v>
      </c>
      <c r="AY252" s="299">
        <f t="shared" si="20"/>
        <v>29884.258757322925</v>
      </c>
      <c r="AZ252" s="538">
        <f t="shared" si="21"/>
        <v>72213.414645855955</v>
      </c>
      <c r="BA252" s="540">
        <f t="shared" si="22"/>
        <v>0</v>
      </c>
      <c r="BB252" s="541">
        <f t="shared" si="23"/>
        <v>72213.414645855955</v>
      </c>
    </row>
    <row r="253" spans="38:54" ht="15" hidden="1" x14ac:dyDescent="0.35">
      <c r="AL253" s="14">
        <v>31</v>
      </c>
      <c r="AM253" s="538">
        <f t="shared" si="11"/>
        <v>10828090.281264488</v>
      </c>
      <c r="AN253" s="538">
        <f t="shared" si="12"/>
        <v>39256.582209033215</v>
      </c>
      <c r="AO253" s="539">
        <f t="shared" si="13"/>
        <v>27545.7055914433</v>
      </c>
      <c r="AP253" s="538">
        <f t="shared" si="14"/>
        <v>66802.287800476508</v>
      </c>
      <c r="AQ253" s="540">
        <f t="shared" si="24"/>
        <v>0</v>
      </c>
      <c r="AR253" s="541">
        <f t="shared" si="15"/>
        <v>66802.287800476508</v>
      </c>
      <c r="AS253" s="541">
        <f t="shared" si="16"/>
        <v>66802.287800476508</v>
      </c>
      <c r="AT253" s="542">
        <f t="shared" si="17"/>
        <v>66802.287800476508</v>
      </c>
      <c r="AV253" s="14">
        <v>31</v>
      </c>
      <c r="AW253" s="538">
        <f t="shared" si="18"/>
        <v>11705188.535446201</v>
      </c>
      <c r="AX253" s="606">
        <f t="shared" si="19"/>
        <v>42436.448540611607</v>
      </c>
      <c r="AY253" s="299">
        <f t="shared" si="20"/>
        <v>29776.966105244348</v>
      </c>
      <c r="AZ253" s="538">
        <f t="shared" si="21"/>
        <v>72213.414645855955</v>
      </c>
      <c r="BA253" s="540">
        <f t="shared" si="22"/>
        <v>0</v>
      </c>
      <c r="BB253" s="541">
        <f t="shared" si="23"/>
        <v>72213.414645855955</v>
      </c>
    </row>
    <row r="254" spans="38:54" ht="15" hidden="1" x14ac:dyDescent="0.35">
      <c r="AL254" s="14">
        <v>32</v>
      </c>
      <c r="AM254" s="538">
        <f t="shared" si="11"/>
        <v>10788734.194524162</v>
      </c>
      <c r="AN254" s="538">
        <f t="shared" si="12"/>
        <v>39356.086740326951</v>
      </c>
      <c r="AO254" s="539">
        <f t="shared" si="13"/>
        <v>27446.201060149571</v>
      </c>
      <c r="AP254" s="538">
        <f t="shared" si="14"/>
        <v>66802.287800476523</v>
      </c>
      <c r="AQ254" s="540">
        <f t="shared" si="24"/>
        <v>0</v>
      </c>
      <c r="AR254" s="541">
        <f t="shared" si="15"/>
        <v>66802.287800476523</v>
      </c>
      <c r="AS254" s="541">
        <f t="shared" si="16"/>
        <v>66802.287800476523</v>
      </c>
      <c r="AT254" s="542">
        <f t="shared" si="17"/>
        <v>66802.287800476523</v>
      </c>
      <c r="AV254" s="14">
        <v>32</v>
      </c>
      <c r="AW254" s="538">
        <f t="shared" si="18"/>
        <v>11662644.522296442</v>
      </c>
      <c r="AX254" s="606">
        <f t="shared" si="19"/>
        <v>42544.013149759689</v>
      </c>
      <c r="AY254" s="299">
        <f t="shared" si="20"/>
        <v>29669.401496096274</v>
      </c>
      <c r="AZ254" s="538">
        <f t="shared" si="21"/>
        <v>72213.414645855955</v>
      </c>
      <c r="BA254" s="540">
        <f t="shared" si="22"/>
        <v>0</v>
      </c>
      <c r="BB254" s="541">
        <f t="shared" si="23"/>
        <v>72213.414645855955</v>
      </c>
    </row>
    <row r="255" spans="38:54" ht="15" hidden="1" x14ac:dyDescent="0.35">
      <c r="AL255" s="14">
        <v>33</v>
      </c>
      <c r="AM255" s="538">
        <f t="shared" si="11"/>
        <v>10749278.351036195</v>
      </c>
      <c r="AN255" s="538">
        <f t="shared" ref="AN255:AN286" si="25">PPMT($AN$32/360*(365/12),AL255,$AN$24,-$AN$23)</f>
        <v>39455.843487967366</v>
      </c>
      <c r="AO255" s="539">
        <f t="shared" si="13"/>
        <v>27346.44431250916</v>
      </c>
      <c r="AP255" s="538">
        <f t="shared" si="14"/>
        <v>66802.287800476523</v>
      </c>
      <c r="AQ255" s="540">
        <f t="shared" si="24"/>
        <v>0</v>
      </c>
      <c r="AR255" s="541">
        <f t="shared" si="15"/>
        <v>66802.287800476523</v>
      </c>
      <c r="AS255" s="541">
        <f t="shared" si="16"/>
        <v>66802.287800476523</v>
      </c>
      <c r="AT255" s="542">
        <f t="shared" si="17"/>
        <v>66802.287800476523</v>
      </c>
      <c r="AV255" s="14">
        <v>33</v>
      </c>
      <c r="AW255" s="538">
        <f t="shared" si="18"/>
        <v>11619992.671891129</v>
      </c>
      <c r="AX255" s="606">
        <f t="shared" si="19"/>
        <v>42651.8504053129</v>
      </c>
      <c r="AY255" s="299">
        <f t="shared" si="20"/>
        <v>29561.564240543066</v>
      </c>
      <c r="AZ255" s="538">
        <f t="shared" si="21"/>
        <v>72213.41464585597</v>
      </c>
      <c r="BA255" s="540">
        <f t="shared" si="22"/>
        <v>0</v>
      </c>
      <c r="BB255" s="541">
        <f t="shared" si="23"/>
        <v>72213.41464585597</v>
      </c>
    </row>
    <row r="256" spans="38:54" ht="15" hidden="1" x14ac:dyDescent="0.35">
      <c r="AL256" s="14">
        <v>34</v>
      </c>
      <c r="AM256" s="538">
        <f t="shared" si="11"/>
        <v>10709722.497944942</v>
      </c>
      <c r="AN256" s="538">
        <f t="shared" si="25"/>
        <v>39555.853091252829</v>
      </c>
      <c r="AO256" s="539">
        <f t="shared" si="13"/>
        <v>27246.434709223686</v>
      </c>
      <c r="AP256" s="538">
        <f t="shared" si="14"/>
        <v>66802.287800476508</v>
      </c>
      <c r="AQ256" s="540">
        <f t="shared" si="24"/>
        <v>0</v>
      </c>
      <c r="AR256" s="541">
        <f t="shared" si="15"/>
        <v>66802.287800476508</v>
      </c>
      <c r="AS256" s="541">
        <f t="shared" si="16"/>
        <v>66802.287800476508</v>
      </c>
      <c r="AT256" s="542">
        <f t="shared" si="17"/>
        <v>66802.287800476508</v>
      </c>
      <c r="AV256" s="14">
        <v>34</v>
      </c>
      <c r="AW256" s="538">
        <f t="shared" si="18"/>
        <v>11577232.710892774</v>
      </c>
      <c r="AX256" s="606">
        <f t="shared" si="19"/>
        <v>42759.960998354138</v>
      </c>
      <c r="AY256" s="299">
        <f t="shared" si="20"/>
        <v>29453.453647501818</v>
      </c>
      <c r="AZ256" s="538">
        <f t="shared" si="21"/>
        <v>72213.414645855955</v>
      </c>
      <c r="BA256" s="540">
        <f t="shared" si="22"/>
        <v>0</v>
      </c>
      <c r="BB256" s="541">
        <f t="shared" si="23"/>
        <v>72213.414645855955</v>
      </c>
    </row>
    <row r="257" spans="38:54" ht="15" hidden="1" x14ac:dyDescent="0.35">
      <c r="AL257" s="14">
        <v>35</v>
      </c>
      <c r="AM257" s="538">
        <f t="shared" si="11"/>
        <v>10670066.38175384</v>
      </c>
      <c r="AN257" s="538">
        <f t="shared" si="25"/>
        <v>39656.116191102185</v>
      </c>
      <c r="AO257" s="539">
        <f t="shared" si="13"/>
        <v>27146.171609374331</v>
      </c>
      <c r="AP257" s="538">
        <f t="shared" si="14"/>
        <v>66802.287800476508</v>
      </c>
      <c r="AQ257" s="540">
        <f t="shared" si="24"/>
        <v>0</v>
      </c>
      <c r="AR257" s="541">
        <f t="shared" si="15"/>
        <v>66802.287800476508</v>
      </c>
      <c r="AS257" s="541">
        <f t="shared" si="16"/>
        <v>66802.287800476508</v>
      </c>
      <c r="AT257" s="542">
        <f t="shared" si="17"/>
        <v>66802.287800476508</v>
      </c>
      <c r="AV257" s="14">
        <v>35</v>
      </c>
      <c r="AW257" s="538">
        <f t="shared" si="18"/>
        <v>11534364.365271056</v>
      </c>
      <c r="AX257" s="606">
        <f t="shared" si="19"/>
        <v>42868.345621718021</v>
      </c>
      <c r="AY257" s="299">
        <f t="shared" si="20"/>
        <v>29345.069024137934</v>
      </c>
      <c r="AZ257" s="538">
        <f t="shared" si="21"/>
        <v>72213.414645855955</v>
      </c>
      <c r="BA257" s="540">
        <f t="shared" si="22"/>
        <v>0</v>
      </c>
      <c r="BB257" s="541">
        <f t="shared" si="23"/>
        <v>72213.414645855955</v>
      </c>
    </row>
    <row r="258" spans="38:54" ht="15" hidden="1" x14ac:dyDescent="0.35">
      <c r="AL258" s="14">
        <v>36</v>
      </c>
      <c r="AM258" s="538">
        <f t="shared" si="11"/>
        <v>10630309.748323781</v>
      </c>
      <c r="AN258" s="538">
        <f t="shared" si="25"/>
        <v>39756.633430058806</v>
      </c>
      <c r="AO258" s="539">
        <f t="shared" si="13"/>
        <v>27045.65437041772</v>
      </c>
      <c r="AP258" s="538">
        <f t="shared" si="14"/>
        <v>66802.287800476523</v>
      </c>
      <c r="AQ258" s="540">
        <f t="shared" si="24"/>
        <v>0</v>
      </c>
      <c r="AR258" s="541">
        <f t="shared" si="15"/>
        <v>66802.287800476523</v>
      </c>
      <c r="AS258" s="541">
        <f t="shared" si="16"/>
        <v>66802.287800476523</v>
      </c>
      <c r="AT258" s="542">
        <f t="shared" si="17"/>
        <v>66802.287800476523</v>
      </c>
      <c r="AV258" s="14">
        <v>36</v>
      </c>
      <c r="AW258" s="538">
        <f t="shared" si="18"/>
        <v>11491387.360301061</v>
      </c>
      <c r="AX258" s="606">
        <f t="shared" si="19"/>
        <v>42977.004969995302</v>
      </c>
      <c r="AY258" s="299">
        <f t="shared" si="20"/>
        <v>29236.409675860661</v>
      </c>
      <c r="AZ258" s="538">
        <f t="shared" si="21"/>
        <v>72213.414645855955</v>
      </c>
      <c r="BA258" s="540">
        <f t="shared" si="22"/>
        <v>0</v>
      </c>
      <c r="BB258" s="541">
        <f t="shared" si="23"/>
        <v>72213.414645855955</v>
      </c>
    </row>
    <row r="259" spans="38:54" ht="15" hidden="1" x14ac:dyDescent="0.35">
      <c r="AL259" s="14">
        <v>37</v>
      </c>
      <c r="AM259" s="538">
        <f t="shared" si="11"/>
        <v>10590452.342871487</v>
      </c>
      <c r="AN259" s="538">
        <f t="shared" si="25"/>
        <v>39857.405452294719</v>
      </c>
      <c r="AO259" s="539">
        <f t="shared" si="13"/>
        <v>26944.882348181807</v>
      </c>
      <c r="AP259" s="538">
        <f t="shared" si="14"/>
        <v>66802.287800476523</v>
      </c>
      <c r="AQ259" s="540">
        <f t="shared" si="24"/>
        <v>0</v>
      </c>
      <c r="AR259" s="541">
        <f t="shared" si="15"/>
        <v>66802.287800476523</v>
      </c>
      <c r="AS259" s="541">
        <f t="shared" si="16"/>
        <v>66802.287800476523</v>
      </c>
      <c r="AT259" s="542">
        <f t="shared" si="17"/>
        <v>66802.287800476523</v>
      </c>
      <c r="AV259" s="14">
        <v>37</v>
      </c>
      <c r="AW259" s="538">
        <f t="shared" si="18"/>
        <v>11448301.420561524</v>
      </c>
      <c r="AX259" s="606">
        <f t="shared" si="19"/>
        <v>43085.939739537309</v>
      </c>
      <c r="AY259" s="299">
        <f t="shared" si="20"/>
        <v>29127.474906318661</v>
      </c>
      <c r="AZ259" s="538">
        <f t="shared" si="21"/>
        <v>72213.41464585597</v>
      </c>
      <c r="BA259" s="540">
        <f t="shared" si="22"/>
        <v>0</v>
      </c>
      <c r="BB259" s="541">
        <f t="shared" si="23"/>
        <v>72213.41464585597</v>
      </c>
    </row>
    <row r="260" spans="38:54" ht="15" hidden="1" x14ac:dyDescent="0.35">
      <c r="AL260" s="14">
        <v>38</v>
      </c>
      <c r="AM260" s="538">
        <f t="shared" si="11"/>
        <v>10550493.909967873</v>
      </c>
      <c r="AN260" s="538">
        <f t="shared" si="25"/>
        <v>39958.432903614768</v>
      </c>
      <c r="AO260" s="539">
        <f t="shared" si="13"/>
        <v>26843.854896861758</v>
      </c>
      <c r="AP260" s="538">
        <f t="shared" si="14"/>
        <v>66802.287800476523</v>
      </c>
      <c r="AQ260" s="540">
        <f t="shared" si="24"/>
        <v>0</v>
      </c>
      <c r="AR260" s="541">
        <f t="shared" si="15"/>
        <v>66802.287800476523</v>
      </c>
      <c r="AS260" s="541">
        <f t="shared" si="16"/>
        <v>66802.287800476523</v>
      </c>
      <c r="AT260" s="542">
        <f t="shared" si="17"/>
        <v>66802.287800476523</v>
      </c>
      <c r="AV260" s="14">
        <v>38</v>
      </c>
      <c r="AW260" s="538">
        <f t="shared" si="18"/>
        <v>11405106.269933064</v>
      </c>
      <c r="AX260" s="606">
        <f t="shared" si="19"/>
        <v>43195.15062846044</v>
      </c>
      <c r="AY260" s="299">
        <f t="shared" si="20"/>
        <v>29018.26401739553</v>
      </c>
      <c r="AZ260" s="538">
        <f t="shared" si="21"/>
        <v>72213.41464585597</v>
      </c>
      <c r="BA260" s="540">
        <f t="shared" si="22"/>
        <v>0</v>
      </c>
      <c r="BB260" s="541">
        <f t="shared" si="23"/>
        <v>72213.41464585597</v>
      </c>
    </row>
    <row r="261" spans="38:54" ht="15" hidden="1" x14ac:dyDescent="0.35">
      <c r="AL261" s="14">
        <v>39</v>
      </c>
      <c r="AM261" s="538">
        <f t="shared" si="11"/>
        <v>10510434.193536412</v>
      </c>
      <c r="AN261" s="538">
        <f t="shared" si="25"/>
        <v>40059.716431460743</v>
      </c>
      <c r="AO261" s="539">
        <f t="shared" si="13"/>
        <v>26742.57136901579</v>
      </c>
      <c r="AP261" s="538">
        <f t="shared" si="14"/>
        <v>66802.287800476537</v>
      </c>
      <c r="AQ261" s="540">
        <f t="shared" si="24"/>
        <v>0</v>
      </c>
      <c r="AR261" s="541">
        <f t="shared" si="15"/>
        <v>66802.287800476537</v>
      </c>
      <c r="AS261" s="541">
        <f t="shared" si="16"/>
        <v>66802.287800476537</v>
      </c>
      <c r="AT261" s="542">
        <f t="shared" si="17"/>
        <v>66802.287800476537</v>
      </c>
      <c r="AV261" s="14">
        <v>39</v>
      </c>
      <c r="AW261" s="538">
        <f t="shared" si="18"/>
        <v>11361801.631596413</v>
      </c>
      <c r="AX261" s="606">
        <f t="shared" si="19"/>
        <v>43304.638336650634</v>
      </c>
      <c r="AY261" s="299">
        <f t="shared" si="20"/>
        <v>28908.776309205336</v>
      </c>
      <c r="AZ261" s="538">
        <f t="shared" si="21"/>
        <v>72213.41464585597</v>
      </c>
      <c r="BA261" s="540">
        <f t="shared" si="22"/>
        <v>0</v>
      </c>
      <c r="BB261" s="541">
        <f t="shared" si="23"/>
        <v>72213.41464585597</v>
      </c>
    </row>
    <row r="262" spans="38:54" ht="15" hidden="1" x14ac:dyDescent="0.35">
      <c r="AL262" s="14">
        <v>40</v>
      </c>
      <c r="AM262" s="538">
        <f t="shared" si="11"/>
        <v>10470272.936851496</v>
      </c>
      <c r="AN262" s="538">
        <f t="shared" si="25"/>
        <v>40161.256684915483</v>
      </c>
      <c r="AO262" s="539">
        <f t="shared" si="13"/>
        <v>26641.031115561043</v>
      </c>
      <c r="AP262" s="538">
        <f t="shared" si="14"/>
        <v>66802.287800476523</v>
      </c>
      <c r="AQ262" s="540">
        <f t="shared" si="24"/>
        <v>0</v>
      </c>
      <c r="AR262" s="541">
        <f t="shared" si="15"/>
        <v>66802.287800476523</v>
      </c>
      <c r="AS262" s="541">
        <f t="shared" si="16"/>
        <v>66802.287800476523</v>
      </c>
      <c r="AT262" s="542">
        <f t="shared" si="17"/>
        <v>66802.287800476523</v>
      </c>
      <c r="AV262" s="14">
        <v>40</v>
      </c>
      <c r="AW262" s="538">
        <f t="shared" si="18"/>
        <v>11318387.228030644</v>
      </c>
      <c r="AX262" s="606">
        <f t="shared" si="19"/>
        <v>43414.403565767832</v>
      </c>
      <c r="AY262" s="299">
        <f t="shared" si="20"/>
        <v>28799.01108008813</v>
      </c>
      <c r="AZ262" s="538">
        <f t="shared" si="21"/>
        <v>72213.414645855955</v>
      </c>
      <c r="BA262" s="540">
        <f t="shared" si="22"/>
        <v>0</v>
      </c>
      <c r="BB262" s="541">
        <f t="shared" si="23"/>
        <v>72213.414645855955</v>
      </c>
    </row>
    <row r="263" spans="38:54" ht="15" hidden="1" x14ac:dyDescent="0.35">
      <c r="AL263" s="14">
        <v>41</v>
      </c>
      <c r="AM263" s="538">
        <f t="shared" si="11"/>
        <v>10430009.882536789</v>
      </c>
      <c r="AN263" s="538">
        <f t="shared" si="25"/>
        <v>40263.054314707108</v>
      </c>
      <c r="AO263" s="539">
        <f t="shared" si="13"/>
        <v>26539.233485769422</v>
      </c>
      <c r="AP263" s="538">
        <f t="shared" si="14"/>
        <v>66802.287800476537</v>
      </c>
      <c r="AQ263" s="540">
        <f t="shared" si="24"/>
        <v>0</v>
      </c>
      <c r="AR263" s="541">
        <f t="shared" si="15"/>
        <v>66802.287800476537</v>
      </c>
      <c r="AS263" s="541">
        <f t="shared" si="16"/>
        <v>66802.287800476537</v>
      </c>
      <c r="AT263" s="542">
        <f t="shared" si="17"/>
        <v>66802.287800476537</v>
      </c>
      <c r="AV263" s="14">
        <v>41</v>
      </c>
      <c r="AW263" s="538">
        <f t="shared" si="18"/>
        <v>11274862.781011393</v>
      </c>
      <c r="AX263" s="606">
        <f t="shared" si="19"/>
        <v>43524.44701925051</v>
      </c>
      <c r="AY263" s="299">
        <f t="shared" si="20"/>
        <v>28688.967626605452</v>
      </c>
      <c r="AZ263" s="538">
        <f t="shared" si="21"/>
        <v>72213.414645855955</v>
      </c>
      <c r="BA263" s="540">
        <f t="shared" si="22"/>
        <v>0</v>
      </c>
      <c r="BB263" s="541">
        <f t="shared" si="23"/>
        <v>72213.414645855955</v>
      </c>
    </row>
    <row r="264" spans="38:54" ht="15" hidden="1" x14ac:dyDescent="0.35">
      <c r="AL264" s="14">
        <v>42</v>
      </c>
      <c r="AM264" s="538">
        <f t="shared" si="11"/>
        <v>10389644.772563577</v>
      </c>
      <c r="AN264" s="538">
        <f t="shared" si="25"/>
        <v>40365.109973213133</v>
      </c>
      <c r="AO264" s="539">
        <f t="shared" si="13"/>
        <v>26437.177827263389</v>
      </c>
      <c r="AP264" s="538">
        <f t="shared" si="14"/>
        <v>66802.287800476523</v>
      </c>
      <c r="AQ264" s="540">
        <f t="shared" si="24"/>
        <v>0</v>
      </c>
      <c r="AR264" s="541">
        <f t="shared" si="15"/>
        <v>66802.287800476523</v>
      </c>
      <c r="AS264" s="541">
        <f t="shared" si="16"/>
        <v>66802.287800476523</v>
      </c>
      <c r="AT264" s="542">
        <f t="shared" si="17"/>
        <v>66802.287800476523</v>
      </c>
      <c r="AV264" s="14">
        <v>42</v>
      </c>
      <c r="AW264" s="538">
        <f t="shared" si="18"/>
        <v>11231228.011609074</v>
      </c>
      <c r="AX264" s="606">
        <f t="shared" si="19"/>
        <v>43634.769402320133</v>
      </c>
      <c r="AY264" s="299">
        <f t="shared" si="20"/>
        <v>28578.645243535822</v>
      </c>
      <c r="AZ264" s="538">
        <f t="shared" si="21"/>
        <v>72213.414645855955</v>
      </c>
      <c r="BA264" s="540">
        <f t="shared" si="22"/>
        <v>0</v>
      </c>
      <c r="BB264" s="541">
        <f t="shared" si="23"/>
        <v>72213.414645855955</v>
      </c>
    </row>
    <row r="265" spans="38:54" ht="15" hidden="1" x14ac:dyDescent="0.35">
      <c r="AL265" s="14">
        <v>43</v>
      </c>
      <c r="AM265" s="538">
        <f t="shared" si="11"/>
        <v>10349177.348249111</v>
      </c>
      <c r="AN265" s="538">
        <f t="shared" si="25"/>
        <v>40467.42431446469</v>
      </c>
      <c r="AO265" s="539">
        <f t="shared" si="13"/>
        <v>26334.863486011844</v>
      </c>
      <c r="AP265" s="538">
        <f t="shared" si="14"/>
        <v>66802.287800476537</v>
      </c>
      <c r="AQ265" s="540">
        <f t="shared" si="24"/>
        <v>0</v>
      </c>
      <c r="AR265" s="541">
        <f t="shared" si="15"/>
        <v>66802.287800476537</v>
      </c>
      <c r="AS265" s="541">
        <f t="shared" si="16"/>
        <v>66802.287800476537</v>
      </c>
      <c r="AT265" s="542">
        <f t="shared" si="17"/>
        <v>66802.287800476537</v>
      </c>
      <c r="AV265" s="14">
        <v>43</v>
      </c>
      <c r="AW265" s="538">
        <f t="shared" si="18"/>
        <v>11187482.640187088</v>
      </c>
      <c r="AX265" s="606">
        <f t="shared" si="19"/>
        <v>43745.371421985743</v>
      </c>
      <c r="AY265" s="299">
        <f t="shared" si="20"/>
        <v>28468.04322387022</v>
      </c>
      <c r="AZ265" s="538">
        <f t="shared" si="21"/>
        <v>72213.414645855955</v>
      </c>
      <c r="BA265" s="540">
        <f t="shared" si="22"/>
        <v>0</v>
      </c>
      <c r="BB265" s="541">
        <f t="shared" si="23"/>
        <v>72213.414645855955</v>
      </c>
    </row>
    <row r="266" spans="38:54" ht="15" hidden="1" x14ac:dyDescent="0.35">
      <c r="AL266" s="14">
        <v>44</v>
      </c>
      <c r="AM266" s="538">
        <f t="shared" si="11"/>
        <v>10308607.35025496</v>
      </c>
      <c r="AN266" s="538">
        <f t="shared" si="25"/>
        <v>40569.997994150646</v>
      </c>
      <c r="AO266" s="539">
        <f t="shared" si="13"/>
        <v>26232.289806325873</v>
      </c>
      <c r="AP266" s="538">
        <f t="shared" si="14"/>
        <v>66802.287800476523</v>
      </c>
      <c r="AQ266" s="540">
        <f t="shared" si="24"/>
        <v>0</v>
      </c>
      <c r="AR266" s="541">
        <f t="shared" si="15"/>
        <v>66802.287800476523</v>
      </c>
      <c r="AS266" s="541">
        <f t="shared" si="16"/>
        <v>66802.287800476523</v>
      </c>
      <c r="AT266" s="542">
        <f t="shared" si="17"/>
        <v>66802.287800476523</v>
      </c>
      <c r="AV266" s="14">
        <v>44</v>
      </c>
      <c r="AW266" s="538">
        <f t="shared" si="18"/>
        <v>11143626.38640004</v>
      </c>
      <c r="AX266" s="606">
        <f t="shared" si="19"/>
        <v>43856.253787048408</v>
      </c>
      <c r="AY266" s="299">
        <f t="shared" si="20"/>
        <v>28357.160858807551</v>
      </c>
      <c r="AZ266" s="538">
        <f t="shared" si="21"/>
        <v>72213.414645855955</v>
      </c>
      <c r="BA266" s="540">
        <f t="shared" si="22"/>
        <v>0</v>
      </c>
      <c r="BB266" s="541">
        <f t="shared" si="23"/>
        <v>72213.414645855955</v>
      </c>
    </row>
    <row r="267" spans="38:54" ht="15" hidden="1" x14ac:dyDescent="0.35">
      <c r="AL267" s="14">
        <v>45</v>
      </c>
      <c r="AM267" s="538">
        <f t="shared" si="11"/>
        <v>10267934.518585339</v>
      </c>
      <c r="AN267" s="538">
        <f t="shared" si="25"/>
        <v>40672.831669621941</v>
      </c>
      <c r="AO267" s="539">
        <f t="shared" si="13"/>
        <v>26129.456130854585</v>
      </c>
      <c r="AP267" s="538">
        <f t="shared" si="14"/>
        <v>66802.287800476523</v>
      </c>
      <c r="AQ267" s="540">
        <f t="shared" si="24"/>
        <v>0</v>
      </c>
      <c r="AR267" s="541">
        <f t="shared" si="15"/>
        <v>66802.287800476523</v>
      </c>
      <c r="AS267" s="541">
        <f t="shared" si="16"/>
        <v>66802.287800476523</v>
      </c>
      <c r="AT267" s="542">
        <f t="shared" si="17"/>
        <v>66802.287800476523</v>
      </c>
      <c r="AV267" s="14">
        <v>45</v>
      </c>
      <c r="AW267" s="538">
        <f t="shared" si="18"/>
        <v>11099658.969191935</v>
      </c>
      <c r="AX267" s="606">
        <f t="shared" si="19"/>
        <v>43967.417208105857</v>
      </c>
      <c r="AY267" s="299">
        <f t="shared" si="20"/>
        <v>28245.997437750102</v>
      </c>
      <c r="AZ267" s="538">
        <f t="shared" si="21"/>
        <v>72213.414645855955</v>
      </c>
      <c r="BA267" s="540">
        <f t="shared" si="22"/>
        <v>0</v>
      </c>
      <c r="BB267" s="541">
        <f t="shared" si="23"/>
        <v>72213.414645855955</v>
      </c>
    </row>
    <row r="268" spans="38:54" ht="15" hidden="1" x14ac:dyDescent="0.35">
      <c r="AL268" s="14">
        <v>46</v>
      </c>
      <c r="AM268" s="538">
        <f t="shared" si="11"/>
        <v>10227158.592585444</v>
      </c>
      <c r="AN268" s="538">
        <f t="shared" si="25"/>
        <v>40775.925999895633</v>
      </c>
      <c r="AO268" s="539">
        <f t="shared" si="13"/>
        <v>26026.361800580893</v>
      </c>
      <c r="AP268" s="538">
        <f t="shared" si="14"/>
        <v>66802.287800476523</v>
      </c>
      <c r="AQ268" s="540">
        <f t="shared" si="24"/>
        <v>0</v>
      </c>
      <c r="AR268" s="541">
        <f t="shared" si="15"/>
        <v>66802.287800476523</v>
      </c>
      <c r="AS268" s="541">
        <f t="shared" si="16"/>
        <v>66802.287800476523</v>
      </c>
      <c r="AT268" s="542">
        <f t="shared" si="17"/>
        <v>66802.287800476523</v>
      </c>
      <c r="AV268" s="14">
        <v>46</v>
      </c>
      <c r="AW268" s="538">
        <f t="shared" si="18"/>
        <v>11055580.106794378</v>
      </c>
      <c r="AX268" s="606">
        <f t="shared" si="19"/>
        <v>44078.862397556957</v>
      </c>
      <c r="AY268" s="299">
        <f t="shared" si="20"/>
        <v>28134.552248299005</v>
      </c>
      <c r="AZ268" s="538">
        <f t="shared" si="21"/>
        <v>72213.414645855955</v>
      </c>
      <c r="BA268" s="540">
        <f t="shared" si="22"/>
        <v>0</v>
      </c>
      <c r="BB268" s="541">
        <f t="shared" si="23"/>
        <v>72213.414645855955</v>
      </c>
    </row>
    <row r="269" spans="38:54" ht="15" hidden="1" x14ac:dyDescent="0.35">
      <c r="AL269" s="14">
        <v>47</v>
      </c>
      <c r="AM269" s="538">
        <f t="shared" si="11"/>
        <v>10186279.310939785</v>
      </c>
      <c r="AN269" s="538">
        <f t="shared" si="25"/>
        <v>40879.281645659255</v>
      </c>
      <c r="AO269" s="539">
        <f t="shared" si="13"/>
        <v>25923.006154817271</v>
      </c>
      <c r="AP269" s="538">
        <f t="shared" si="14"/>
        <v>66802.287800476523</v>
      </c>
      <c r="AQ269" s="540">
        <f t="shared" si="24"/>
        <v>0</v>
      </c>
      <c r="AR269" s="541">
        <f t="shared" si="15"/>
        <v>66802.287800476523</v>
      </c>
      <c r="AS269" s="541">
        <f t="shared" si="16"/>
        <v>66802.287800476523</v>
      </c>
      <c r="AT269" s="542">
        <f t="shared" si="17"/>
        <v>66802.287800476523</v>
      </c>
      <c r="AV269" s="14">
        <v>47</v>
      </c>
      <c r="AW269" s="538">
        <f t="shared" si="18"/>
        <v>11011389.516724771</v>
      </c>
      <c r="AX269" s="606">
        <f t="shared" si="19"/>
        <v>44190.590069606325</v>
      </c>
      <c r="AY269" s="299">
        <f t="shared" si="20"/>
        <v>28022.824576249637</v>
      </c>
      <c r="AZ269" s="538">
        <f t="shared" si="21"/>
        <v>72213.414645855955</v>
      </c>
      <c r="BA269" s="540">
        <f t="shared" si="22"/>
        <v>0</v>
      </c>
      <c r="BB269" s="541">
        <f t="shared" si="23"/>
        <v>72213.414645855955</v>
      </c>
    </row>
    <row r="270" spans="38:54" ht="15" hidden="1" x14ac:dyDescent="0.35">
      <c r="AL270" s="14">
        <v>48</v>
      </c>
      <c r="AM270" s="538">
        <f t="shared" si="11"/>
        <v>10145296.41167051</v>
      </c>
      <c r="AN270" s="538">
        <f t="shared" si="25"/>
        <v>40982.899269274989</v>
      </c>
      <c r="AO270" s="539">
        <f t="shared" si="13"/>
        <v>25819.388531201541</v>
      </c>
      <c r="AP270" s="538">
        <f t="shared" si="14"/>
        <v>66802.287800476537</v>
      </c>
      <c r="AQ270" s="540">
        <f t="shared" si="24"/>
        <v>0</v>
      </c>
      <c r="AR270" s="541">
        <f t="shared" si="15"/>
        <v>66802.287800476537</v>
      </c>
      <c r="AS270" s="541">
        <f t="shared" si="16"/>
        <v>66802.287800476537</v>
      </c>
      <c r="AT270" s="542">
        <f t="shared" si="17"/>
        <v>66802.287800476537</v>
      </c>
      <c r="AV270" s="14">
        <v>48</v>
      </c>
      <c r="AW270" s="538">
        <f t="shared" si="18"/>
        <v>10967086.915784502</v>
      </c>
      <c r="AX270" s="606">
        <f t="shared" si="19"/>
        <v>44302.600940268872</v>
      </c>
      <c r="AY270" s="299">
        <f t="shared" si="20"/>
        <v>27910.813705587094</v>
      </c>
      <c r="AZ270" s="538">
        <f t="shared" si="21"/>
        <v>72213.41464585597</v>
      </c>
      <c r="BA270" s="540">
        <f t="shared" si="22"/>
        <v>0</v>
      </c>
      <c r="BB270" s="541">
        <f t="shared" si="23"/>
        <v>72213.41464585597</v>
      </c>
    </row>
    <row r="271" spans="38:54" ht="15" hidden="1" x14ac:dyDescent="0.35">
      <c r="AL271" s="14">
        <v>49</v>
      </c>
      <c r="AM271" s="538">
        <f t="shared" si="11"/>
        <v>10104209.632135727</v>
      </c>
      <c r="AN271" s="538">
        <f t="shared" si="25"/>
        <v>41086.779534783913</v>
      </c>
      <c r="AO271" s="539">
        <f t="shared" si="13"/>
        <v>25715.508265692613</v>
      </c>
      <c r="AP271" s="538">
        <f t="shared" si="14"/>
        <v>66802.287800476523</v>
      </c>
      <c r="AQ271" s="540">
        <f t="shared" si="24"/>
        <v>0</v>
      </c>
      <c r="AR271" s="541">
        <f t="shared" si="15"/>
        <v>66802.287800476523</v>
      </c>
      <c r="AS271" s="541">
        <f t="shared" si="16"/>
        <v>66802.287800476523</v>
      </c>
      <c r="AT271" s="542">
        <f t="shared" si="17"/>
        <v>66802.287800476523</v>
      </c>
      <c r="AV271" s="14">
        <v>49</v>
      </c>
      <c r="AW271" s="538">
        <f t="shared" si="18"/>
        <v>10922672.020057129</v>
      </c>
      <c r="AX271" s="606">
        <f t="shared" si="19"/>
        <v>44414.895727374409</v>
      </c>
      <c r="AY271" s="299">
        <f t="shared" si="20"/>
        <v>27798.51891848155</v>
      </c>
      <c r="AZ271" s="538">
        <f t="shared" si="21"/>
        <v>72213.414645855955</v>
      </c>
      <c r="BA271" s="540">
        <f t="shared" si="22"/>
        <v>0</v>
      </c>
      <c r="BB271" s="541">
        <f t="shared" si="23"/>
        <v>72213.414645855955</v>
      </c>
    </row>
    <row r="272" spans="38:54" ht="15" hidden="1" x14ac:dyDescent="0.35">
      <c r="AL272" s="14">
        <v>50</v>
      </c>
      <c r="AM272" s="538">
        <f t="shared" si="11"/>
        <v>10063018.709027816</v>
      </c>
      <c r="AN272" s="538">
        <f t="shared" si="25"/>
        <v>41190.923107910276</v>
      </c>
      <c r="AO272" s="539">
        <f t="shared" si="13"/>
        <v>25611.364692566251</v>
      </c>
      <c r="AP272" s="538">
        <f t="shared" si="14"/>
        <v>66802.287800476523</v>
      </c>
      <c r="AQ272" s="540">
        <f t="shared" si="24"/>
        <v>0</v>
      </c>
      <c r="AR272" s="541">
        <f t="shared" si="15"/>
        <v>66802.287800476523</v>
      </c>
      <c r="AS272" s="541">
        <f t="shared" si="16"/>
        <v>66802.287800476523</v>
      </c>
      <c r="AT272" s="542">
        <f t="shared" si="17"/>
        <v>66802.287800476523</v>
      </c>
      <c r="AV272" s="14">
        <v>50</v>
      </c>
      <c r="AW272" s="538">
        <f t="shared" si="18"/>
        <v>10878144.544906557</v>
      </c>
      <c r="AX272" s="606">
        <f t="shared" si="19"/>
        <v>44527.475150572274</v>
      </c>
      <c r="AY272" s="299">
        <f t="shared" si="20"/>
        <v>27685.939495283696</v>
      </c>
      <c r="AZ272" s="538">
        <f t="shared" si="21"/>
        <v>72213.41464585597</v>
      </c>
      <c r="BA272" s="540">
        <f t="shared" si="22"/>
        <v>0</v>
      </c>
      <c r="BB272" s="541">
        <f t="shared" si="23"/>
        <v>72213.41464585597</v>
      </c>
    </row>
    <row r="273" spans="38:54" ht="15" hidden="1" x14ac:dyDescent="0.35">
      <c r="AL273" s="14">
        <v>51</v>
      </c>
      <c r="AM273" s="538">
        <f t="shared" si="11"/>
        <v>10021723.378371749</v>
      </c>
      <c r="AN273" s="538">
        <f t="shared" si="25"/>
        <v>41295.330656065751</v>
      </c>
      <c r="AO273" s="539">
        <f t="shared" si="13"/>
        <v>25506.957144410782</v>
      </c>
      <c r="AP273" s="538">
        <f t="shared" si="14"/>
        <v>66802.287800476537</v>
      </c>
      <c r="AQ273" s="540">
        <f t="shared" si="24"/>
        <v>0</v>
      </c>
      <c r="AR273" s="541">
        <f t="shared" si="15"/>
        <v>66802.287800476537</v>
      </c>
      <c r="AS273" s="541">
        <f t="shared" si="16"/>
        <v>66802.287800476537</v>
      </c>
      <c r="AT273" s="542">
        <f t="shared" si="17"/>
        <v>66802.287800476537</v>
      </c>
      <c r="AV273" s="14">
        <v>51</v>
      </c>
      <c r="AW273" s="538">
        <f t="shared" si="18"/>
        <v>10833504.204975221</v>
      </c>
      <c r="AX273" s="606">
        <f t="shared" si="19"/>
        <v>44640.339931335882</v>
      </c>
      <c r="AY273" s="299">
        <f t="shared" si="20"/>
        <v>27573.074714520091</v>
      </c>
      <c r="AZ273" s="538">
        <f t="shared" si="21"/>
        <v>72213.41464585597</v>
      </c>
      <c r="BA273" s="540">
        <f t="shared" si="22"/>
        <v>0</v>
      </c>
      <c r="BB273" s="541">
        <f t="shared" si="23"/>
        <v>72213.41464585597</v>
      </c>
    </row>
    <row r="274" spans="38:54" ht="15" hidden="1" x14ac:dyDescent="0.35">
      <c r="AL274" s="14">
        <v>52</v>
      </c>
      <c r="AM274" s="538">
        <f t="shared" si="11"/>
        <v>9980323.3755233958</v>
      </c>
      <c r="AN274" s="538">
        <f t="shared" si="25"/>
        <v>41400.002848353688</v>
      </c>
      <c r="AO274" s="539">
        <f t="shared" si="13"/>
        <v>25402.284952122835</v>
      </c>
      <c r="AP274" s="538">
        <f t="shared" si="14"/>
        <v>66802.287800476523</v>
      </c>
      <c r="AQ274" s="540">
        <f t="shared" si="24"/>
        <v>0</v>
      </c>
      <c r="AR274" s="541">
        <f t="shared" si="15"/>
        <v>66802.287800476523</v>
      </c>
      <c r="AS274" s="541">
        <f t="shared" si="16"/>
        <v>66802.287800476523</v>
      </c>
      <c r="AT274" s="542">
        <f t="shared" si="17"/>
        <v>66802.287800476523</v>
      </c>
      <c r="AV274" s="14">
        <v>52</v>
      </c>
      <c r="AW274" s="538">
        <f t="shared" si="18"/>
        <v>10788750.714182254</v>
      </c>
      <c r="AX274" s="606">
        <f t="shared" si="19"/>
        <v>44753.490792967379</v>
      </c>
      <c r="AY274" s="299">
        <f t="shared" si="20"/>
        <v>27459.923852888583</v>
      </c>
      <c r="AZ274" s="538">
        <f t="shared" si="21"/>
        <v>72213.414645855955</v>
      </c>
      <c r="BA274" s="540">
        <f t="shared" si="22"/>
        <v>0</v>
      </c>
      <c r="BB274" s="541">
        <f t="shared" si="23"/>
        <v>72213.414645855955</v>
      </c>
    </row>
    <row r="275" spans="38:54" ht="15" hidden="1" x14ac:dyDescent="0.35">
      <c r="AL275" s="14">
        <v>53</v>
      </c>
      <c r="AM275" s="538">
        <f t="shared" si="11"/>
        <v>9938818.435167823</v>
      </c>
      <c r="AN275" s="538">
        <f t="shared" si="25"/>
        <v>41504.940355573475</v>
      </c>
      <c r="AO275" s="539">
        <f t="shared" si="13"/>
        <v>25297.347444903051</v>
      </c>
      <c r="AP275" s="538">
        <f t="shared" si="14"/>
        <v>66802.287800476523</v>
      </c>
      <c r="AQ275" s="540">
        <f t="shared" si="24"/>
        <v>0</v>
      </c>
      <c r="AR275" s="541">
        <f t="shared" si="15"/>
        <v>66802.287800476523</v>
      </c>
      <c r="AS275" s="541">
        <f t="shared" si="16"/>
        <v>66802.287800476523</v>
      </c>
      <c r="AT275" s="542">
        <f t="shared" si="17"/>
        <v>66802.287800476523</v>
      </c>
      <c r="AV275" s="14">
        <v>53</v>
      </c>
      <c r="AW275" s="538">
        <f t="shared" si="18"/>
        <v>10743883.785721652</v>
      </c>
      <c r="AX275" s="606">
        <f t="shared" si="19"/>
        <v>44866.928460602343</v>
      </c>
      <c r="AY275" s="299">
        <f t="shared" si="20"/>
        <v>27346.486185253634</v>
      </c>
      <c r="AZ275" s="538">
        <f t="shared" si="21"/>
        <v>72213.414645855984</v>
      </c>
      <c r="BA275" s="540">
        <f t="shared" si="22"/>
        <v>0</v>
      </c>
      <c r="BB275" s="541">
        <f t="shared" si="23"/>
        <v>72213.414645855984</v>
      </c>
    </row>
    <row r="276" spans="38:54" ht="15" hidden="1" x14ac:dyDescent="0.35">
      <c r="AL276" s="14">
        <v>54</v>
      </c>
      <c r="AM276" s="538">
        <f t="shared" si="11"/>
        <v>9897208.2913175989</v>
      </c>
      <c r="AN276" s="538">
        <f t="shared" si="25"/>
        <v>41610.143850224755</v>
      </c>
      <c r="AO276" s="539">
        <f t="shared" si="13"/>
        <v>25192.143950251771</v>
      </c>
      <c r="AP276" s="538">
        <f t="shared" si="14"/>
        <v>66802.287800476523</v>
      </c>
      <c r="AQ276" s="540">
        <f t="shared" si="24"/>
        <v>0</v>
      </c>
      <c r="AR276" s="541">
        <f t="shared" si="15"/>
        <v>66802.287800476523</v>
      </c>
      <c r="AS276" s="541">
        <f t="shared" si="16"/>
        <v>66802.287800476523</v>
      </c>
      <c r="AT276" s="542">
        <f t="shared" si="17"/>
        <v>66802.287800476523</v>
      </c>
      <c r="AV276" s="14">
        <v>54</v>
      </c>
      <c r="AW276" s="538">
        <f t="shared" si="18"/>
        <v>10698903.132060438</v>
      </c>
      <c r="AX276" s="606">
        <f t="shared" si="19"/>
        <v>44980.653661214281</v>
      </c>
      <c r="AY276" s="299">
        <f t="shared" si="20"/>
        <v>27232.760984641689</v>
      </c>
      <c r="AZ276" s="538">
        <f t="shared" si="21"/>
        <v>72213.41464585597</v>
      </c>
      <c r="BA276" s="540">
        <f t="shared" si="22"/>
        <v>0</v>
      </c>
      <c r="BB276" s="541">
        <f t="shared" si="23"/>
        <v>72213.41464585597</v>
      </c>
    </row>
    <row r="277" spans="38:54" ht="15" hidden="1" x14ac:dyDescent="0.35">
      <c r="AL277" s="14">
        <v>55</v>
      </c>
      <c r="AM277" s="538">
        <f t="shared" si="11"/>
        <v>9855492.677311087</v>
      </c>
      <c r="AN277" s="538">
        <f t="shared" si="25"/>
        <v>41715.61400651178</v>
      </c>
      <c r="AO277" s="539">
        <f t="shared" si="13"/>
        <v>25086.673793964746</v>
      </c>
      <c r="AP277" s="538">
        <f t="shared" si="14"/>
        <v>66802.287800476523</v>
      </c>
      <c r="AQ277" s="540">
        <f t="shared" si="24"/>
        <v>0</v>
      </c>
      <c r="AR277" s="541">
        <f t="shared" si="15"/>
        <v>66802.287800476523</v>
      </c>
      <c r="AS277" s="541">
        <f t="shared" si="16"/>
        <v>66802.287800476523</v>
      </c>
      <c r="AT277" s="542">
        <f t="shared" si="17"/>
        <v>66802.287800476523</v>
      </c>
      <c r="AV277" s="14">
        <v>55</v>
      </c>
      <c r="AW277" s="538">
        <f t="shared" si="18"/>
        <v>10653808.464936819</v>
      </c>
      <c r="AX277" s="606">
        <f t="shared" si="19"/>
        <v>45094.667123619438</v>
      </c>
      <c r="AY277" s="299">
        <f t="shared" si="20"/>
        <v>27118.747522236528</v>
      </c>
      <c r="AZ277" s="538">
        <f t="shared" si="21"/>
        <v>72213.41464585597</v>
      </c>
      <c r="BA277" s="540">
        <f t="shared" si="22"/>
        <v>0</v>
      </c>
      <c r="BB277" s="541">
        <f t="shared" si="23"/>
        <v>72213.41464585597</v>
      </c>
    </row>
    <row r="278" spans="38:54" ht="15" hidden="1" x14ac:dyDescent="0.35">
      <c r="AL278" s="14">
        <v>56</v>
      </c>
      <c r="AM278" s="538">
        <f t="shared" si="11"/>
        <v>9813671.3258107398</v>
      </c>
      <c r="AN278" s="538">
        <f t="shared" si="25"/>
        <v>41821.35150034773</v>
      </c>
      <c r="AO278" s="539">
        <f t="shared" si="13"/>
        <v>24980.9363001288</v>
      </c>
      <c r="AP278" s="538">
        <f t="shared" si="14"/>
        <v>66802.287800476537</v>
      </c>
      <c r="AQ278" s="540">
        <f t="shared" si="24"/>
        <v>0</v>
      </c>
      <c r="AR278" s="541">
        <f t="shared" si="15"/>
        <v>66802.287800476537</v>
      </c>
      <c r="AS278" s="541">
        <f t="shared" si="16"/>
        <v>66802.287800476537</v>
      </c>
      <c r="AT278" s="542">
        <f t="shared" si="17"/>
        <v>66802.287800476537</v>
      </c>
      <c r="AV278" s="14">
        <v>56</v>
      </c>
      <c r="AW278" s="538">
        <f t="shared" si="18"/>
        <v>10608599.495358337</v>
      </c>
      <c r="AX278" s="606">
        <f t="shared" si="19"/>
        <v>45208.969578481388</v>
      </c>
      <c r="AY278" s="299">
        <f t="shared" si="20"/>
        <v>27004.445067374578</v>
      </c>
      <c r="AZ278" s="538">
        <f t="shared" si="21"/>
        <v>72213.41464585597</v>
      </c>
      <c r="BA278" s="540">
        <f t="shared" si="22"/>
        <v>0</v>
      </c>
      <c r="BB278" s="541">
        <f t="shared" si="23"/>
        <v>72213.41464585597</v>
      </c>
    </row>
    <row r="279" spans="38:54" ht="15" hidden="1" x14ac:dyDescent="0.35">
      <c r="AL279" s="14">
        <v>57</v>
      </c>
      <c r="AM279" s="538">
        <f t="shared" si="11"/>
        <v>9771743.9688013811</v>
      </c>
      <c r="AN279" s="538">
        <f t="shared" si="25"/>
        <v>41927.357009359032</v>
      </c>
      <c r="AO279" s="539">
        <f t="shared" si="13"/>
        <v>24874.930791117498</v>
      </c>
      <c r="AP279" s="538">
        <f t="shared" si="14"/>
        <v>66802.287800476537</v>
      </c>
      <c r="AQ279" s="540">
        <f t="shared" si="24"/>
        <v>0</v>
      </c>
      <c r="AR279" s="541">
        <f t="shared" si="15"/>
        <v>66802.287800476537</v>
      </c>
      <c r="AS279" s="541">
        <f t="shared" si="16"/>
        <v>66802.287800476537</v>
      </c>
      <c r="AT279" s="542">
        <f t="shared" si="17"/>
        <v>66802.287800476537</v>
      </c>
      <c r="AV279" s="14">
        <v>57</v>
      </c>
      <c r="AW279" s="538">
        <f t="shared" si="18"/>
        <v>10563275.933600022</v>
      </c>
      <c r="AX279" s="606">
        <f t="shared" si="19"/>
        <v>45323.561758315744</v>
      </c>
      <c r="AY279" s="299">
        <f t="shared" si="20"/>
        <v>26889.85288754023</v>
      </c>
      <c r="AZ279" s="538">
        <f t="shared" si="21"/>
        <v>72213.41464585597</v>
      </c>
      <c r="BA279" s="540">
        <f t="shared" si="22"/>
        <v>0</v>
      </c>
      <c r="BB279" s="541">
        <f t="shared" si="23"/>
        <v>72213.41464585597</v>
      </c>
    </row>
    <row r="280" spans="38:54" ht="15" hidden="1" x14ac:dyDescent="0.35">
      <c r="AL280" s="14">
        <v>58</v>
      </c>
      <c r="AM280" s="538">
        <f t="shared" si="11"/>
        <v>9729710.3375884909</v>
      </c>
      <c r="AN280" s="538">
        <f t="shared" si="25"/>
        <v>42033.631212889697</v>
      </c>
      <c r="AO280" s="539">
        <f t="shared" si="13"/>
        <v>24768.656587586833</v>
      </c>
      <c r="AP280" s="538">
        <f t="shared" si="14"/>
        <v>66802.287800476537</v>
      </c>
      <c r="AQ280" s="540">
        <f t="shared" si="24"/>
        <v>0</v>
      </c>
      <c r="AR280" s="541">
        <f t="shared" si="15"/>
        <v>66802.287800476537</v>
      </c>
      <c r="AS280" s="541">
        <f t="shared" si="16"/>
        <v>66802.287800476537</v>
      </c>
      <c r="AT280" s="542">
        <f t="shared" si="17"/>
        <v>66802.287800476537</v>
      </c>
      <c r="AV280" s="14">
        <v>58</v>
      </c>
      <c r="AW280" s="538">
        <f t="shared" si="18"/>
        <v>10517837.489202527</v>
      </c>
      <c r="AX280" s="606">
        <f t="shared" si="19"/>
        <v>45438.444397494801</v>
      </c>
      <c r="AY280" s="299">
        <f t="shared" si="20"/>
        <v>26774.970248361169</v>
      </c>
      <c r="AZ280" s="538">
        <f t="shared" si="21"/>
        <v>72213.41464585597</v>
      </c>
      <c r="BA280" s="540">
        <f t="shared" si="22"/>
        <v>0</v>
      </c>
      <c r="BB280" s="541">
        <f t="shared" si="23"/>
        <v>72213.41464585597</v>
      </c>
    </row>
    <row r="281" spans="38:54" ht="15" hidden="1" x14ac:dyDescent="0.35">
      <c r="AL281" s="14">
        <v>59</v>
      </c>
      <c r="AM281" s="538">
        <f t="shared" si="11"/>
        <v>9687570.1627964843</v>
      </c>
      <c r="AN281" s="538">
        <f t="shared" si="25"/>
        <v>42140.174792005702</v>
      </c>
      <c r="AO281" s="539">
        <f t="shared" si="13"/>
        <v>24662.113008470827</v>
      </c>
      <c r="AP281" s="538">
        <f t="shared" si="14"/>
        <v>66802.287800476537</v>
      </c>
      <c r="AQ281" s="540">
        <f t="shared" si="24"/>
        <v>0</v>
      </c>
      <c r="AR281" s="541">
        <f t="shared" si="15"/>
        <v>66802.287800476537</v>
      </c>
      <c r="AS281" s="541">
        <f t="shared" si="16"/>
        <v>66802.287800476537</v>
      </c>
      <c r="AT281" s="542">
        <f t="shared" si="17"/>
        <v>66802.287800476537</v>
      </c>
      <c r="AV281" s="14">
        <v>59</v>
      </c>
      <c r="AW281" s="538">
        <f t="shared" si="18"/>
        <v>10472283.870970275</v>
      </c>
      <c r="AX281" s="606">
        <f t="shared" si="19"/>
        <v>45553.618232252345</v>
      </c>
      <c r="AY281" s="299">
        <f t="shared" si="20"/>
        <v>26659.796413603628</v>
      </c>
      <c r="AZ281" s="538">
        <f t="shared" si="21"/>
        <v>72213.41464585597</v>
      </c>
      <c r="BA281" s="540">
        <f t="shared" si="22"/>
        <v>0</v>
      </c>
      <c r="BB281" s="541">
        <f t="shared" si="23"/>
        <v>72213.41464585597</v>
      </c>
    </row>
    <row r="282" spans="38:54" ht="15" hidden="1" x14ac:dyDescent="0.35">
      <c r="AL282" s="14">
        <v>60</v>
      </c>
      <c r="AM282" s="538">
        <f t="shared" si="11"/>
        <v>9645323.1743669845</v>
      </c>
      <c r="AN282" s="538">
        <f t="shared" si="25"/>
        <v>42246.988429499332</v>
      </c>
      <c r="AO282" s="539">
        <f t="shared" si="13"/>
        <v>24555.299370977198</v>
      </c>
      <c r="AP282" s="538">
        <f t="shared" si="14"/>
        <v>66802.287800476537</v>
      </c>
      <c r="AQ282" s="540">
        <f t="shared" si="24"/>
        <v>0</v>
      </c>
      <c r="AR282" s="541">
        <f t="shared" si="15"/>
        <v>66802.287800476537</v>
      </c>
      <c r="AS282" s="541">
        <f t="shared" si="16"/>
        <v>66802.287800476537</v>
      </c>
      <c r="AT282" s="542">
        <f t="shared" si="17"/>
        <v>66802.287800476537</v>
      </c>
      <c r="AV282" s="14">
        <v>60</v>
      </c>
      <c r="AW282" s="538">
        <f t="shared" si="18"/>
        <v>10426614.786969587</v>
      </c>
      <c r="AX282" s="606">
        <f t="shared" si="19"/>
        <v>45669.084000688257</v>
      </c>
      <c r="AY282" s="299">
        <f t="shared" si="20"/>
        <v>26544.330645167713</v>
      </c>
      <c r="AZ282" s="538">
        <f t="shared" si="21"/>
        <v>72213.41464585597</v>
      </c>
      <c r="BA282" s="540">
        <f t="shared" si="22"/>
        <v>0</v>
      </c>
      <c r="BB282" s="541">
        <f t="shared" si="23"/>
        <v>72213.41464585597</v>
      </c>
    </row>
    <row r="283" spans="38:54" ht="15" hidden="1" x14ac:dyDescent="0.35">
      <c r="AL283" s="14">
        <v>61</v>
      </c>
      <c r="AM283" s="538">
        <f t="shared" si="11"/>
        <v>9602969.1015570909</v>
      </c>
      <c r="AN283" s="538">
        <f t="shared" si="25"/>
        <v>42354.072809893551</v>
      </c>
      <c r="AO283" s="539">
        <f t="shared" si="13"/>
        <v>24448.214990582979</v>
      </c>
      <c r="AP283" s="538">
        <f t="shared" si="14"/>
        <v>66802.287800476537</v>
      </c>
      <c r="AQ283" s="540">
        <f t="shared" si="24"/>
        <v>0</v>
      </c>
      <c r="AR283" s="541">
        <f t="shared" si="15"/>
        <v>66802.287800476537</v>
      </c>
      <c r="AS283" s="541">
        <f t="shared" si="16"/>
        <v>66802.287800476537</v>
      </c>
      <c r="AT283" s="542">
        <f t="shared" si="17"/>
        <v>66802.287800476537</v>
      </c>
      <c r="AV283" s="14">
        <v>61</v>
      </c>
      <c r="AW283" s="538">
        <f t="shared" si="18"/>
        <v>10380829.944526814</v>
      </c>
      <c r="AX283" s="606">
        <f t="shared" si="19"/>
        <v>45784.842442773341</v>
      </c>
      <c r="AY283" s="299">
        <f t="shared" si="20"/>
        <v>26428.572203082636</v>
      </c>
      <c r="AZ283" s="538">
        <f t="shared" si="21"/>
        <v>72213.414645855984</v>
      </c>
      <c r="BA283" s="540">
        <f t="shared" si="22"/>
        <v>0</v>
      </c>
      <c r="BB283" s="541">
        <f t="shared" si="23"/>
        <v>72213.414645855984</v>
      </c>
    </row>
    <row r="284" spans="38:54" ht="15" hidden="1" x14ac:dyDescent="0.35">
      <c r="AL284" s="14">
        <v>62</v>
      </c>
      <c r="AM284" s="538">
        <f t="shared" si="11"/>
        <v>9560507.6729376446</v>
      </c>
      <c r="AN284" s="538">
        <f t="shared" si="25"/>
        <v>42461.428619446408</v>
      </c>
      <c r="AO284" s="539">
        <f t="shared" si="13"/>
        <v>24340.85918103013</v>
      </c>
      <c r="AP284" s="538">
        <f t="shared" si="14"/>
        <v>66802.287800476537</v>
      </c>
      <c r="AQ284" s="540">
        <f t="shared" si="24"/>
        <v>0</v>
      </c>
      <c r="AR284" s="541">
        <f t="shared" si="15"/>
        <v>66802.287800476537</v>
      </c>
      <c r="AS284" s="541">
        <f t="shared" si="16"/>
        <v>66802.287800476537</v>
      </c>
      <c r="AT284" s="542">
        <f t="shared" si="17"/>
        <v>66802.287800476537</v>
      </c>
      <c r="AV284" s="14">
        <v>62</v>
      </c>
      <c r="AW284" s="538">
        <f t="shared" si="18"/>
        <v>10334929.050226459</v>
      </c>
      <c r="AX284" s="606">
        <f t="shared" si="19"/>
        <v>45900.894300353975</v>
      </c>
      <c r="AY284" s="299">
        <f t="shared" si="20"/>
        <v>26312.520345501991</v>
      </c>
      <c r="AZ284" s="538">
        <f t="shared" si="21"/>
        <v>72213.41464585597</v>
      </c>
      <c r="BA284" s="540">
        <f t="shared" si="22"/>
        <v>0</v>
      </c>
      <c r="BB284" s="541">
        <f t="shared" si="23"/>
        <v>72213.41464585597</v>
      </c>
    </row>
    <row r="285" spans="38:54" ht="15" hidden="1" x14ac:dyDescent="0.35">
      <c r="AL285" s="14">
        <v>63</v>
      </c>
      <c r="AM285" s="538">
        <f t="shared" si="11"/>
        <v>9517938.6163914893</v>
      </c>
      <c r="AN285" s="538">
        <f t="shared" si="25"/>
        <v>42569.056546155407</v>
      </c>
      <c r="AO285" s="539">
        <f t="shared" si="13"/>
        <v>24233.231254321116</v>
      </c>
      <c r="AP285" s="538">
        <f t="shared" si="14"/>
        <v>66802.287800476523</v>
      </c>
      <c r="AQ285" s="540">
        <f t="shared" si="24"/>
        <v>0</v>
      </c>
      <c r="AR285" s="541">
        <f t="shared" si="15"/>
        <v>66802.287800476523</v>
      </c>
      <c r="AS285" s="541">
        <f t="shared" si="16"/>
        <v>66802.287800476523</v>
      </c>
      <c r="AT285" s="542">
        <f t="shared" si="17"/>
        <v>66802.287800476523</v>
      </c>
      <c r="AV285" s="14">
        <v>63</v>
      </c>
      <c r="AW285" s="538">
        <f t="shared" si="18"/>
        <v>10288911.809909303</v>
      </c>
      <c r="AX285" s="606">
        <f t="shared" si="19"/>
        <v>46017.240317156953</v>
      </c>
      <c r="AY285" s="299">
        <f t="shared" si="20"/>
        <v>26196.174328699009</v>
      </c>
      <c r="AZ285" s="538">
        <f t="shared" si="21"/>
        <v>72213.414645855955</v>
      </c>
      <c r="BA285" s="540">
        <f t="shared" si="22"/>
        <v>0</v>
      </c>
      <c r="BB285" s="541">
        <f t="shared" si="23"/>
        <v>72213.414645855955</v>
      </c>
    </row>
    <row r="286" spans="38:54" ht="15" hidden="1" x14ac:dyDescent="0.35">
      <c r="AL286" s="14">
        <v>64</v>
      </c>
      <c r="AM286" s="538">
        <f t="shared" si="11"/>
        <v>9475261.659111727</v>
      </c>
      <c r="AN286" s="538">
        <f t="shared" si="25"/>
        <v>42676.957279761991</v>
      </c>
      <c r="AO286" s="539">
        <f t="shared" si="13"/>
        <v>24125.330520714539</v>
      </c>
      <c r="AP286" s="538">
        <f t="shared" si="14"/>
        <v>66802.287800476537</v>
      </c>
      <c r="AQ286" s="540">
        <f t="shared" si="24"/>
        <v>0</v>
      </c>
      <c r="AR286" s="541">
        <f t="shared" si="15"/>
        <v>66802.287800476537</v>
      </c>
      <c r="AS286" s="541">
        <f t="shared" si="16"/>
        <v>66802.287800476537</v>
      </c>
      <c r="AT286" s="542">
        <f t="shared" si="17"/>
        <v>66802.287800476537</v>
      </c>
      <c r="AV286" s="14">
        <v>64</v>
      </c>
      <c r="AW286" s="538">
        <f t="shared" si="18"/>
        <v>10242777.928670509</v>
      </c>
      <c r="AX286" s="606">
        <f t="shared" si="19"/>
        <v>46133.881238794194</v>
      </c>
      <c r="AY286" s="299">
        <f t="shared" si="20"/>
        <v>26079.533407061776</v>
      </c>
      <c r="AZ286" s="538">
        <f t="shared" si="21"/>
        <v>72213.41464585597</v>
      </c>
      <c r="BA286" s="540">
        <f t="shared" si="22"/>
        <v>0</v>
      </c>
      <c r="BB286" s="541">
        <f t="shared" si="23"/>
        <v>72213.41464585597</v>
      </c>
    </row>
    <row r="287" spans="38:54" ht="15" hidden="1" x14ac:dyDescent="0.35">
      <c r="AL287" s="14">
        <v>65</v>
      </c>
      <c r="AM287" s="538">
        <f t="shared" si="11"/>
        <v>9432476.5275999717</v>
      </c>
      <c r="AN287" s="538">
        <f t="shared" ref="AN287" si="26">PPMT($AN$32/360*(365/12),AL287,$AN$24,-$AN$23)</f>
        <v>42785.131511755826</v>
      </c>
      <c r="AO287" s="539">
        <f t="shared" ref="AO287" si="27">AM286*$AN$32/360*(365/12)</f>
        <v>24017.156288720696</v>
      </c>
      <c r="AP287" s="538">
        <f t="shared" si="14"/>
        <v>66802.287800476523</v>
      </c>
      <c r="AQ287" s="540">
        <f t="shared" si="24"/>
        <v>0</v>
      </c>
      <c r="AR287" s="541">
        <f t="shared" si="15"/>
        <v>66802.287800476523</v>
      </c>
      <c r="AS287" s="541">
        <f t="shared" si="16"/>
        <v>66802.287800476523</v>
      </c>
      <c r="AT287" s="542">
        <f t="shared" si="17"/>
        <v>66802.287800476523</v>
      </c>
      <c r="AV287" s="14">
        <v>65</v>
      </c>
      <c r="AW287" s="538">
        <f t="shared" si="18"/>
        <v>10196527.110857742</v>
      </c>
      <c r="AX287" s="606">
        <f t="shared" si="19"/>
        <v>46250.817812767527</v>
      </c>
      <c r="AY287" s="299">
        <f t="shared" si="20"/>
        <v>25962.596833088443</v>
      </c>
      <c r="AZ287" s="538">
        <f t="shared" si="21"/>
        <v>72213.41464585597</v>
      </c>
      <c r="BA287" s="540">
        <f t="shared" si="22"/>
        <v>0</v>
      </c>
      <c r="BB287" s="541">
        <f t="shared" si="23"/>
        <v>72213.41464585597</v>
      </c>
    </row>
    <row r="288" spans="38:54" ht="15" hidden="1" x14ac:dyDescent="0.35">
      <c r="AL288" s="14">
        <v>66</v>
      </c>
      <c r="AM288" s="538">
        <f>+AM287-AN288</f>
        <v>9389582.9476645924</v>
      </c>
      <c r="AN288" s="538">
        <f t="shared" ref="AN288:AN293" si="28">PPMT($AN$32/360*(365/12),AL288,$AN$24,-$AN$23)</f>
        <v>42893.579935379377</v>
      </c>
      <c r="AO288" s="539">
        <f t="shared" ref="AO288:AO293" si="29">AM287*$AN$32/360*(365/12)</f>
        <v>23908.707865097153</v>
      </c>
      <c r="AP288" s="538">
        <f t="shared" ref="AP288:AP293" si="30">(AN288+AO288)</f>
        <v>66802.287800476537</v>
      </c>
      <c r="AQ288" s="540">
        <f>+AQ287</f>
        <v>0</v>
      </c>
      <c r="AR288" s="541">
        <f t="shared" ref="AR288:AR293" si="31">IF(AP288&lt;1,0,(AP288+AQ288))</f>
        <v>66802.287800476537</v>
      </c>
      <c r="AS288" s="541">
        <f t="shared" ref="AS288:AS293" si="32">IF(AP288&lt;1,0,(AP288+AQ288))</f>
        <v>66802.287800476537</v>
      </c>
      <c r="AT288" s="542">
        <f t="shared" ref="AT288:AT293" si="33">IF(AP288&lt;1,0,(AP288+AQ288))</f>
        <v>66802.287800476537</v>
      </c>
      <c r="AV288" s="14">
        <v>66</v>
      </c>
      <c r="AW288" s="538">
        <f t="shared" ref="AW288:AW351" si="34">+AW287-AX288</f>
        <v>10150159.060069269</v>
      </c>
      <c r="AX288" s="606">
        <f t="shared" ref="AX288:AX351" si="35">IF(AL288&lt;=24,0,PPMT($AN$32/360*(365/12),AL288-24,$AN$24-24,-$AN$23))</f>
        <v>46368.050788473498</v>
      </c>
      <c r="AY288" s="299">
        <f t="shared" ref="AY288:AY351" si="36">AW287*$AN$32/360*(365/12)</f>
        <v>25845.363857382472</v>
      </c>
      <c r="AZ288" s="538">
        <f t="shared" ref="AZ288:AZ351" si="37">(AX288+AY288)</f>
        <v>72213.41464585597</v>
      </c>
      <c r="BA288" s="540">
        <f t="shared" ref="BA288:BA351" si="38">$AR$23</f>
        <v>0</v>
      </c>
      <c r="BB288" s="541">
        <f t="shared" ref="BB288:BB351" si="39">IF(AZ288&lt;1,0,(AZ288+BA288))</f>
        <v>72213.41464585597</v>
      </c>
    </row>
    <row r="289" spans="38:54" ht="15" hidden="1" x14ac:dyDescent="0.35">
      <c r="AL289" s="14">
        <v>67</v>
      </c>
      <c r="AM289" s="538">
        <f t="shared" ref="AM289:AM293" si="40">+AM288-AN289</f>
        <v>9346580.6444189604</v>
      </c>
      <c r="AN289" s="538">
        <f t="shared" si="28"/>
        <v>43002.303245632254</v>
      </c>
      <c r="AO289" s="539">
        <f t="shared" si="29"/>
        <v>23799.984554844279</v>
      </c>
      <c r="AP289" s="538">
        <f t="shared" si="30"/>
        <v>66802.287800476537</v>
      </c>
      <c r="AQ289" s="540">
        <f t="shared" ref="AQ289:AQ293" si="41">+AQ288</f>
        <v>0</v>
      </c>
      <c r="AR289" s="541">
        <f t="shared" si="31"/>
        <v>66802.287800476537</v>
      </c>
      <c r="AS289" s="541">
        <f t="shared" si="32"/>
        <v>66802.287800476537</v>
      </c>
      <c r="AT289" s="542">
        <f t="shared" si="33"/>
        <v>66802.287800476537</v>
      </c>
      <c r="AV289" s="14">
        <v>67</v>
      </c>
      <c r="AW289" s="538">
        <f t="shared" si="34"/>
        <v>10103673.479152061</v>
      </c>
      <c r="AX289" s="606">
        <f t="shared" si="35"/>
        <v>46485.580917208179</v>
      </c>
      <c r="AY289" s="299">
        <f t="shared" si="36"/>
        <v>25727.833728647798</v>
      </c>
      <c r="AZ289" s="538">
        <f t="shared" si="37"/>
        <v>72213.414645855984</v>
      </c>
      <c r="BA289" s="540">
        <f t="shared" si="38"/>
        <v>0</v>
      </c>
      <c r="BB289" s="541">
        <f t="shared" si="39"/>
        <v>72213.414645855984</v>
      </c>
    </row>
    <row r="290" spans="38:54" ht="15" hidden="1" x14ac:dyDescent="0.35">
      <c r="AL290" s="14">
        <v>68</v>
      </c>
      <c r="AM290" s="538">
        <f t="shared" si="40"/>
        <v>9303469.3422796857</v>
      </c>
      <c r="AN290" s="538">
        <f t="shared" si="28"/>
        <v>43111.302139275693</v>
      </c>
      <c r="AO290" s="539">
        <f t="shared" si="29"/>
        <v>23690.985661200841</v>
      </c>
      <c r="AP290" s="538">
        <f t="shared" si="30"/>
        <v>66802.287800476537</v>
      </c>
      <c r="AQ290" s="540">
        <f t="shared" si="41"/>
        <v>0</v>
      </c>
      <c r="AR290" s="541">
        <f t="shared" si="31"/>
        <v>66802.287800476537</v>
      </c>
      <c r="AS290" s="541">
        <f t="shared" si="32"/>
        <v>66802.287800476537</v>
      </c>
      <c r="AT290" s="542">
        <f t="shared" si="33"/>
        <v>66802.287800476537</v>
      </c>
      <c r="AV290" s="14">
        <v>68</v>
      </c>
      <c r="AW290" s="538">
        <f t="shared" si="34"/>
        <v>10057070.070199888</v>
      </c>
      <c r="AX290" s="606">
        <f t="shared" si="35"/>
        <v>46603.408952171936</v>
      </c>
      <c r="AY290" s="299">
        <f t="shared" si="36"/>
        <v>25610.005693684045</v>
      </c>
      <c r="AZ290" s="538">
        <f t="shared" si="37"/>
        <v>72213.414645855984</v>
      </c>
      <c r="BA290" s="540">
        <f t="shared" si="38"/>
        <v>0</v>
      </c>
      <c r="BB290" s="541">
        <f t="shared" si="39"/>
        <v>72213.414645855984</v>
      </c>
    </row>
    <row r="291" spans="38:54" ht="15" hidden="1" x14ac:dyDescent="0.35">
      <c r="AL291" s="14">
        <v>69</v>
      </c>
      <c r="AM291" s="538">
        <f t="shared" si="40"/>
        <v>9260248.7649648488</v>
      </c>
      <c r="AN291" s="538">
        <f t="shared" si="28"/>
        <v>43220.57731483705</v>
      </c>
      <c r="AO291" s="539">
        <f t="shared" si="29"/>
        <v>23581.71048563948</v>
      </c>
      <c r="AP291" s="538">
        <f t="shared" si="30"/>
        <v>66802.287800476537</v>
      </c>
      <c r="AQ291" s="540">
        <f t="shared" si="41"/>
        <v>0</v>
      </c>
      <c r="AR291" s="541">
        <f t="shared" si="31"/>
        <v>66802.287800476537</v>
      </c>
      <c r="AS291" s="541">
        <f t="shared" si="32"/>
        <v>66802.287800476537</v>
      </c>
      <c r="AT291" s="542">
        <f t="shared" si="33"/>
        <v>66802.287800476537</v>
      </c>
      <c r="AV291" s="14">
        <v>69</v>
      </c>
      <c r="AW291" s="538">
        <f t="shared" si="34"/>
        <v>10010348.534551414</v>
      </c>
      <c r="AX291" s="606">
        <f t="shared" si="35"/>
        <v>46721.53564847431</v>
      </c>
      <c r="AY291" s="299">
        <f t="shared" si="36"/>
        <v>25491.87899738166</v>
      </c>
      <c r="AZ291" s="538">
        <f t="shared" si="37"/>
        <v>72213.41464585597</v>
      </c>
      <c r="BA291" s="540">
        <f t="shared" si="38"/>
        <v>0</v>
      </c>
      <c r="BB291" s="541">
        <f t="shared" si="39"/>
        <v>72213.41464585597</v>
      </c>
    </row>
    <row r="292" spans="38:54" ht="15" hidden="1" x14ac:dyDescent="0.35">
      <c r="AL292" s="14">
        <v>70</v>
      </c>
      <c r="AM292" s="538">
        <f t="shared" si="40"/>
        <v>9216918.6354922354</v>
      </c>
      <c r="AN292" s="538">
        <f t="shared" si="28"/>
        <v>43330.129472614237</v>
      </c>
      <c r="AO292" s="539">
        <f t="shared" si="29"/>
        <v>23472.158327862289</v>
      </c>
      <c r="AP292" s="538">
        <f t="shared" si="30"/>
        <v>66802.287800476523</v>
      </c>
      <c r="AQ292" s="540">
        <f t="shared" si="41"/>
        <v>0</v>
      </c>
      <c r="AR292" s="541">
        <f t="shared" si="31"/>
        <v>66802.287800476523</v>
      </c>
      <c r="AS292" s="541">
        <f t="shared" si="32"/>
        <v>66802.287800476523</v>
      </c>
      <c r="AT292" s="542">
        <f t="shared" si="33"/>
        <v>66802.287800476523</v>
      </c>
      <c r="AV292" s="14">
        <v>70</v>
      </c>
      <c r="AW292" s="538">
        <f t="shared" si="34"/>
        <v>9963508.5727882758</v>
      </c>
      <c r="AX292" s="606">
        <f t="shared" si="35"/>
        <v>46839.961763138854</v>
      </c>
      <c r="AY292" s="299">
        <f t="shared" si="36"/>
        <v>25373.452882717127</v>
      </c>
      <c r="AZ292" s="538">
        <f t="shared" si="37"/>
        <v>72213.414645855984</v>
      </c>
      <c r="BA292" s="540">
        <f t="shared" si="38"/>
        <v>0</v>
      </c>
      <c r="BB292" s="541">
        <f t="shared" si="39"/>
        <v>72213.414645855984</v>
      </c>
    </row>
    <row r="293" spans="38:54" ht="15" hidden="1" x14ac:dyDescent="0.35">
      <c r="AL293" s="14">
        <v>71</v>
      </c>
      <c r="AM293" s="538">
        <f t="shared" si="40"/>
        <v>9173478.6761775557</v>
      </c>
      <c r="AN293" s="538">
        <f t="shared" si="28"/>
        <v>43439.959314680236</v>
      </c>
      <c r="AO293" s="539">
        <f t="shared" si="29"/>
        <v>23362.32848579629</v>
      </c>
      <c r="AP293" s="538">
        <f t="shared" si="30"/>
        <v>66802.287800476523</v>
      </c>
      <c r="AQ293" s="540">
        <f t="shared" si="41"/>
        <v>0</v>
      </c>
      <c r="AR293" s="541">
        <f t="shared" si="31"/>
        <v>66802.287800476523</v>
      </c>
      <c r="AS293" s="541">
        <f t="shared" si="32"/>
        <v>66802.287800476523</v>
      </c>
      <c r="AT293" s="542">
        <f t="shared" si="33"/>
        <v>66802.287800476523</v>
      </c>
      <c r="AV293" s="14">
        <v>71</v>
      </c>
      <c r="AW293" s="538">
        <f t="shared" si="34"/>
        <v>9916549.8847331684</v>
      </c>
      <c r="AX293" s="606">
        <f t="shared" si="35"/>
        <v>46958.688055107908</v>
      </c>
      <c r="AY293" s="299">
        <f t="shared" si="36"/>
        <v>25254.726590748058</v>
      </c>
      <c r="AZ293" s="538">
        <f t="shared" si="37"/>
        <v>72213.41464585597</v>
      </c>
      <c r="BA293" s="540">
        <f t="shared" si="38"/>
        <v>0</v>
      </c>
      <c r="BB293" s="541">
        <f t="shared" si="39"/>
        <v>72213.41464585597</v>
      </c>
    </row>
    <row r="294" spans="38:54" ht="15" hidden="1" x14ac:dyDescent="0.35">
      <c r="AL294" s="14">
        <v>72</v>
      </c>
      <c r="AM294" s="538">
        <f t="shared" ref="AM294:AM312" si="42">+AM293-AN294</f>
        <v>9129928.6086326689</v>
      </c>
      <c r="AN294" s="538">
        <f t="shared" ref="AN294:AN319" si="43">PPMT($AN$32/360*(365/12),AL294,$AN$24,-$AN$23)</f>
        <v>43550.067544887585</v>
      </c>
      <c r="AO294" s="539">
        <f t="shared" ref="AO294:AO312" si="44">AM293*$AN$32/360*(365/12)</f>
        <v>23252.220255588945</v>
      </c>
      <c r="AP294" s="538">
        <f t="shared" ref="AP294:AP319" si="45">(AN294+AO294)</f>
        <v>66802.287800476537</v>
      </c>
      <c r="AQ294" s="540">
        <f t="shared" ref="AQ294:AQ312" si="46">+AQ293</f>
        <v>0</v>
      </c>
      <c r="AR294" s="541">
        <f t="shared" ref="AR294:AR311" si="47">IF(AP294&lt;1,0,(AP294+AQ294))</f>
        <v>66802.287800476537</v>
      </c>
      <c r="AS294" s="541">
        <f t="shared" ref="AS294:AS311" si="48">IF(AP294&lt;1,0,(AP294+AQ294))</f>
        <v>66802.287800476537</v>
      </c>
      <c r="AT294" s="542">
        <f t="shared" ref="AT294:AT319" si="49">IF(AP294&lt;1,0,(AP294+AQ294))</f>
        <v>66802.287800476537</v>
      </c>
      <c r="AV294" s="14">
        <v>72</v>
      </c>
      <c r="AW294" s="538">
        <f t="shared" si="34"/>
        <v>9869472.1694479212</v>
      </c>
      <c r="AX294" s="606">
        <f t="shared" si="35"/>
        <v>47077.715285247599</v>
      </c>
      <c r="AY294" s="299">
        <f t="shared" si="36"/>
        <v>25135.699360608378</v>
      </c>
      <c r="AZ294" s="538">
        <f t="shared" si="37"/>
        <v>72213.414645855984</v>
      </c>
      <c r="BA294" s="540">
        <f t="shared" si="38"/>
        <v>0</v>
      </c>
      <c r="BB294" s="541">
        <f t="shared" si="39"/>
        <v>72213.414645855984</v>
      </c>
    </row>
    <row r="295" spans="38:54" ht="15" hidden="1" x14ac:dyDescent="0.35">
      <c r="AL295" s="14">
        <v>73</v>
      </c>
      <c r="AM295" s="538">
        <f t="shared" si="42"/>
        <v>9086268.1537637953</v>
      </c>
      <c r="AN295" s="538">
        <f t="shared" si="43"/>
        <v>43660.454868872897</v>
      </c>
      <c r="AO295" s="539">
        <f t="shared" si="44"/>
        <v>23141.83293160364</v>
      </c>
      <c r="AP295" s="538">
        <f t="shared" si="45"/>
        <v>66802.287800476537</v>
      </c>
      <c r="AQ295" s="540">
        <f t="shared" si="46"/>
        <v>0</v>
      </c>
      <c r="AR295" s="541">
        <f t="shared" si="47"/>
        <v>66802.287800476537</v>
      </c>
      <c r="AS295" s="541">
        <f t="shared" si="48"/>
        <v>66802.287800476537</v>
      </c>
      <c r="AT295" s="542">
        <f t="shared" si="49"/>
        <v>66802.287800476537</v>
      </c>
      <c r="AV295" s="14">
        <v>73</v>
      </c>
      <c r="AW295" s="538">
        <f t="shared" si="34"/>
        <v>9822275.1252315678</v>
      </c>
      <c r="AX295" s="606">
        <f t="shared" si="35"/>
        <v>47197.044216352573</v>
      </c>
      <c r="AY295" s="299">
        <f t="shared" si="36"/>
        <v>25016.370429503415</v>
      </c>
      <c r="AZ295" s="538">
        <f t="shared" si="37"/>
        <v>72213.414645855984</v>
      </c>
      <c r="BA295" s="540">
        <f t="shared" si="38"/>
        <v>0</v>
      </c>
      <c r="BB295" s="541">
        <f t="shared" si="39"/>
        <v>72213.414645855984</v>
      </c>
    </row>
    <row r="296" spans="38:54" ht="15" hidden="1" x14ac:dyDescent="0.35">
      <c r="AL296" s="14">
        <v>74</v>
      </c>
      <c r="AM296" s="538">
        <f t="shared" si="42"/>
        <v>9042497.0317697339</v>
      </c>
      <c r="AN296" s="538">
        <f t="shared" si="43"/>
        <v>43771.121994061352</v>
      </c>
      <c r="AO296" s="539">
        <f t="shared" si="44"/>
        <v>23031.165806415174</v>
      </c>
      <c r="AP296" s="538">
        <f t="shared" si="45"/>
        <v>66802.287800476523</v>
      </c>
      <c r="AQ296" s="540">
        <f t="shared" si="46"/>
        <v>0</v>
      </c>
      <c r="AR296" s="541">
        <f t="shared" si="47"/>
        <v>66802.287800476523</v>
      </c>
      <c r="AS296" s="541">
        <f t="shared" si="48"/>
        <v>66802.287800476523</v>
      </c>
      <c r="AT296" s="542">
        <f t="shared" si="49"/>
        <v>66802.287800476523</v>
      </c>
      <c r="AV296" s="14">
        <v>74</v>
      </c>
      <c r="AW296" s="538">
        <f t="shared" si="34"/>
        <v>9774958.4496184159</v>
      </c>
      <c r="AX296" s="606">
        <f t="shared" si="35"/>
        <v>47316.675613150954</v>
      </c>
      <c r="AY296" s="299">
        <f t="shared" si="36"/>
        <v>24896.739032705013</v>
      </c>
      <c r="AZ296" s="538">
        <f t="shared" si="37"/>
        <v>72213.41464585597</v>
      </c>
      <c r="BA296" s="540">
        <f t="shared" si="38"/>
        <v>0</v>
      </c>
      <c r="BB296" s="541">
        <f t="shared" si="39"/>
        <v>72213.41464585597</v>
      </c>
    </row>
    <row r="297" spans="38:54" ht="15" hidden="1" x14ac:dyDescent="0.35">
      <c r="AL297" s="14">
        <v>75</v>
      </c>
      <c r="AM297" s="538">
        <f t="shared" si="42"/>
        <v>8998614.9621400628</v>
      </c>
      <c r="AN297" s="538">
        <f t="shared" si="43"/>
        <v>43882.069629671307</v>
      </c>
      <c r="AO297" s="539">
        <f t="shared" si="44"/>
        <v>22920.218170805227</v>
      </c>
      <c r="AP297" s="538">
        <f t="shared" si="45"/>
        <v>66802.287800476537</v>
      </c>
      <c r="AQ297" s="540">
        <f t="shared" si="46"/>
        <v>0</v>
      </c>
      <c r="AR297" s="541">
        <f t="shared" si="47"/>
        <v>66802.287800476537</v>
      </c>
      <c r="AS297" s="541">
        <f t="shared" si="48"/>
        <v>66802.287800476537</v>
      </c>
      <c r="AT297" s="542">
        <f t="shared" si="49"/>
        <v>66802.287800476537</v>
      </c>
      <c r="AV297" s="14">
        <v>75</v>
      </c>
      <c r="AW297" s="538">
        <f t="shared" si="34"/>
        <v>9727521.8393761069</v>
      </c>
      <c r="AX297" s="606">
        <f t="shared" si="35"/>
        <v>47436.610242309296</v>
      </c>
      <c r="AY297" s="299">
        <f t="shared" si="36"/>
        <v>24776.804403546681</v>
      </c>
      <c r="AZ297" s="538">
        <f t="shared" si="37"/>
        <v>72213.414645855984</v>
      </c>
      <c r="BA297" s="540">
        <f t="shared" si="38"/>
        <v>0</v>
      </c>
      <c r="BB297" s="541">
        <f t="shared" si="39"/>
        <v>72213.414645855984</v>
      </c>
    </row>
    <row r="298" spans="38:54" ht="15" hidden="1" x14ac:dyDescent="0.35">
      <c r="AL298" s="14">
        <v>76</v>
      </c>
      <c r="AM298" s="538">
        <f t="shared" si="42"/>
        <v>8954621.6636533439</v>
      </c>
      <c r="AN298" s="538">
        <f t="shared" si="43"/>
        <v>43993.298486718741</v>
      </c>
      <c r="AO298" s="539">
        <f t="shared" si="44"/>
        <v>22808.9893137578</v>
      </c>
      <c r="AP298" s="538">
        <f t="shared" si="45"/>
        <v>66802.287800476537</v>
      </c>
      <c r="AQ298" s="540">
        <f t="shared" si="46"/>
        <v>0</v>
      </c>
      <c r="AR298" s="541">
        <f t="shared" si="47"/>
        <v>66802.287800476537</v>
      </c>
      <c r="AS298" s="541">
        <f t="shared" si="48"/>
        <v>66802.287800476537</v>
      </c>
      <c r="AT298" s="542">
        <f t="shared" si="49"/>
        <v>66802.287800476537</v>
      </c>
      <c r="AV298" s="14">
        <v>76</v>
      </c>
      <c r="AW298" s="538">
        <f t="shared" si="34"/>
        <v>9679964.9905036688</v>
      </c>
      <c r="AX298" s="606">
        <f t="shared" si="35"/>
        <v>47556.848872437367</v>
      </c>
      <c r="AY298" s="299">
        <f t="shared" si="36"/>
        <v>24656.565773418606</v>
      </c>
      <c r="AZ298" s="538">
        <f t="shared" si="37"/>
        <v>72213.41464585597</v>
      </c>
      <c r="BA298" s="540">
        <f t="shared" si="38"/>
        <v>0</v>
      </c>
      <c r="BB298" s="541">
        <f t="shared" si="39"/>
        <v>72213.41464585597</v>
      </c>
    </row>
    <row r="299" spans="38:54" ht="15" hidden="1" x14ac:dyDescent="0.35">
      <c r="AL299" s="14">
        <v>77</v>
      </c>
      <c r="AM299" s="538">
        <f t="shared" si="42"/>
        <v>8910516.8543753214</v>
      </c>
      <c r="AN299" s="538">
        <f t="shared" si="43"/>
        <v>44104.809278021879</v>
      </c>
      <c r="AO299" s="539">
        <f t="shared" si="44"/>
        <v>22697.478522454658</v>
      </c>
      <c r="AP299" s="538">
        <f t="shared" si="45"/>
        <v>66802.287800476537</v>
      </c>
      <c r="AQ299" s="540">
        <f t="shared" si="46"/>
        <v>0</v>
      </c>
      <c r="AR299" s="541">
        <f t="shared" si="47"/>
        <v>66802.287800476537</v>
      </c>
      <c r="AS299" s="541">
        <f t="shared" si="48"/>
        <v>66802.287800476537</v>
      </c>
      <c r="AT299" s="542">
        <f t="shared" si="49"/>
        <v>66802.287800476537</v>
      </c>
      <c r="AV299" s="14">
        <v>77</v>
      </c>
      <c r="AW299" s="538">
        <f t="shared" si="34"/>
        <v>9632287.5982295759</v>
      </c>
      <c r="AX299" s="606">
        <f t="shared" si="35"/>
        <v>47677.392274093203</v>
      </c>
      <c r="AY299" s="299">
        <f t="shared" si="36"/>
        <v>24536.02237176277</v>
      </c>
      <c r="AZ299" s="538">
        <f t="shared" si="37"/>
        <v>72213.41464585597</v>
      </c>
      <c r="BA299" s="540">
        <f t="shared" si="38"/>
        <v>0</v>
      </c>
      <c r="BB299" s="541">
        <f t="shared" si="39"/>
        <v>72213.41464585597</v>
      </c>
    </row>
    <row r="300" spans="38:54" ht="15" hidden="1" x14ac:dyDescent="0.35">
      <c r="AL300" s="14">
        <v>78</v>
      </c>
      <c r="AM300" s="538">
        <f t="shared" si="42"/>
        <v>8866300.2516571153</v>
      </c>
      <c r="AN300" s="538">
        <f t="shared" si="43"/>
        <v>44216.602718205751</v>
      </c>
      <c r="AO300" s="539">
        <f t="shared" si="44"/>
        <v>22585.685082270782</v>
      </c>
      <c r="AP300" s="538">
        <f t="shared" si="45"/>
        <v>66802.287800476537</v>
      </c>
      <c r="AQ300" s="540">
        <f t="shared" si="46"/>
        <v>0</v>
      </c>
      <c r="AR300" s="541">
        <f t="shared" si="47"/>
        <v>66802.287800476537</v>
      </c>
      <c r="AS300" s="541">
        <f t="shared" si="48"/>
        <v>66802.287800476537</v>
      </c>
      <c r="AT300" s="542">
        <f t="shared" si="49"/>
        <v>66802.287800476537</v>
      </c>
      <c r="AV300" s="14">
        <v>78</v>
      </c>
      <c r="AW300" s="538">
        <f t="shared" si="34"/>
        <v>9584489.3570097871</v>
      </c>
      <c r="AX300" s="606">
        <f t="shared" si="35"/>
        <v>47798.241219787946</v>
      </c>
      <c r="AY300" s="299">
        <f t="shared" si="36"/>
        <v>24415.173426068024</v>
      </c>
      <c r="AZ300" s="538">
        <f t="shared" si="37"/>
        <v>72213.41464585597</v>
      </c>
      <c r="BA300" s="540">
        <f t="shared" si="38"/>
        <v>0</v>
      </c>
      <c r="BB300" s="541">
        <f t="shared" si="39"/>
        <v>72213.41464585597</v>
      </c>
    </row>
    <row r="301" spans="38:54" ht="15" hidden="1" x14ac:dyDescent="0.35">
      <c r="AL301" s="14">
        <v>79</v>
      </c>
      <c r="AM301" s="538">
        <f t="shared" si="42"/>
        <v>8821971.5721334089</v>
      </c>
      <c r="AN301" s="538">
        <f t="shared" si="43"/>
        <v>44328.679523706771</v>
      </c>
      <c r="AO301" s="539">
        <f t="shared" si="44"/>
        <v>22473.60827676977</v>
      </c>
      <c r="AP301" s="538">
        <f t="shared" si="45"/>
        <v>66802.287800476537</v>
      </c>
      <c r="AQ301" s="540">
        <f t="shared" si="46"/>
        <v>0</v>
      </c>
      <c r="AR301" s="541">
        <f t="shared" si="47"/>
        <v>66802.287800476537</v>
      </c>
      <c r="AS301" s="541">
        <f t="shared" si="48"/>
        <v>66802.287800476537</v>
      </c>
      <c r="AT301" s="542">
        <f t="shared" si="49"/>
        <v>66802.287800476537</v>
      </c>
      <c r="AV301" s="14">
        <v>79</v>
      </c>
      <c r="AW301" s="538">
        <f t="shared" si="34"/>
        <v>9536569.9605257958</v>
      </c>
      <c r="AX301" s="606">
        <f t="shared" si="35"/>
        <v>47919.396483990888</v>
      </c>
      <c r="AY301" s="299">
        <f t="shared" si="36"/>
        <v>24294.018161865082</v>
      </c>
      <c r="AZ301" s="538">
        <f t="shared" si="37"/>
        <v>72213.41464585597</v>
      </c>
      <c r="BA301" s="540">
        <f t="shared" si="38"/>
        <v>0</v>
      </c>
      <c r="BB301" s="541">
        <f t="shared" si="39"/>
        <v>72213.41464585597</v>
      </c>
    </row>
    <row r="302" spans="38:54" ht="15" hidden="1" x14ac:dyDescent="0.35">
      <c r="AL302" s="14">
        <v>80</v>
      </c>
      <c r="AM302" s="538">
        <f t="shared" si="42"/>
        <v>8777530.5317206308</v>
      </c>
      <c r="AN302" s="538">
        <f t="shared" si="43"/>
        <v>44441.040412777264</v>
      </c>
      <c r="AO302" s="539">
        <f t="shared" si="44"/>
        <v>22361.247387699266</v>
      </c>
      <c r="AP302" s="538">
        <f t="shared" si="45"/>
        <v>66802.287800476537</v>
      </c>
      <c r="AQ302" s="540">
        <f t="shared" si="46"/>
        <v>0</v>
      </c>
      <c r="AR302" s="541">
        <f t="shared" si="47"/>
        <v>66802.287800476537</v>
      </c>
      <c r="AS302" s="541">
        <f t="shared" si="48"/>
        <v>66802.287800476537</v>
      </c>
      <c r="AT302" s="542">
        <f t="shared" si="49"/>
        <v>66802.287800476537</v>
      </c>
      <c r="AV302" s="14">
        <v>80</v>
      </c>
      <c r="AW302" s="538">
        <f t="shared" si="34"/>
        <v>9488529.1016826611</v>
      </c>
      <c r="AX302" s="606">
        <f t="shared" si="35"/>
        <v>48040.858843134323</v>
      </c>
      <c r="AY302" s="299">
        <f t="shared" si="36"/>
        <v>24172.555802721636</v>
      </c>
      <c r="AZ302" s="538">
        <f t="shared" si="37"/>
        <v>72213.414645855955</v>
      </c>
      <c r="BA302" s="540">
        <f t="shared" si="38"/>
        <v>0</v>
      </c>
      <c r="BB302" s="541">
        <f t="shared" si="39"/>
        <v>72213.414645855955</v>
      </c>
    </row>
    <row r="303" spans="38:54" ht="15" hidden="1" x14ac:dyDescent="0.35">
      <c r="AL303" s="14">
        <v>81</v>
      </c>
      <c r="AM303" s="538">
        <f t="shared" si="42"/>
        <v>8732976.8456151411</v>
      </c>
      <c r="AN303" s="538">
        <f t="shared" si="43"/>
        <v>44553.686105490211</v>
      </c>
      <c r="AO303" s="539">
        <f t="shared" si="44"/>
        <v>22248.601694986322</v>
      </c>
      <c r="AP303" s="538">
        <f t="shared" si="45"/>
        <v>66802.287800476537</v>
      </c>
      <c r="AQ303" s="540">
        <f t="shared" si="46"/>
        <v>0</v>
      </c>
      <c r="AR303" s="541">
        <f t="shared" si="47"/>
        <v>66802.287800476537</v>
      </c>
      <c r="AS303" s="541">
        <f t="shared" si="48"/>
        <v>66802.287800476537</v>
      </c>
      <c r="AT303" s="542">
        <f t="shared" si="49"/>
        <v>66802.287800476537</v>
      </c>
      <c r="AV303" s="14">
        <v>81</v>
      </c>
      <c r="AW303" s="538">
        <f t="shared" si="34"/>
        <v>9440366.4726070426</v>
      </c>
      <c r="AX303" s="606">
        <f t="shared" si="35"/>
        <v>48162.629075618679</v>
      </c>
      <c r="AY303" s="299">
        <f t="shared" si="36"/>
        <v>24050.785570237298</v>
      </c>
      <c r="AZ303" s="538">
        <f t="shared" si="37"/>
        <v>72213.414645855984</v>
      </c>
      <c r="BA303" s="540">
        <f t="shared" si="38"/>
        <v>0</v>
      </c>
      <c r="BB303" s="541">
        <f t="shared" si="39"/>
        <v>72213.414645855984</v>
      </c>
    </row>
    <row r="304" spans="38:54" ht="15" hidden="1" x14ac:dyDescent="0.35">
      <c r="AL304" s="14">
        <v>82</v>
      </c>
      <c r="AM304" s="538">
        <f t="shared" si="42"/>
        <v>8688310.2282913979</v>
      </c>
      <c r="AN304" s="538">
        <f t="shared" si="43"/>
        <v>44666.617323743703</v>
      </c>
      <c r="AO304" s="539">
        <f t="shared" si="44"/>
        <v>22135.670476732823</v>
      </c>
      <c r="AP304" s="538">
        <f t="shared" si="45"/>
        <v>66802.287800476523</v>
      </c>
      <c r="AQ304" s="540">
        <f t="shared" si="46"/>
        <v>0</v>
      </c>
      <c r="AR304" s="541">
        <f t="shared" si="47"/>
        <v>66802.287800476523</v>
      </c>
      <c r="AS304" s="541">
        <f t="shared" si="48"/>
        <v>66802.287800476523</v>
      </c>
      <c r="AT304" s="542">
        <f t="shared" si="49"/>
        <v>66802.287800476523</v>
      </c>
      <c r="AV304" s="14">
        <v>82</v>
      </c>
      <c r="AW304" s="538">
        <f t="shared" si="34"/>
        <v>9392081.7646452244</v>
      </c>
      <c r="AX304" s="606">
        <f t="shared" si="35"/>
        <v>48284.707961817279</v>
      </c>
      <c r="AY304" s="299">
        <f t="shared" si="36"/>
        <v>23928.706684038683</v>
      </c>
      <c r="AZ304" s="538">
        <f t="shared" si="37"/>
        <v>72213.414645855955</v>
      </c>
      <c r="BA304" s="540">
        <f t="shared" si="38"/>
        <v>0</v>
      </c>
      <c r="BB304" s="541">
        <f t="shared" si="39"/>
        <v>72213.414645855955</v>
      </c>
    </row>
    <row r="305" spans="38:54" ht="15" hidden="1" x14ac:dyDescent="0.35">
      <c r="AL305" s="14">
        <v>83</v>
      </c>
      <c r="AM305" s="538">
        <f t="shared" si="42"/>
        <v>8643530.3935001325</v>
      </c>
      <c r="AN305" s="538">
        <f t="shared" si="43"/>
        <v>44779.834791265697</v>
      </c>
      <c r="AO305" s="539">
        <f t="shared" si="44"/>
        <v>22022.453009210836</v>
      </c>
      <c r="AP305" s="538">
        <f t="shared" si="45"/>
        <v>66802.287800476537</v>
      </c>
      <c r="AQ305" s="540">
        <f t="shared" si="46"/>
        <v>0</v>
      </c>
      <c r="AR305" s="541">
        <f t="shared" si="47"/>
        <v>66802.287800476537</v>
      </c>
      <c r="AS305" s="541">
        <f t="shared" si="48"/>
        <v>66802.287800476537</v>
      </c>
      <c r="AT305" s="542">
        <f t="shared" si="49"/>
        <v>66802.287800476537</v>
      </c>
      <c r="AV305" s="14">
        <v>83</v>
      </c>
      <c r="AW305" s="538">
        <f t="shared" si="34"/>
        <v>9343674.6683611423</v>
      </c>
      <c r="AX305" s="606">
        <f t="shared" si="35"/>
        <v>48407.096284081614</v>
      </c>
      <c r="AY305" s="299">
        <f t="shared" si="36"/>
        <v>23806.318361774353</v>
      </c>
      <c r="AZ305" s="538">
        <f t="shared" si="37"/>
        <v>72213.41464585597</v>
      </c>
      <c r="BA305" s="540">
        <f t="shared" si="38"/>
        <v>0</v>
      </c>
      <c r="BB305" s="541">
        <f t="shared" si="39"/>
        <v>72213.41464585597</v>
      </c>
    </row>
    <row r="306" spans="38:54" ht="15" hidden="1" x14ac:dyDescent="0.35">
      <c r="AL306" s="14">
        <v>84</v>
      </c>
      <c r="AM306" s="538">
        <f t="shared" si="42"/>
        <v>8598637.0542665143</v>
      </c>
      <c r="AN306" s="538">
        <f t="shared" si="43"/>
        <v>44893.339233618564</v>
      </c>
      <c r="AO306" s="539">
        <f t="shared" si="44"/>
        <v>21908.948566857973</v>
      </c>
      <c r="AP306" s="538">
        <f t="shared" si="45"/>
        <v>66802.287800476537</v>
      </c>
      <c r="AQ306" s="540">
        <f t="shared" si="46"/>
        <v>0</v>
      </c>
      <c r="AR306" s="541">
        <f t="shared" si="47"/>
        <v>66802.287800476537</v>
      </c>
      <c r="AS306" s="541">
        <f t="shared" si="48"/>
        <v>66802.287800476537</v>
      </c>
      <c r="AT306" s="542">
        <f t="shared" si="49"/>
        <v>66802.287800476537</v>
      </c>
      <c r="AV306" s="14">
        <v>84</v>
      </c>
      <c r="AW306" s="538">
        <f t="shared" si="34"/>
        <v>9295144.8735343963</v>
      </c>
      <c r="AX306" s="606">
        <f t="shared" si="35"/>
        <v>48529.794826746132</v>
      </c>
      <c r="AY306" s="299">
        <f t="shared" si="36"/>
        <v>23683.619819109841</v>
      </c>
      <c r="AZ306" s="538">
        <f t="shared" si="37"/>
        <v>72213.41464585597</v>
      </c>
      <c r="BA306" s="540">
        <f t="shared" si="38"/>
        <v>0</v>
      </c>
      <c r="BB306" s="541">
        <f t="shared" si="39"/>
        <v>72213.41464585597</v>
      </c>
    </row>
    <row r="307" spans="38:54" ht="15" hidden="1" x14ac:dyDescent="0.35">
      <c r="AL307" s="14">
        <v>85</v>
      </c>
      <c r="AM307" s="538">
        <f t="shared" si="42"/>
        <v>8553629.9228883106</v>
      </c>
      <c r="AN307" s="538">
        <f t="shared" si="43"/>
        <v>45007.131378203769</v>
      </c>
      <c r="AO307" s="539">
        <f t="shared" si="44"/>
        <v>21795.156422272761</v>
      </c>
      <c r="AP307" s="538">
        <f t="shared" si="45"/>
        <v>66802.287800476537</v>
      </c>
      <c r="AQ307" s="540">
        <f t="shared" si="46"/>
        <v>0</v>
      </c>
      <c r="AR307" s="541">
        <f t="shared" si="47"/>
        <v>66802.287800476537</v>
      </c>
      <c r="AS307" s="541">
        <f t="shared" si="48"/>
        <v>66802.287800476537</v>
      </c>
      <c r="AT307" s="542">
        <f t="shared" si="49"/>
        <v>66802.287800476537</v>
      </c>
      <c r="AV307" s="14">
        <v>85</v>
      </c>
      <c r="AW307" s="538">
        <f t="shared" si="34"/>
        <v>9246492.0691582635</v>
      </c>
      <c r="AX307" s="606">
        <f t="shared" si="35"/>
        <v>48652.804376133361</v>
      </c>
      <c r="AY307" s="299">
        <f t="shared" si="36"/>
        <v>23560.610269722598</v>
      </c>
      <c r="AZ307" s="538">
        <f t="shared" si="37"/>
        <v>72213.414645855955</v>
      </c>
      <c r="BA307" s="540">
        <f t="shared" si="38"/>
        <v>0</v>
      </c>
      <c r="BB307" s="541">
        <f t="shared" si="39"/>
        <v>72213.414645855955</v>
      </c>
    </row>
    <row r="308" spans="38:54" ht="15" hidden="1" x14ac:dyDescent="0.35">
      <c r="AL308" s="14">
        <v>86</v>
      </c>
      <c r="AM308" s="538">
        <f t="shared" si="42"/>
        <v>8508508.7109340448</v>
      </c>
      <c r="AN308" s="538">
        <f t="shared" si="43"/>
        <v>45121.211954266582</v>
      </c>
      <c r="AO308" s="539">
        <f t="shared" si="44"/>
        <v>21681.075846209955</v>
      </c>
      <c r="AP308" s="538">
        <f t="shared" si="45"/>
        <v>66802.287800476537</v>
      </c>
      <c r="AQ308" s="540">
        <f t="shared" si="46"/>
        <v>0</v>
      </c>
      <c r="AR308" s="541">
        <f t="shared" si="47"/>
        <v>66802.287800476537</v>
      </c>
      <c r="AS308" s="541">
        <f t="shared" si="48"/>
        <v>66802.287800476537</v>
      </c>
      <c r="AT308" s="542">
        <f t="shared" si="49"/>
        <v>66802.287800476537</v>
      </c>
      <c r="AV308" s="14">
        <v>86</v>
      </c>
      <c r="AW308" s="538">
        <f t="shared" si="34"/>
        <v>9197715.9434377048</v>
      </c>
      <c r="AX308" s="606">
        <f t="shared" si="35"/>
        <v>48776.125720558986</v>
      </c>
      <c r="AY308" s="299">
        <f t="shared" si="36"/>
        <v>23437.288925296987</v>
      </c>
      <c r="AZ308" s="538">
        <f t="shared" si="37"/>
        <v>72213.41464585597</v>
      </c>
      <c r="BA308" s="540">
        <f t="shared" si="38"/>
        <v>0</v>
      </c>
      <c r="BB308" s="541">
        <f t="shared" si="39"/>
        <v>72213.41464585597</v>
      </c>
    </row>
    <row r="309" spans="38:54" ht="15" hidden="1" x14ac:dyDescent="0.35">
      <c r="AL309" s="14">
        <v>87</v>
      </c>
      <c r="AM309" s="538">
        <f t="shared" si="42"/>
        <v>8463273.1292411443</v>
      </c>
      <c r="AN309" s="538">
        <f t="shared" si="43"/>
        <v>45235.581692900661</v>
      </c>
      <c r="AO309" s="539">
        <f t="shared" si="44"/>
        <v>21566.706107575879</v>
      </c>
      <c r="AP309" s="538">
        <f t="shared" si="45"/>
        <v>66802.287800476537</v>
      </c>
      <c r="AQ309" s="540">
        <f t="shared" si="46"/>
        <v>0</v>
      </c>
      <c r="AR309" s="541">
        <f t="shared" si="47"/>
        <v>66802.287800476537</v>
      </c>
      <c r="AS309" s="541">
        <f t="shared" si="48"/>
        <v>66802.287800476537</v>
      </c>
      <c r="AT309" s="542">
        <f t="shared" si="49"/>
        <v>66802.287800476537</v>
      </c>
      <c r="AV309" s="14">
        <v>87</v>
      </c>
      <c r="AW309" s="538">
        <f t="shared" si="34"/>
        <v>9148816.1837873682</v>
      </c>
      <c r="AX309" s="606">
        <f t="shared" si="35"/>
        <v>48899.759650336782</v>
      </c>
      <c r="AY309" s="299">
        <f t="shared" si="36"/>
        <v>23313.65499551918</v>
      </c>
      <c r="AZ309" s="538">
        <f t="shared" si="37"/>
        <v>72213.414645855955</v>
      </c>
      <c r="BA309" s="540">
        <f t="shared" si="38"/>
        <v>0</v>
      </c>
      <c r="BB309" s="541">
        <f t="shared" si="39"/>
        <v>72213.414645855955</v>
      </c>
    </row>
    <row r="310" spans="38:54" ht="15" hidden="1" x14ac:dyDescent="0.35">
      <c r="AL310" s="14">
        <v>88</v>
      </c>
      <c r="AM310" s="538">
        <f t="shared" si="42"/>
        <v>8417922.8879140913</v>
      </c>
      <c r="AN310" s="538">
        <f t="shared" si="43"/>
        <v>45350.241327052805</v>
      </c>
      <c r="AO310" s="539">
        <f t="shared" si="44"/>
        <v>21452.046473423736</v>
      </c>
      <c r="AP310" s="538">
        <f t="shared" si="45"/>
        <v>66802.287800476537</v>
      </c>
      <c r="AQ310" s="540">
        <f t="shared" si="46"/>
        <v>0</v>
      </c>
      <c r="AR310" s="541">
        <f t="shared" si="47"/>
        <v>66802.287800476537</v>
      </c>
      <c r="AS310" s="541">
        <f t="shared" si="48"/>
        <v>66802.287800476537</v>
      </c>
      <c r="AT310" s="542">
        <f t="shared" si="49"/>
        <v>66802.287800476537</v>
      </c>
      <c r="AV310" s="14">
        <v>88</v>
      </c>
      <c r="AW310" s="538">
        <f t="shared" si="34"/>
        <v>9099792.4768295847</v>
      </c>
      <c r="AX310" s="606">
        <f t="shared" si="35"/>
        <v>49023.706957783812</v>
      </c>
      <c r="AY310" s="299">
        <f t="shared" si="36"/>
        <v>23189.707688072147</v>
      </c>
      <c r="AZ310" s="538">
        <f t="shared" si="37"/>
        <v>72213.414645855955</v>
      </c>
      <c r="BA310" s="540">
        <f t="shared" si="38"/>
        <v>0</v>
      </c>
      <c r="BB310" s="541">
        <f t="shared" si="39"/>
        <v>72213.414645855955</v>
      </c>
    </row>
    <row r="311" spans="38:54" ht="15" hidden="1" x14ac:dyDescent="0.35">
      <c r="AL311" s="14">
        <v>89</v>
      </c>
      <c r="AM311" s="538">
        <f t="shared" si="42"/>
        <v>8372457.696322564</v>
      </c>
      <c r="AN311" s="538">
        <f t="shared" si="43"/>
        <v>45465.191591527626</v>
      </c>
      <c r="AO311" s="539">
        <f t="shared" si="44"/>
        <v>21337.096208948915</v>
      </c>
      <c r="AP311" s="538">
        <f t="shared" si="45"/>
        <v>66802.287800476537</v>
      </c>
      <c r="AQ311" s="540">
        <f t="shared" si="46"/>
        <v>0</v>
      </c>
      <c r="AR311" s="541">
        <f t="shared" si="47"/>
        <v>66802.287800476537</v>
      </c>
      <c r="AS311" s="541">
        <f t="shared" si="48"/>
        <v>66802.287800476537</v>
      </c>
      <c r="AT311" s="542">
        <f t="shared" si="49"/>
        <v>66802.287800476537</v>
      </c>
      <c r="AV311" s="14">
        <v>89</v>
      </c>
      <c r="AW311" s="538">
        <f t="shared" si="34"/>
        <v>9050644.5083923601</v>
      </c>
      <c r="AX311" s="606">
        <f t="shared" si="35"/>
        <v>49147.96843722542</v>
      </c>
      <c r="AY311" s="299">
        <f t="shared" si="36"/>
        <v>23065.446208630543</v>
      </c>
      <c r="AZ311" s="538">
        <f t="shared" si="37"/>
        <v>72213.414645855955</v>
      </c>
      <c r="BA311" s="540">
        <f t="shared" si="38"/>
        <v>0</v>
      </c>
      <c r="BB311" s="541">
        <f t="shared" si="39"/>
        <v>72213.414645855955</v>
      </c>
    </row>
    <row r="312" spans="38:54" ht="15" hidden="1" x14ac:dyDescent="0.35">
      <c r="AL312" s="14">
        <v>90</v>
      </c>
      <c r="AM312" s="538">
        <f t="shared" si="42"/>
        <v>8326877.2630995717</v>
      </c>
      <c r="AN312" s="538">
        <f t="shared" si="43"/>
        <v>45580.433222992258</v>
      </c>
      <c r="AO312" s="539">
        <f t="shared" si="44"/>
        <v>21221.854577484275</v>
      </c>
      <c r="AP312" s="538">
        <f t="shared" si="45"/>
        <v>66802.287800476537</v>
      </c>
      <c r="AQ312" s="540">
        <f t="shared" si="46"/>
        <v>0</v>
      </c>
      <c r="AR312" s="541">
        <f t="shared" ref="AR312:AR351" si="50">IF(AP312&lt;1,0,(AP312+AQ312))</f>
        <v>66802.287800476537</v>
      </c>
      <c r="AS312" s="541">
        <f t="shared" ref="AS312:AS351" si="51">IF(AP312&lt;1,0,(AP312+AQ312))</f>
        <v>66802.287800476537</v>
      </c>
      <c r="AT312" s="542">
        <f t="shared" si="49"/>
        <v>66802.287800476537</v>
      </c>
      <c r="AV312" s="14">
        <v>90</v>
      </c>
      <c r="AW312" s="538">
        <f t="shared" si="34"/>
        <v>9001371.9635073598</v>
      </c>
      <c r="AX312" s="606">
        <f t="shared" si="35"/>
        <v>49272.544885000338</v>
      </c>
      <c r="AY312" s="299">
        <f t="shared" si="36"/>
        <v>22940.869760855636</v>
      </c>
      <c r="AZ312" s="538">
        <f t="shared" si="37"/>
        <v>72213.41464585597</v>
      </c>
      <c r="BA312" s="540">
        <f t="shared" si="38"/>
        <v>0</v>
      </c>
      <c r="BB312" s="541">
        <f t="shared" si="39"/>
        <v>72213.41464585597</v>
      </c>
    </row>
    <row r="313" spans="38:54" ht="15" hidden="1" x14ac:dyDescent="0.35">
      <c r="AL313" s="14">
        <v>91</v>
      </c>
      <c r="AM313" s="538">
        <f t="shared" ref="AM313:AM351" si="52">+AM312-AN313</f>
        <v>8281181.2961395904</v>
      </c>
      <c r="AN313" s="538">
        <f t="shared" si="43"/>
        <v>45695.966959981095</v>
      </c>
      <c r="AO313" s="539">
        <f t="shared" ref="AO313:AO350" si="53">AM312*$AN$32/360*(365/12)</f>
        <v>21106.320840495442</v>
      </c>
      <c r="AP313" s="538">
        <f t="shared" si="45"/>
        <v>66802.287800476537</v>
      </c>
      <c r="AQ313" s="540">
        <f t="shared" ref="AQ313:AQ352" si="54">+AQ312</f>
        <v>0</v>
      </c>
      <c r="AR313" s="541">
        <f t="shared" si="50"/>
        <v>66802.287800476537</v>
      </c>
      <c r="AS313" s="541">
        <f t="shared" si="51"/>
        <v>66802.287800476537</v>
      </c>
      <c r="AT313" s="542">
        <f t="shared" si="49"/>
        <v>66802.287800476537</v>
      </c>
      <c r="AV313" s="14">
        <v>91</v>
      </c>
      <c r="AW313" s="538">
        <f t="shared" si="34"/>
        <v>8951974.5264078937</v>
      </c>
      <c r="AX313" s="606">
        <f t="shared" si="35"/>
        <v>49397.437099465795</v>
      </c>
      <c r="AY313" s="299">
        <f t="shared" si="36"/>
        <v>22815.977546390182</v>
      </c>
      <c r="AZ313" s="538">
        <f t="shared" si="37"/>
        <v>72213.414645855984</v>
      </c>
      <c r="BA313" s="540">
        <f t="shared" si="38"/>
        <v>0</v>
      </c>
      <c r="BB313" s="541">
        <f t="shared" si="39"/>
        <v>72213.414645855984</v>
      </c>
    </row>
    <row r="314" spans="38:54" ht="15" hidden="1" x14ac:dyDescent="0.35">
      <c r="AL314" s="14">
        <v>92</v>
      </c>
      <c r="AM314" s="538">
        <f t="shared" si="52"/>
        <v>8235369.5025966903</v>
      </c>
      <c r="AN314" s="538">
        <f t="shared" si="43"/>
        <v>45811.793542900487</v>
      </c>
      <c r="AO314" s="539">
        <f t="shared" si="53"/>
        <v>20990.494257576047</v>
      </c>
      <c r="AP314" s="538">
        <f t="shared" si="45"/>
        <v>66802.287800476537</v>
      </c>
      <c r="AQ314" s="540">
        <f t="shared" si="54"/>
        <v>0</v>
      </c>
      <c r="AR314" s="541">
        <f t="shared" si="50"/>
        <v>66802.287800476537</v>
      </c>
      <c r="AS314" s="541">
        <f t="shared" si="51"/>
        <v>66802.287800476537</v>
      </c>
      <c r="AT314" s="542">
        <f t="shared" si="49"/>
        <v>66802.287800476537</v>
      </c>
      <c r="AV314" s="14">
        <v>92</v>
      </c>
      <c r="AW314" s="538">
        <f t="shared" si="34"/>
        <v>8902451.880526891</v>
      </c>
      <c r="AX314" s="606">
        <f t="shared" si="35"/>
        <v>49522.645881002631</v>
      </c>
      <c r="AY314" s="299">
        <f t="shared" si="36"/>
        <v>22690.768764853343</v>
      </c>
      <c r="AZ314" s="538">
        <f t="shared" si="37"/>
        <v>72213.41464585597</v>
      </c>
      <c r="BA314" s="540">
        <f t="shared" si="38"/>
        <v>0</v>
      </c>
      <c r="BB314" s="541">
        <f t="shared" si="39"/>
        <v>72213.41464585597</v>
      </c>
    </row>
    <row r="315" spans="38:54" ht="15" hidden="1" x14ac:dyDescent="0.35">
      <c r="AL315" s="14">
        <v>93</v>
      </c>
      <c r="AM315" s="538">
        <f t="shared" si="52"/>
        <v>8189441.5888826568</v>
      </c>
      <c r="AN315" s="538">
        <f t="shared" si="43"/>
        <v>45927.913714033544</v>
      </c>
      <c r="AO315" s="539">
        <f t="shared" si="53"/>
        <v>20874.374086443</v>
      </c>
      <c r="AP315" s="538">
        <f t="shared" si="45"/>
        <v>66802.287800476537</v>
      </c>
      <c r="AQ315" s="540">
        <f t="shared" si="54"/>
        <v>0</v>
      </c>
      <c r="AR315" s="541">
        <f t="shared" si="50"/>
        <v>66802.287800476537</v>
      </c>
      <c r="AS315" s="541">
        <f t="shared" si="51"/>
        <v>66802.287800476537</v>
      </c>
      <c r="AT315" s="542">
        <f t="shared" si="49"/>
        <v>66802.287800476537</v>
      </c>
      <c r="AV315" s="14">
        <v>93</v>
      </c>
      <c r="AW315" s="538">
        <f t="shared" si="34"/>
        <v>8852803.70849487</v>
      </c>
      <c r="AX315" s="606">
        <f t="shared" si="35"/>
        <v>49648.172032020448</v>
      </c>
      <c r="AY315" s="299">
        <f t="shared" si="36"/>
        <v>22565.242613835519</v>
      </c>
      <c r="AZ315" s="538">
        <f t="shared" si="37"/>
        <v>72213.41464585597</v>
      </c>
      <c r="BA315" s="540">
        <f t="shared" si="38"/>
        <v>0</v>
      </c>
      <c r="BB315" s="541">
        <f t="shared" si="39"/>
        <v>72213.41464585597</v>
      </c>
    </row>
    <row r="316" spans="38:54" ht="15" hidden="1" x14ac:dyDescent="0.35">
      <c r="AL316" s="14">
        <v>94</v>
      </c>
      <c r="AM316" s="538">
        <f t="shared" si="52"/>
        <v>8143397.2606651122</v>
      </c>
      <c r="AN316" s="538">
        <f t="shared" si="43"/>
        <v>46044.328217544804</v>
      </c>
      <c r="AO316" s="539">
        <f t="shared" si="53"/>
        <v>20757.959582931737</v>
      </c>
      <c r="AP316" s="538">
        <f t="shared" si="45"/>
        <v>66802.287800476537</v>
      </c>
      <c r="AQ316" s="540">
        <f t="shared" si="54"/>
        <v>0</v>
      </c>
      <c r="AR316" s="541">
        <f t="shared" si="50"/>
        <v>66802.287800476537</v>
      </c>
      <c r="AS316" s="541">
        <f t="shared" si="51"/>
        <v>66802.287800476537</v>
      </c>
      <c r="AT316" s="542">
        <f t="shared" si="49"/>
        <v>66802.287800476537</v>
      </c>
      <c r="AV316" s="14">
        <v>94</v>
      </c>
      <c r="AW316" s="538">
        <f t="shared" si="34"/>
        <v>8803029.6921379082</v>
      </c>
      <c r="AX316" s="606">
        <f t="shared" si="35"/>
        <v>49774.016356962718</v>
      </c>
      <c r="AY316" s="299">
        <f t="shared" si="36"/>
        <v>22439.398288893248</v>
      </c>
      <c r="AZ316" s="538">
        <f t="shared" si="37"/>
        <v>72213.41464585597</v>
      </c>
      <c r="BA316" s="540">
        <f t="shared" si="38"/>
        <v>0</v>
      </c>
      <c r="BB316" s="541">
        <f t="shared" si="39"/>
        <v>72213.41464585597</v>
      </c>
    </row>
    <row r="317" spans="38:54" ht="15" hidden="1" x14ac:dyDescent="0.35">
      <c r="AL317" s="14">
        <v>95</v>
      </c>
      <c r="AM317" s="538">
        <f t="shared" si="52"/>
        <v>8097236.2228656271</v>
      </c>
      <c r="AN317" s="538">
        <f t="shared" si="43"/>
        <v>46161.037799485108</v>
      </c>
      <c r="AO317" s="539">
        <f t="shared" si="53"/>
        <v>20641.250000991429</v>
      </c>
      <c r="AP317" s="538">
        <f t="shared" si="45"/>
        <v>66802.287800476537</v>
      </c>
      <c r="AQ317" s="540">
        <f t="shared" si="54"/>
        <v>0</v>
      </c>
      <c r="AR317" s="541">
        <f t="shared" si="50"/>
        <v>66802.287800476537</v>
      </c>
      <c r="AS317" s="541">
        <f t="shared" si="51"/>
        <v>66802.287800476537</v>
      </c>
      <c r="AT317" s="542">
        <f t="shared" si="49"/>
        <v>66802.287800476537</v>
      </c>
      <c r="AV317" s="14">
        <v>95</v>
      </c>
      <c r="AW317" s="538">
        <f t="shared" si="34"/>
        <v>8753129.5124755967</v>
      </c>
      <c r="AX317" s="606">
        <f t="shared" si="35"/>
        <v>49900.179662311966</v>
      </c>
      <c r="AY317" s="299">
        <f t="shared" si="36"/>
        <v>22313.234983544007</v>
      </c>
      <c r="AZ317" s="538">
        <f t="shared" si="37"/>
        <v>72213.41464585597</v>
      </c>
      <c r="BA317" s="540">
        <f t="shared" si="38"/>
        <v>0</v>
      </c>
      <c r="BB317" s="541">
        <f t="shared" si="39"/>
        <v>72213.41464585597</v>
      </c>
    </row>
    <row r="318" spans="38:54" ht="15" hidden="1" x14ac:dyDescent="0.35">
      <c r="AL318" s="14">
        <v>96</v>
      </c>
      <c r="AM318" s="538">
        <f t="shared" si="52"/>
        <v>8050958.1796578309</v>
      </c>
      <c r="AN318" s="538">
        <f t="shared" si="43"/>
        <v>46278.043207796312</v>
      </c>
      <c r="AO318" s="539">
        <f t="shared" si="53"/>
        <v>20524.244592680236</v>
      </c>
      <c r="AP318" s="538">
        <f t="shared" si="45"/>
        <v>66802.287800476552</v>
      </c>
      <c r="AQ318" s="540">
        <f t="shared" si="54"/>
        <v>0</v>
      </c>
      <c r="AR318" s="541">
        <f t="shared" si="50"/>
        <v>66802.287800476552</v>
      </c>
      <c r="AS318" s="541">
        <f t="shared" si="51"/>
        <v>66802.287800476552</v>
      </c>
      <c r="AT318" s="542">
        <f t="shared" si="49"/>
        <v>66802.287800476552</v>
      </c>
      <c r="AV318" s="14">
        <v>96</v>
      </c>
      <c r="AW318" s="538">
        <f t="shared" si="34"/>
        <v>8703102.849719001</v>
      </c>
      <c r="AX318" s="606">
        <f t="shared" si="35"/>
        <v>50026.662756594917</v>
      </c>
      <c r="AY318" s="299">
        <f t="shared" si="36"/>
        <v>22186.751889261057</v>
      </c>
      <c r="AZ318" s="538">
        <f t="shared" si="37"/>
        <v>72213.41464585597</v>
      </c>
      <c r="BA318" s="540">
        <f t="shared" si="38"/>
        <v>0</v>
      </c>
      <c r="BB318" s="541">
        <f t="shared" si="39"/>
        <v>72213.41464585597</v>
      </c>
    </row>
    <row r="319" spans="38:54" ht="15" hidden="1" x14ac:dyDescent="0.35">
      <c r="AL319" s="14">
        <v>97</v>
      </c>
      <c r="AM319" s="538">
        <f t="shared" si="52"/>
        <v>8004562.8344655149</v>
      </c>
      <c r="AN319" s="538">
        <f t="shared" si="43"/>
        <v>46395.345192316068</v>
      </c>
      <c r="AO319" s="539">
        <f t="shared" si="53"/>
        <v>20406.942608160472</v>
      </c>
      <c r="AP319" s="538">
        <f t="shared" si="45"/>
        <v>66802.287800476537</v>
      </c>
      <c r="AQ319" s="540">
        <f t="shared" si="54"/>
        <v>0</v>
      </c>
      <c r="AR319" s="541">
        <f t="shared" si="50"/>
        <v>66802.287800476537</v>
      </c>
      <c r="AS319" s="541">
        <f t="shared" si="51"/>
        <v>66802.287800476537</v>
      </c>
      <c r="AT319" s="542">
        <f t="shared" si="49"/>
        <v>66802.287800476537</v>
      </c>
      <c r="AV319" s="14">
        <v>97</v>
      </c>
      <c r="AW319" s="538">
        <f t="shared" si="34"/>
        <v>8652949.3832686134</v>
      </c>
      <c r="AX319" s="606">
        <f t="shared" si="35"/>
        <v>50153.466450387677</v>
      </c>
      <c r="AY319" s="299">
        <f t="shared" si="36"/>
        <v>22059.9481954683</v>
      </c>
      <c r="AZ319" s="538">
        <f t="shared" si="37"/>
        <v>72213.414645855984</v>
      </c>
      <c r="BA319" s="540">
        <f t="shared" si="38"/>
        <v>0</v>
      </c>
      <c r="BB319" s="541">
        <f t="shared" si="39"/>
        <v>72213.414645855984</v>
      </c>
    </row>
    <row r="320" spans="38:54" ht="15" hidden="1" x14ac:dyDescent="0.35">
      <c r="AL320" s="14">
        <v>98</v>
      </c>
      <c r="AM320" s="538">
        <f t="shared" si="52"/>
        <v>7958049.8899607323</v>
      </c>
      <c r="AN320" s="538">
        <f t="shared" ref="AN320:AN351" si="55">PPMT($AN$32/360*(365/12),AL320,$AN$24,-$AN$23)</f>
        <v>46512.944504782703</v>
      </c>
      <c r="AO320" s="539">
        <f t="shared" si="53"/>
        <v>20289.343295693841</v>
      </c>
      <c r="AP320" s="538">
        <f t="shared" ref="AP320:AP350" si="56">(AN320+AO320)</f>
        <v>66802.287800476537</v>
      </c>
      <c r="AQ320" s="540">
        <f t="shared" si="54"/>
        <v>0</v>
      </c>
      <c r="AR320" s="541">
        <f t="shared" si="50"/>
        <v>66802.287800476537</v>
      </c>
      <c r="AS320" s="541">
        <f t="shared" si="51"/>
        <v>66802.287800476537</v>
      </c>
      <c r="AT320" s="542">
        <f t="shared" ref="AT320:AT350" si="57">IF(AP320&lt;1,0,(AP320+AQ320))</f>
        <v>66802.287800476537</v>
      </c>
      <c r="AV320" s="14">
        <v>98</v>
      </c>
      <c r="AW320" s="538">
        <f t="shared" si="34"/>
        <v>8602668.7917122915</v>
      </c>
      <c r="AX320" s="606">
        <f t="shared" si="35"/>
        <v>50280.591556320942</v>
      </c>
      <c r="AY320" s="299">
        <f t="shared" si="36"/>
        <v>21932.823089535028</v>
      </c>
      <c r="AZ320" s="538">
        <f t="shared" si="37"/>
        <v>72213.41464585597</v>
      </c>
      <c r="BA320" s="540">
        <f t="shared" si="38"/>
        <v>0</v>
      </c>
      <c r="BB320" s="541">
        <f t="shared" si="39"/>
        <v>72213.41464585597</v>
      </c>
    </row>
    <row r="321" spans="38:54" ht="15" hidden="1" x14ac:dyDescent="0.35">
      <c r="AL321" s="14">
        <v>99</v>
      </c>
      <c r="AM321" s="538">
        <f t="shared" si="52"/>
        <v>7911419.0480618924</v>
      </c>
      <c r="AN321" s="538">
        <f t="shared" si="55"/>
        <v>46630.841898839957</v>
      </c>
      <c r="AO321" s="539">
        <f t="shared" si="53"/>
        <v>20171.445901636576</v>
      </c>
      <c r="AP321" s="538">
        <f t="shared" si="56"/>
        <v>66802.287800476537</v>
      </c>
      <c r="AQ321" s="540">
        <f t="shared" si="54"/>
        <v>0</v>
      </c>
      <c r="AR321" s="541">
        <f t="shared" si="50"/>
        <v>66802.287800476537</v>
      </c>
      <c r="AS321" s="541">
        <f t="shared" si="51"/>
        <v>66802.287800476537</v>
      </c>
      <c r="AT321" s="542">
        <f t="shared" si="57"/>
        <v>66802.287800476537</v>
      </c>
      <c r="AV321" s="14">
        <v>99</v>
      </c>
      <c r="AW321" s="538">
        <f t="shared" si="34"/>
        <v>8552260.7528232057</v>
      </c>
      <c r="AX321" s="606">
        <f t="shared" si="35"/>
        <v>50408.038889085226</v>
      </c>
      <c r="AY321" s="299">
        <f t="shared" si="36"/>
        <v>21805.375756770736</v>
      </c>
      <c r="AZ321" s="538">
        <f t="shared" si="37"/>
        <v>72213.414645855955</v>
      </c>
      <c r="BA321" s="540">
        <f t="shared" si="38"/>
        <v>0</v>
      </c>
      <c r="BB321" s="541">
        <f t="shared" si="39"/>
        <v>72213.414645855955</v>
      </c>
    </row>
    <row r="322" spans="38:54" ht="15" hidden="1" x14ac:dyDescent="0.35">
      <c r="AL322" s="14">
        <v>100</v>
      </c>
      <c r="AM322" s="538">
        <f t="shared" si="52"/>
        <v>7864670.0099318502</v>
      </c>
      <c r="AN322" s="538">
        <f t="shared" si="55"/>
        <v>46749.038130041889</v>
      </c>
      <c r="AO322" s="539">
        <f t="shared" si="53"/>
        <v>20053.249670434659</v>
      </c>
      <c r="AP322" s="538">
        <f t="shared" si="56"/>
        <v>66802.287800476552</v>
      </c>
      <c r="AQ322" s="540">
        <f t="shared" si="54"/>
        <v>0</v>
      </c>
      <c r="AR322" s="541">
        <f t="shared" si="50"/>
        <v>66802.287800476552</v>
      </c>
      <c r="AS322" s="541">
        <f t="shared" si="51"/>
        <v>66802.287800476552</v>
      </c>
      <c r="AT322" s="542">
        <f t="shared" si="57"/>
        <v>66802.287800476552</v>
      </c>
      <c r="AV322" s="14">
        <v>100</v>
      </c>
      <c r="AW322" s="538">
        <f t="shared" si="34"/>
        <v>8501724.9435577691</v>
      </c>
      <c r="AX322" s="606">
        <f t="shared" si="35"/>
        <v>50535.809265436037</v>
      </c>
      <c r="AY322" s="299">
        <f t="shared" si="36"/>
        <v>21677.605380419933</v>
      </c>
      <c r="AZ322" s="538">
        <f t="shared" si="37"/>
        <v>72213.41464585597</v>
      </c>
      <c r="BA322" s="540">
        <f t="shared" si="38"/>
        <v>0</v>
      </c>
      <c r="BB322" s="541">
        <f t="shared" si="39"/>
        <v>72213.41464585597</v>
      </c>
    </row>
    <row r="323" spans="38:54" ht="15" hidden="1" x14ac:dyDescent="0.35">
      <c r="AL323" s="14">
        <v>101</v>
      </c>
      <c r="AM323" s="538">
        <f t="shared" si="52"/>
        <v>7817802.4759759931</v>
      </c>
      <c r="AN323" s="538">
        <f t="shared" si="55"/>
        <v>46867.533955857616</v>
      </c>
      <c r="AO323" s="539">
        <f t="shared" si="53"/>
        <v>19934.753844618928</v>
      </c>
      <c r="AP323" s="538">
        <f t="shared" si="56"/>
        <v>66802.287800476537</v>
      </c>
      <c r="AQ323" s="540">
        <f t="shared" si="54"/>
        <v>0</v>
      </c>
      <c r="AR323" s="541">
        <f t="shared" si="50"/>
        <v>66802.287800476537</v>
      </c>
      <c r="AS323" s="541">
        <f t="shared" si="51"/>
        <v>66802.287800476537</v>
      </c>
      <c r="AT323" s="542">
        <f t="shared" si="57"/>
        <v>66802.287800476537</v>
      </c>
      <c r="AV323" s="14">
        <v>101</v>
      </c>
      <c r="AW323" s="538">
        <f t="shared" si="34"/>
        <v>8451061.0400535706</v>
      </c>
      <c r="AX323" s="606">
        <f t="shared" si="35"/>
        <v>50663.903504199123</v>
      </c>
      <c r="AY323" s="299">
        <f t="shared" si="36"/>
        <v>21549.511141656843</v>
      </c>
      <c r="AZ323" s="538">
        <f t="shared" si="37"/>
        <v>72213.41464585597</v>
      </c>
      <c r="BA323" s="540">
        <f t="shared" si="38"/>
        <v>0</v>
      </c>
      <c r="BB323" s="541">
        <f t="shared" si="39"/>
        <v>72213.41464585597</v>
      </c>
    </row>
    <row r="324" spans="38:54" ht="15" hidden="1" x14ac:dyDescent="0.35">
      <c r="AL324" s="14">
        <v>102</v>
      </c>
      <c r="AM324" s="538">
        <f t="shared" si="52"/>
        <v>7770816.145840317</v>
      </c>
      <c r="AN324" s="538">
        <f t="shared" si="55"/>
        <v>46986.330135676282</v>
      </c>
      <c r="AO324" s="539">
        <f t="shared" si="53"/>
        <v>19815.957664800262</v>
      </c>
      <c r="AP324" s="538">
        <f t="shared" si="56"/>
        <v>66802.287800476537</v>
      </c>
      <c r="AQ324" s="540">
        <f t="shared" si="54"/>
        <v>0</v>
      </c>
      <c r="AR324" s="541">
        <f t="shared" si="50"/>
        <v>66802.287800476537</v>
      </c>
      <c r="AS324" s="541">
        <f t="shared" si="51"/>
        <v>66802.287800476537</v>
      </c>
      <c r="AT324" s="542">
        <f t="shared" si="57"/>
        <v>66802.287800476537</v>
      </c>
      <c r="AV324" s="14">
        <v>102</v>
      </c>
      <c r="AW324" s="538">
        <f t="shared" si="34"/>
        <v>8400268.7176272944</v>
      </c>
      <c r="AX324" s="606">
        <f t="shared" si="35"/>
        <v>50792.322426275736</v>
      </c>
      <c r="AY324" s="299">
        <f t="shared" si="36"/>
        <v>21421.09221958023</v>
      </c>
      <c r="AZ324" s="538">
        <f t="shared" si="37"/>
        <v>72213.41464585597</v>
      </c>
      <c r="BA324" s="540">
        <f t="shared" si="38"/>
        <v>0</v>
      </c>
      <c r="BB324" s="541">
        <f t="shared" si="39"/>
        <v>72213.41464585597</v>
      </c>
    </row>
    <row r="325" spans="38:54" ht="15" hidden="1" x14ac:dyDescent="0.35">
      <c r="AL325" s="14">
        <v>103</v>
      </c>
      <c r="AM325" s="538">
        <f t="shared" si="52"/>
        <v>7723710.7184095047</v>
      </c>
      <c r="AN325" s="538">
        <f t="shared" si="55"/>
        <v>47105.427430811855</v>
      </c>
      <c r="AO325" s="539">
        <f t="shared" si="53"/>
        <v>19696.860369664693</v>
      </c>
      <c r="AP325" s="538">
        <f t="shared" si="56"/>
        <v>66802.287800476552</v>
      </c>
      <c r="AQ325" s="540">
        <f t="shared" si="54"/>
        <v>0</v>
      </c>
      <c r="AR325" s="541">
        <f t="shared" si="50"/>
        <v>66802.287800476552</v>
      </c>
      <c r="AS325" s="541">
        <f t="shared" si="51"/>
        <v>66802.287800476552</v>
      </c>
      <c r="AT325" s="542">
        <f t="shared" si="57"/>
        <v>66802.287800476552</v>
      </c>
      <c r="AV325" s="14">
        <v>103</v>
      </c>
      <c r="AW325" s="538">
        <f t="shared" si="34"/>
        <v>8349347.6507726461</v>
      </c>
      <c r="AX325" s="606">
        <f t="shared" si="35"/>
        <v>50921.066854647892</v>
      </c>
      <c r="AY325" s="299">
        <f t="shared" si="36"/>
        <v>21292.347791208074</v>
      </c>
      <c r="AZ325" s="538">
        <f t="shared" si="37"/>
        <v>72213.41464585597</v>
      </c>
      <c r="BA325" s="540">
        <f t="shared" si="38"/>
        <v>0</v>
      </c>
      <c r="BB325" s="541">
        <f t="shared" si="39"/>
        <v>72213.41464585597</v>
      </c>
    </row>
    <row r="326" spans="38:54" ht="15" hidden="1" x14ac:dyDescent="0.35">
      <c r="AL326" s="14">
        <v>104</v>
      </c>
      <c r="AM326" s="538">
        <f t="shared" si="52"/>
        <v>7676485.8918049969</v>
      </c>
      <c r="AN326" s="538">
        <f t="shared" si="55"/>
        <v>47224.826604508009</v>
      </c>
      <c r="AO326" s="539">
        <f t="shared" si="53"/>
        <v>19577.461195968539</v>
      </c>
      <c r="AP326" s="538">
        <f t="shared" si="56"/>
        <v>66802.287800476552</v>
      </c>
      <c r="AQ326" s="540">
        <f t="shared" si="54"/>
        <v>0</v>
      </c>
      <c r="AR326" s="541">
        <f t="shared" si="50"/>
        <v>66802.287800476552</v>
      </c>
      <c r="AS326" s="541">
        <f t="shared" si="51"/>
        <v>66802.287800476552</v>
      </c>
      <c r="AT326" s="542">
        <f t="shared" si="57"/>
        <v>66802.287800476552</v>
      </c>
      <c r="AV326" s="14">
        <v>104</v>
      </c>
      <c r="AW326" s="538">
        <f t="shared" si="34"/>
        <v>8298297.5131582627</v>
      </c>
      <c r="AX326" s="606">
        <f t="shared" si="35"/>
        <v>51050.137614383631</v>
      </c>
      <c r="AY326" s="299">
        <f t="shared" si="36"/>
        <v>21163.277031472331</v>
      </c>
      <c r="AZ326" s="538">
        <f t="shared" si="37"/>
        <v>72213.414645855955</v>
      </c>
      <c r="BA326" s="540">
        <f t="shared" si="38"/>
        <v>0</v>
      </c>
      <c r="BB326" s="541">
        <f t="shared" si="39"/>
        <v>72213.414645855955</v>
      </c>
    </row>
    <row r="327" spans="38:54" ht="15" hidden="1" x14ac:dyDescent="0.35">
      <c r="AL327" s="14">
        <v>105</v>
      </c>
      <c r="AM327" s="538">
        <f t="shared" si="52"/>
        <v>7629141.3633830538</v>
      </c>
      <c r="AN327" s="538">
        <f t="shared" si="55"/>
        <v>47344.528421943047</v>
      </c>
      <c r="AO327" s="539">
        <f t="shared" si="53"/>
        <v>19457.759378533498</v>
      </c>
      <c r="AP327" s="538">
        <f t="shared" si="56"/>
        <v>66802.287800476537</v>
      </c>
      <c r="AQ327" s="540">
        <f t="shared" si="54"/>
        <v>0</v>
      </c>
      <c r="AR327" s="541">
        <f t="shared" si="50"/>
        <v>66802.287800476537</v>
      </c>
      <c r="AS327" s="541">
        <f t="shared" si="51"/>
        <v>66802.287800476537</v>
      </c>
      <c r="AT327" s="542">
        <f t="shared" si="57"/>
        <v>66802.287800476537</v>
      </c>
      <c r="AV327" s="14">
        <v>105</v>
      </c>
      <c r="AW327" s="538">
        <f t="shared" si="34"/>
        <v>8247117.9776256206</v>
      </c>
      <c r="AX327" s="606">
        <f t="shared" si="35"/>
        <v>51179.535532642309</v>
      </c>
      <c r="AY327" s="299">
        <f t="shared" si="36"/>
        <v>21033.879113213654</v>
      </c>
      <c r="AZ327" s="538">
        <f t="shared" si="37"/>
        <v>72213.414645855955</v>
      </c>
      <c r="BA327" s="540">
        <f t="shared" si="38"/>
        <v>0</v>
      </c>
      <c r="BB327" s="541">
        <f t="shared" si="39"/>
        <v>72213.414645855955</v>
      </c>
    </row>
    <row r="328" spans="38:54" ht="15" hidden="1" x14ac:dyDescent="0.35">
      <c r="AL328" s="14">
        <v>106</v>
      </c>
      <c r="AM328" s="538">
        <f t="shared" si="52"/>
        <v>7581676.8297328195</v>
      </c>
      <c r="AN328" s="538">
        <f t="shared" si="55"/>
        <v>47464.533650234771</v>
      </c>
      <c r="AO328" s="539">
        <f t="shared" si="53"/>
        <v>19337.75415024177</v>
      </c>
      <c r="AP328" s="538">
        <f t="shared" si="56"/>
        <v>66802.287800476537</v>
      </c>
      <c r="AQ328" s="540">
        <f t="shared" si="54"/>
        <v>0</v>
      </c>
      <c r="AR328" s="541">
        <f t="shared" si="50"/>
        <v>66802.287800476537</v>
      </c>
      <c r="AS328" s="541">
        <f t="shared" si="51"/>
        <v>66802.287800476537</v>
      </c>
      <c r="AT328" s="542">
        <f t="shared" si="57"/>
        <v>66802.287800476537</v>
      </c>
      <c r="AV328" s="14">
        <v>106</v>
      </c>
      <c r="AW328" s="538">
        <f t="shared" si="34"/>
        <v>8195808.7161869407</v>
      </c>
      <c r="AX328" s="606">
        <f t="shared" si="35"/>
        <v>51309.26143867991</v>
      </c>
      <c r="AY328" s="299">
        <f t="shared" si="36"/>
        <v>20904.153207176052</v>
      </c>
      <c r="AZ328" s="538">
        <f t="shared" si="37"/>
        <v>72213.414645855955</v>
      </c>
      <c r="BA328" s="540">
        <f t="shared" si="38"/>
        <v>0</v>
      </c>
      <c r="BB328" s="541">
        <f t="shared" si="39"/>
        <v>72213.414645855955</v>
      </c>
    </row>
    <row r="329" spans="38:54" ht="15" hidden="1" x14ac:dyDescent="0.35">
      <c r="AL329" s="14">
        <v>107</v>
      </c>
      <c r="AM329" s="538">
        <f t="shared" si="52"/>
        <v>7534091.986674374</v>
      </c>
      <c r="AN329" s="538">
        <f t="shared" si="55"/>
        <v>47584.84305844544</v>
      </c>
      <c r="AO329" s="539">
        <f t="shared" si="53"/>
        <v>19217.444742031108</v>
      </c>
      <c r="AP329" s="538">
        <f t="shared" si="56"/>
        <v>66802.287800476552</v>
      </c>
      <c r="AQ329" s="540">
        <f t="shared" si="54"/>
        <v>0</v>
      </c>
      <c r="AR329" s="541">
        <f t="shared" si="50"/>
        <v>66802.287800476552</v>
      </c>
      <c r="AS329" s="541">
        <f t="shared" si="51"/>
        <v>66802.287800476552</v>
      </c>
      <c r="AT329" s="542">
        <f t="shared" si="57"/>
        <v>66802.287800476552</v>
      </c>
      <c r="AV329" s="14">
        <v>107</v>
      </c>
      <c r="AW329" s="538">
        <f t="shared" si="34"/>
        <v>8144369.400023086</v>
      </c>
      <c r="AX329" s="606">
        <f t="shared" si="35"/>
        <v>51439.316163854339</v>
      </c>
      <c r="AY329" s="299">
        <f t="shared" si="36"/>
        <v>20774.09848200162</v>
      </c>
      <c r="AZ329" s="538">
        <f t="shared" si="37"/>
        <v>72213.414645855955</v>
      </c>
      <c r="BA329" s="540">
        <f t="shared" si="38"/>
        <v>0</v>
      </c>
      <c r="BB329" s="541">
        <f t="shared" si="39"/>
        <v>72213.414645855955</v>
      </c>
    </row>
    <row r="330" spans="38:54" ht="15" hidden="1" x14ac:dyDescent="0.35">
      <c r="AL330" s="14">
        <v>108</v>
      </c>
      <c r="AM330" s="538">
        <f t="shared" si="52"/>
        <v>7486386.5292567872</v>
      </c>
      <c r="AN330" s="538">
        <f t="shared" si="55"/>
        <v>47705.457417586636</v>
      </c>
      <c r="AO330" s="539">
        <f t="shared" si="53"/>
        <v>19096.830382889908</v>
      </c>
      <c r="AP330" s="538">
        <f t="shared" si="56"/>
        <v>66802.287800476537</v>
      </c>
      <c r="AQ330" s="540">
        <f t="shared" si="54"/>
        <v>0</v>
      </c>
      <c r="AR330" s="541">
        <f t="shared" si="50"/>
        <v>66802.287800476537</v>
      </c>
      <c r="AS330" s="541">
        <f t="shared" si="51"/>
        <v>66802.287800476537</v>
      </c>
      <c r="AT330" s="542">
        <f t="shared" si="57"/>
        <v>66802.287800476537</v>
      </c>
      <c r="AV330" s="14">
        <v>108</v>
      </c>
      <c r="AW330" s="538">
        <f t="shared" si="34"/>
        <v>8092799.6994814556</v>
      </c>
      <c r="AX330" s="606">
        <f t="shared" si="35"/>
        <v>51569.70054163078</v>
      </c>
      <c r="AY330" s="299">
        <f t="shared" si="36"/>
        <v>20643.714104225182</v>
      </c>
      <c r="AZ330" s="538">
        <f t="shared" si="37"/>
        <v>72213.414645855955</v>
      </c>
      <c r="BA330" s="540">
        <f t="shared" si="38"/>
        <v>0</v>
      </c>
      <c r="BB330" s="541">
        <f t="shared" si="39"/>
        <v>72213.414645855955</v>
      </c>
    </row>
    <row r="331" spans="38:54" ht="15" hidden="1" x14ac:dyDescent="0.35">
      <c r="AL331" s="14">
        <v>109</v>
      </c>
      <c r="AM331" s="538">
        <f t="shared" si="52"/>
        <v>7438560.1517561628</v>
      </c>
      <c r="AN331" s="538">
        <f t="shared" si="55"/>
        <v>47826.377500624272</v>
      </c>
      <c r="AO331" s="539">
        <f t="shared" si="53"/>
        <v>18975.910299852272</v>
      </c>
      <c r="AP331" s="538">
        <f t="shared" si="56"/>
        <v>66802.287800476537</v>
      </c>
      <c r="AQ331" s="540">
        <f t="shared" si="54"/>
        <v>0</v>
      </c>
      <c r="AR331" s="541">
        <f t="shared" si="50"/>
        <v>66802.287800476537</v>
      </c>
      <c r="AS331" s="541">
        <f t="shared" si="51"/>
        <v>66802.287800476537</v>
      </c>
      <c r="AT331" s="542">
        <f t="shared" si="57"/>
        <v>66802.287800476537</v>
      </c>
      <c r="AV331" s="14">
        <v>109</v>
      </c>
      <c r="AW331" s="538">
        <f t="shared" si="34"/>
        <v>8041099.2840738688</v>
      </c>
      <c r="AX331" s="606">
        <f t="shared" si="35"/>
        <v>51700.415407586996</v>
      </c>
      <c r="AY331" s="299">
        <f t="shared" si="36"/>
        <v>20512.999238268967</v>
      </c>
      <c r="AZ331" s="538">
        <f t="shared" si="37"/>
        <v>72213.414645855955</v>
      </c>
      <c r="BA331" s="540">
        <f t="shared" si="38"/>
        <v>0</v>
      </c>
      <c r="BB331" s="541">
        <f t="shared" si="39"/>
        <v>72213.414645855955</v>
      </c>
    </row>
    <row r="332" spans="38:54" ht="15" hidden="1" x14ac:dyDescent="0.35">
      <c r="AL332" s="14">
        <v>110</v>
      </c>
      <c r="AM332" s="538">
        <f t="shared" si="52"/>
        <v>7390612.547673679</v>
      </c>
      <c r="AN332" s="538">
        <f t="shared" si="55"/>
        <v>47947.604082483478</v>
      </c>
      <c r="AO332" s="539">
        <f t="shared" si="53"/>
        <v>18854.683717993052</v>
      </c>
      <c r="AP332" s="538">
        <f t="shared" si="56"/>
        <v>66802.287800476537</v>
      </c>
      <c r="AQ332" s="540">
        <f t="shared" si="54"/>
        <v>0</v>
      </c>
      <c r="AR332" s="541">
        <f t="shared" si="50"/>
        <v>66802.287800476537</v>
      </c>
      <c r="AS332" s="541">
        <f t="shared" si="51"/>
        <v>66802.287800476537</v>
      </c>
      <c r="AT332" s="542">
        <f t="shared" si="57"/>
        <v>66802.287800476537</v>
      </c>
      <c r="AV332" s="14">
        <v>110</v>
      </c>
      <c r="AW332" s="538">
        <f t="shared" si="34"/>
        <v>7989267.8224744499</v>
      </c>
      <c r="AX332" s="606">
        <f t="shared" si="35"/>
        <v>51831.461599418726</v>
      </c>
      <c r="AY332" s="299">
        <f t="shared" si="36"/>
        <v>20381.95304643724</v>
      </c>
      <c r="AZ332" s="538">
        <f t="shared" si="37"/>
        <v>72213.41464585597</v>
      </c>
      <c r="BA332" s="540">
        <f t="shared" si="38"/>
        <v>0</v>
      </c>
      <c r="BB332" s="541">
        <f t="shared" si="39"/>
        <v>72213.41464585597</v>
      </c>
    </row>
    <row r="333" spans="38:54" ht="15" hidden="1" x14ac:dyDescent="0.35">
      <c r="AL333" s="14">
        <v>111</v>
      </c>
      <c r="AM333" s="538">
        <f t="shared" si="52"/>
        <v>7342543.4097336251</v>
      </c>
      <c r="AN333" s="538">
        <f t="shared" si="55"/>
        <v>48069.137940053675</v>
      </c>
      <c r="AO333" s="539">
        <f t="shared" si="53"/>
        <v>18733.149860422865</v>
      </c>
      <c r="AP333" s="538">
        <f t="shared" si="56"/>
        <v>66802.287800476537</v>
      </c>
      <c r="AQ333" s="540">
        <f t="shared" si="54"/>
        <v>0</v>
      </c>
      <c r="AR333" s="541">
        <f t="shared" si="50"/>
        <v>66802.287800476537</v>
      </c>
      <c r="AS333" s="541">
        <f t="shared" si="51"/>
        <v>66802.287800476537</v>
      </c>
      <c r="AT333" s="542">
        <f t="shared" si="57"/>
        <v>66802.287800476537</v>
      </c>
      <c r="AV333" s="14">
        <v>111</v>
      </c>
      <c r="AW333" s="538">
        <f t="shared" si="34"/>
        <v>7937304.9825175051</v>
      </c>
      <c r="AX333" s="606">
        <f t="shared" si="35"/>
        <v>51962.839956945027</v>
      </c>
      <c r="AY333" s="299">
        <f t="shared" si="36"/>
        <v>20250.574688910936</v>
      </c>
      <c r="AZ333" s="538">
        <f t="shared" si="37"/>
        <v>72213.414645855955</v>
      </c>
      <c r="BA333" s="540">
        <f t="shared" si="38"/>
        <v>0</v>
      </c>
      <c r="BB333" s="541">
        <f t="shared" si="39"/>
        <v>72213.414645855955</v>
      </c>
    </row>
    <row r="334" spans="38:54" ht="15" hidden="1" x14ac:dyDescent="0.35">
      <c r="AL334" s="14">
        <v>112</v>
      </c>
      <c r="AM334" s="538">
        <f t="shared" si="52"/>
        <v>7294352.4298814321</v>
      </c>
      <c r="AN334" s="538">
        <f t="shared" si="55"/>
        <v>48190.979852193392</v>
      </c>
      <c r="AO334" s="539">
        <f t="shared" si="53"/>
        <v>18611.307948283149</v>
      </c>
      <c r="AP334" s="538">
        <f t="shared" si="56"/>
        <v>66802.287800476537</v>
      </c>
      <c r="AQ334" s="540">
        <f t="shared" si="54"/>
        <v>0</v>
      </c>
      <c r="AR334" s="541">
        <f t="shared" si="50"/>
        <v>66802.287800476537</v>
      </c>
      <c r="AS334" s="541">
        <f t="shared" si="51"/>
        <v>66802.287800476537</v>
      </c>
      <c r="AT334" s="542">
        <f t="shared" si="57"/>
        <v>66802.287800476537</v>
      </c>
      <c r="AV334" s="14">
        <v>112</v>
      </c>
      <c r="AW334" s="538">
        <f t="shared" si="34"/>
        <v>7885210.4311953913</v>
      </c>
      <c r="AX334" s="606">
        <f t="shared" si="35"/>
        <v>52094.551322113679</v>
      </c>
      <c r="AY334" s="299">
        <f t="shared" si="36"/>
        <v>20118.863323742287</v>
      </c>
      <c r="AZ334" s="538">
        <f t="shared" si="37"/>
        <v>72213.41464585597</v>
      </c>
      <c r="BA334" s="540">
        <f t="shared" si="38"/>
        <v>0</v>
      </c>
      <c r="BB334" s="541">
        <f t="shared" si="39"/>
        <v>72213.41464585597</v>
      </c>
    </row>
    <row r="335" spans="38:54" ht="15" hidden="1" x14ac:dyDescent="0.35">
      <c r="AL335" s="14">
        <v>113</v>
      </c>
      <c r="AM335" s="538">
        <f t="shared" si="52"/>
        <v>7246039.2992816968</v>
      </c>
      <c r="AN335" s="538">
        <f t="shared" si="55"/>
        <v>48313.130599735414</v>
      </c>
      <c r="AO335" s="539">
        <f t="shared" si="53"/>
        <v>18489.157200741131</v>
      </c>
      <c r="AP335" s="538">
        <f t="shared" si="56"/>
        <v>66802.287800476537</v>
      </c>
      <c r="AQ335" s="540">
        <f t="shared" si="54"/>
        <v>0</v>
      </c>
      <c r="AR335" s="541">
        <f t="shared" si="50"/>
        <v>66802.287800476537</v>
      </c>
      <c r="AS335" s="541">
        <f t="shared" si="51"/>
        <v>66802.287800476537</v>
      </c>
      <c r="AT335" s="542">
        <f t="shared" si="57"/>
        <v>66802.287800476537</v>
      </c>
      <c r="AV335" s="14">
        <v>113</v>
      </c>
      <c r="AW335" s="538">
        <f t="shared" si="34"/>
        <v>7832983.8346563848</v>
      </c>
      <c r="AX335" s="606">
        <f t="shared" si="35"/>
        <v>52226.596539006539</v>
      </c>
      <c r="AY335" s="299">
        <f t="shared" si="36"/>
        <v>19986.818106849427</v>
      </c>
      <c r="AZ335" s="538">
        <f t="shared" si="37"/>
        <v>72213.41464585597</v>
      </c>
      <c r="BA335" s="540">
        <f t="shared" si="38"/>
        <v>0</v>
      </c>
      <c r="BB335" s="541">
        <f t="shared" si="39"/>
        <v>72213.41464585597</v>
      </c>
    </row>
    <row r="336" spans="38:54" ht="15" hidden="1" x14ac:dyDescent="0.35">
      <c r="AL336" s="14">
        <v>114</v>
      </c>
      <c r="AM336" s="538">
        <f t="shared" si="52"/>
        <v>7197603.7083162051</v>
      </c>
      <c r="AN336" s="538">
        <f t="shared" si="55"/>
        <v>48435.590965491683</v>
      </c>
      <c r="AO336" s="539">
        <f t="shared" si="53"/>
        <v>18366.696834984854</v>
      </c>
      <c r="AP336" s="538">
        <f t="shared" si="56"/>
        <v>66802.287800476537</v>
      </c>
      <c r="AQ336" s="540">
        <f t="shared" si="54"/>
        <v>0</v>
      </c>
      <c r="AR336" s="541">
        <f t="shared" si="50"/>
        <v>66802.287800476537</v>
      </c>
      <c r="AS336" s="541">
        <f t="shared" si="51"/>
        <v>66802.287800476537</v>
      </c>
      <c r="AT336" s="542">
        <f t="shared" si="57"/>
        <v>66802.287800476537</v>
      </c>
      <c r="AV336" s="14">
        <v>114</v>
      </c>
      <c r="AW336" s="538">
        <f t="shared" si="34"/>
        <v>7780624.8582025394</v>
      </c>
      <c r="AX336" s="606">
        <f t="shared" si="35"/>
        <v>52358.976453844996</v>
      </c>
      <c r="AY336" s="299">
        <f t="shared" si="36"/>
        <v>19854.438192010974</v>
      </c>
      <c r="AZ336" s="538">
        <f t="shared" si="37"/>
        <v>72213.41464585597</v>
      </c>
      <c r="BA336" s="540">
        <f t="shared" si="38"/>
        <v>0</v>
      </c>
      <c r="BB336" s="541">
        <f t="shared" si="39"/>
        <v>72213.41464585597</v>
      </c>
    </row>
    <row r="337" spans="38:54" ht="15" hidden="1" x14ac:dyDescent="0.35">
      <c r="AL337" s="11">
        <v>115</v>
      </c>
      <c r="AM337" s="300">
        <f t="shared" si="52"/>
        <v>7149045.3465819471</v>
      </c>
      <c r="AN337" s="300">
        <f t="shared" si="55"/>
        <v>48558.361734258382</v>
      </c>
      <c r="AO337" s="301">
        <f t="shared" si="53"/>
        <v>18243.926066218155</v>
      </c>
      <c r="AP337" s="300">
        <f t="shared" si="56"/>
        <v>66802.287800476537</v>
      </c>
      <c r="AQ337" s="10">
        <f t="shared" si="54"/>
        <v>0</v>
      </c>
      <c r="AR337" s="436">
        <f t="shared" si="50"/>
        <v>66802.287800476537</v>
      </c>
      <c r="AS337" s="436">
        <f t="shared" si="51"/>
        <v>66802.287800476537</v>
      </c>
      <c r="AT337" s="488">
        <f t="shared" si="57"/>
        <v>66802.287800476537</v>
      </c>
      <c r="AV337" s="11">
        <v>115</v>
      </c>
      <c r="AW337" s="538">
        <f t="shared" si="34"/>
        <v>7728133.1662875442</v>
      </c>
      <c r="AX337" s="606">
        <f t="shared" si="35"/>
        <v>52491.691914995361</v>
      </c>
      <c r="AY337" s="299">
        <f t="shared" si="36"/>
        <v>19721.722730860602</v>
      </c>
      <c r="AZ337" s="538">
        <f t="shared" si="37"/>
        <v>72213.414645855955</v>
      </c>
      <c r="BA337" s="540">
        <f t="shared" si="38"/>
        <v>0</v>
      </c>
      <c r="BB337" s="541">
        <f t="shared" si="39"/>
        <v>72213.414645855955</v>
      </c>
    </row>
    <row r="338" spans="38:54" ht="15" hidden="1" x14ac:dyDescent="0.35">
      <c r="AL338" s="11">
        <v>116</v>
      </c>
      <c r="AM338" s="300">
        <f t="shared" si="52"/>
        <v>7100363.902889126</v>
      </c>
      <c r="AN338" s="300">
        <f t="shared" si="55"/>
        <v>48681.443692820918</v>
      </c>
      <c r="AO338" s="301">
        <f t="shared" si="53"/>
        <v>18120.84410765563</v>
      </c>
      <c r="AP338" s="300">
        <f t="shared" si="56"/>
        <v>66802.287800476552</v>
      </c>
      <c r="AQ338" s="10">
        <f t="shared" si="54"/>
        <v>0</v>
      </c>
      <c r="AR338" s="436">
        <f t="shared" si="50"/>
        <v>66802.287800476552</v>
      </c>
      <c r="AS338" s="436">
        <f t="shared" si="51"/>
        <v>66802.287800476552</v>
      </c>
      <c r="AT338" s="488">
        <f t="shared" si="57"/>
        <v>66802.287800476552</v>
      </c>
      <c r="AV338" s="11">
        <v>116</v>
      </c>
      <c r="AW338" s="538">
        <f t="shared" si="34"/>
        <v>7675508.4225145699</v>
      </c>
      <c r="AX338" s="606">
        <f t="shared" si="35"/>
        <v>52624.743772974347</v>
      </c>
      <c r="AY338" s="299">
        <f t="shared" si="36"/>
        <v>19588.670872881623</v>
      </c>
      <c r="AZ338" s="538">
        <f t="shared" si="37"/>
        <v>72213.41464585597</v>
      </c>
      <c r="BA338" s="540">
        <f t="shared" si="38"/>
        <v>0</v>
      </c>
      <c r="BB338" s="541">
        <f t="shared" si="39"/>
        <v>72213.41464585597</v>
      </c>
    </row>
    <row r="339" spans="38:54" ht="15" hidden="1" x14ac:dyDescent="0.35">
      <c r="AL339" s="11">
        <v>117</v>
      </c>
      <c r="AM339" s="300">
        <f t="shared" si="52"/>
        <v>7051559.065259167</v>
      </c>
      <c r="AN339" s="300">
        <f t="shared" si="55"/>
        <v>48804.837629958958</v>
      </c>
      <c r="AO339" s="301">
        <f t="shared" si="53"/>
        <v>17997.450170517579</v>
      </c>
      <c r="AP339" s="300">
        <f t="shared" si="56"/>
        <v>66802.287800476537</v>
      </c>
      <c r="AQ339" s="10">
        <f t="shared" si="54"/>
        <v>0</v>
      </c>
      <c r="AR339" s="436">
        <f t="shared" si="50"/>
        <v>66802.287800476537</v>
      </c>
      <c r="AS339" s="436">
        <f t="shared" si="51"/>
        <v>66802.287800476537</v>
      </c>
      <c r="AT339" s="488">
        <f t="shared" si="57"/>
        <v>66802.287800476537</v>
      </c>
      <c r="AV339" s="11">
        <v>117</v>
      </c>
      <c r="AW339" s="538">
        <f t="shared" si="34"/>
        <v>7622750.2896341151</v>
      </c>
      <c r="AX339" s="606">
        <f t="shared" si="35"/>
        <v>52758.132880454446</v>
      </c>
      <c r="AY339" s="299">
        <f t="shared" si="36"/>
        <v>19455.281765401513</v>
      </c>
      <c r="AZ339" s="538">
        <f t="shared" si="37"/>
        <v>72213.414645855955</v>
      </c>
      <c r="BA339" s="540">
        <f t="shared" si="38"/>
        <v>0</v>
      </c>
      <c r="BB339" s="541">
        <f t="shared" si="39"/>
        <v>72213.414645855955</v>
      </c>
    </row>
    <row r="340" spans="38:54" ht="15" hidden="1" x14ac:dyDescent="0.35">
      <c r="AL340" s="11">
        <v>118</v>
      </c>
      <c r="AM340" s="300">
        <f t="shared" si="52"/>
        <v>7002630.5209227158</v>
      </c>
      <c r="AN340" s="300">
        <f t="shared" si="55"/>
        <v>48928.544336451574</v>
      </c>
      <c r="AO340" s="301">
        <f t="shared" si="53"/>
        <v>17873.74346402497</v>
      </c>
      <c r="AP340" s="300">
        <f t="shared" si="56"/>
        <v>66802.287800476537</v>
      </c>
      <c r="AQ340" s="10">
        <f t="shared" si="54"/>
        <v>0</v>
      </c>
      <c r="AR340" s="436">
        <f t="shared" si="50"/>
        <v>66802.287800476537</v>
      </c>
      <c r="AS340" s="436">
        <f t="shared" si="51"/>
        <v>66802.287800476537</v>
      </c>
      <c r="AT340" s="488">
        <f t="shared" si="57"/>
        <v>66802.287800476537</v>
      </c>
      <c r="AV340" s="11">
        <v>118</v>
      </c>
      <c r="AW340" s="538">
        <f t="shared" si="34"/>
        <v>7569858.4295418458</v>
      </c>
      <c r="AX340" s="606">
        <f t="shared" si="35"/>
        <v>52891.860092269497</v>
      </c>
      <c r="AY340" s="299">
        <f t="shared" si="36"/>
        <v>19321.554553586473</v>
      </c>
      <c r="AZ340" s="538">
        <f t="shared" si="37"/>
        <v>72213.41464585597</v>
      </c>
      <c r="BA340" s="540">
        <f t="shared" si="38"/>
        <v>0</v>
      </c>
      <c r="BB340" s="541">
        <f t="shared" si="39"/>
        <v>72213.41464585597</v>
      </c>
    </row>
    <row r="341" spans="38:54" ht="15" hidden="1" x14ac:dyDescent="0.35">
      <c r="AL341" s="11">
        <v>119</v>
      </c>
      <c r="AM341" s="300">
        <f t="shared" si="52"/>
        <v>6953577.9563176334</v>
      </c>
      <c r="AN341" s="300">
        <f t="shared" si="55"/>
        <v>49052.56460508216</v>
      </c>
      <c r="AO341" s="301">
        <f t="shared" si="53"/>
        <v>17749.723195394385</v>
      </c>
      <c r="AP341" s="300">
        <f t="shared" si="56"/>
        <v>66802.287800476537</v>
      </c>
      <c r="AQ341" s="10">
        <f t="shared" si="54"/>
        <v>0</v>
      </c>
      <c r="AR341" s="436">
        <f t="shared" si="50"/>
        <v>66802.287800476537</v>
      </c>
      <c r="AS341" s="436">
        <f t="shared" si="51"/>
        <v>66802.287800476537</v>
      </c>
      <c r="AT341" s="488">
        <f t="shared" si="57"/>
        <v>66802.287800476537</v>
      </c>
      <c r="AV341" s="11">
        <v>119</v>
      </c>
      <c r="AW341" s="538">
        <f t="shared" si="34"/>
        <v>7516832.5032764254</v>
      </c>
      <c r="AX341" s="606">
        <f t="shared" si="35"/>
        <v>53025.926265420036</v>
      </c>
      <c r="AY341" s="299">
        <f t="shared" si="36"/>
        <v>19187.488380435927</v>
      </c>
      <c r="AZ341" s="538">
        <f t="shared" si="37"/>
        <v>72213.414645855955</v>
      </c>
      <c r="BA341" s="540">
        <f t="shared" si="38"/>
        <v>0</v>
      </c>
      <c r="BB341" s="541">
        <f t="shared" si="39"/>
        <v>72213.414645855955</v>
      </c>
    </row>
    <row r="342" spans="38:54" ht="15" hidden="1" x14ac:dyDescent="0.35">
      <c r="AL342" s="11">
        <v>120</v>
      </c>
      <c r="AM342" s="300">
        <f t="shared" si="52"/>
        <v>6904401.0570869893</v>
      </c>
      <c r="AN342" s="300">
        <f t="shared" si="55"/>
        <v>49176.899230643656</v>
      </c>
      <c r="AO342" s="301">
        <f t="shared" si="53"/>
        <v>17625.388569832889</v>
      </c>
      <c r="AP342" s="300">
        <f t="shared" si="56"/>
        <v>66802.287800476537</v>
      </c>
      <c r="AQ342" s="10">
        <f t="shared" si="54"/>
        <v>0</v>
      </c>
      <c r="AR342" s="436">
        <f t="shared" si="50"/>
        <v>66802.287800476537</v>
      </c>
      <c r="AS342" s="436">
        <f t="shared" si="51"/>
        <v>66802.287800476537</v>
      </c>
      <c r="AT342" s="488">
        <f t="shared" si="57"/>
        <v>66802.287800476537</v>
      </c>
      <c r="AV342" s="11">
        <v>120</v>
      </c>
      <c r="AW342" s="538">
        <f t="shared" si="34"/>
        <v>7463672.1710173469</v>
      </c>
      <c r="AX342" s="606">
        <f t="shared" si="35"/>
        <v>53160.332259078918</v>
      </c>
      <c r="AY342" s="299">
        <f t="shared" si="36"/>
        <v>19053.082386777049</v>
      </c>
      <c r="AZ342" s="538">
        <f t="shared" si="37"/>
        <v>72213.41464585597</v>
      </c>
      <c r="BA342" s="540">
        <f t="shared" si="38"/>
        <v>0</v>
      </c>
      <c r="BB342" s="541">
        <f t="shared" si="39"/>
        <v>72213.41464585597</v>
      </c>
    </row>
    <row r="343" spans="38:54" ht="15" hidden="1" x14ac:dyDescent="0.35">
      <c r="AL343" s="11">
        <v>121</v>
      </c>
      <c r="AM343" s="300">
        <f t="shared" si="52"/>
        <v>6855099.5080770459</v>
      </c>
      <c r="AN343" s="300">
        <f t="shared" si="55"/>
        <v>49301.549009943548</v>
      </c>
      <c r="AO343" s="301">
        <f t="shared" si="53"/>
        <v>17500.738790532992</v>
      </c>
      <c r="AP343" s="300">
        <f t="shared" si="56"/>
        <v>66802.287800476537</v>
      </c>
      <c r="AQ343" s="10">
        <f t="shared" si="54"/>
        <v>0</v>
      </c>
      <c r="AR343" s="436">
        <f t="shared" si="50"/>
        <v>66802.287800476537</v>
      </c>
      <c r="AS343" s="436">
        <f t="shared" si="51"/>
        <v>66802.287800476537</v>
      </c>
      <c r="AT343" s="488">
        <f t="shared" si="57"/>
        <v>66802.287800476537</v>
      </c>
      <c r="AV343" s="11">
        <v>121</v>
      </c>
      <c r="AW343" s="538">
        <f t="shared" si="34"/>
        <v>7410377.0920827501</v>
      </c>
      <c r="AX343" s="606">
        <f t="shared" si="35"/>
        <v>53295.078934596721</v>
      </c>
      <c r="AY343" s="299">
        <f t="shared" si="36"/>
        <v>18918.335711259246</v>
      </c>
      <c r="AZ343" s="538">
        <f t="shared" si="37"/>
        <v>72213.41464585597</v>
      </c>
      <c r="BA343" s="540">
        <f t="shared" si="38"/>
        <v>0</v>
      </c>
      <c r="BB343" s="541">
        <f t="shared" si="39"/>
        <v>72213.41464585597</v>
      </c>
    </row>
    <row r="344" spans="38:54" ht="15" hidden="1" x14ac:dyDescent="0.35">
      <c r="AL344" s="11">
        <v>122</v>
      </c>
      <c r="AM344" s="300">
        <f t="shared" si="52"/>
        <v>6805672.9933352368</v>
      </c>
      <c r="AN344" s="300">
        <f t="shared" si="55"/>
        <v>49426.514741809027</v>
      </c>
      <c r="AO344" s="301">
        <f t="shared" si="53"/>
        <v>17375.77305866751</v>
      </c>
      <c r="AP344" s="300">
        <f t="shared" si="56"/>
        <v>66802.287800476537</v>
      </c>
      <c r="AQ344" s="10">
        <f t="shared" si="54"/>
        <v>0</v>
      </c>
      <c r="AR344" s="436">
        <f t="shared" si="50"/>
        <v>66802.287800476537</v>
      </c>
      <c r="AS344" s="436">
        <f t="shared" si="51"/>
        <v>66802.287800476537</v>
      </c>
      <c r="AT344" s="488">
        <f t="shared" si="57"/>
        <v>66802.287800476537</v>
      </c>
      <c r="AV344" s="11">
        <v>122</v>
      </c>
      <c r="AW344" s="538">
        <f t="shared" si="34"/>
        <v>7356946.924927243</v>
      </c>
      <c r="AX344" s="606">
        <f t="shared" si="35"/>
        <v>53430.167155507334</v>
      </c>
      <c r="AY344" s="299">
        <f t="shared" si="36"/>
        <v>18783.247490348636</v>
      </c>
      <c r="AZ344" s="538">
        <f t="shared" si="37"/>
        <v>72213.41464585597</v>
      </c>
      <c r="BA344" s="540">
        <f t="shared" si="38"/>
        <v>0</v>
      </c>
      <c r="BB344" s="541">
        <f t="shared" si="39"/>
        <v>72213.41464585597</v>
      </c>
    </row>
    <row r="345" spans="38:54" ht="15" hidden="1" x14ac:dyDescent="0.35">
      <c r="AL345" s="11">
        <v>123</v>
      </c>
      <c r="AM345" s="300">
        <f t="shared" si="52"/>
        <v>6756121.1961081447</v>
      </c>
      <c r="AN345" s="300">
        <f t="shared" si="55"/>
        <v>49551.797227092095</v>
      </c>
      <c r="AO345" s="301">
        <f t="shared" si="53"/>
        <v>17250.490573384453</v>
      </c>
      <c r="AP345" s="300">
        <f t="shared" si="56"/>
        <v>66802.287800476552</v>
      </c>
      <c r="AQ345" s="10">
        <f t="shared" si="54"/>
        <v>0</v>
      </c>
      <c r="AR345" s="436">
        <f t="shared" si="50"/>
        <v>66802.287800476552</v>
      </c>
      <c r="AS345" s="436">
        <f t="shared" si="51"/>
        <v>66802.287800476552</v>
      </c>
      <c r="AT345" s="488">
        <f t="shared" si="57"/>
        <v>66802.287800476552</v>
      </c>
      <c r="AV345" s="11">
        <v>123</v>
      </c>
      <c r="AW345" s="538">
        <f t="shared" si="34"/>
        <v>7303381.3271397091</v>
      </c>
      <c r="AX345" s="606">
        <f t="shared" si="35"/>
        <v>53565.597787533436</v>
      </c>
      <c r="AY345" s="299">
        <f t="shared" si="36"/>
        <v>18647.816858322527</v>
      </c>
      <c r="AZ345" s="538">
        <f t="shared" si="37"/>
        <v>72213.414645855955</v>
      </c>
      <c r="BA345" s="540">
        <f t="shared" si="38"/>
        <v>0</v>
      </c>
      <c r="BB345" s="541">
        <f t="shared" si="39"/>
        <v>72213.414645855955</v>
      </c>
    </row>
    <row r="346" spans="38:54" ht="15" hidden="1" x14ac:dyDescent="0.35">
      <c r="AL346" s="11">
        <v>124</v>
      </c>
      <c r="AM346" s="300">
        <f t="shared" si="52"/>
        <v>6706443.7988394704</v>
      </c>
      <c r="AN346" s="300">
        <f t="shared" si="55"/>
        <v>49677.397268674642</v>
      </c>
      <c r="AO346" s="301">
        <f t="shared" si="53"/>
        <v>17124.890531801895</v>
      </c>
      <c r="AP346" s="300">
        <f t="shared" si="56"/>
        <v>66802.287800476537</v>
      </c>
      <c r="AQ346" s="10">
        <f t="shared" si="54"/>
        <v>0</v>
      </c>
      <c r="AR346" s="436">
        <f t="shared" si="50"/>
        <v>66802.287800476537</v>
      </c>
      <c r="AS346" s="436">
        <f t="shared" si="51"/>
        <v>66802.287800476537</v>
      </c>
      <c r="AT346" s="488">
        <f t="shared" si="57"/>
        <v>66802.287800476537</v>
      </c>
      <c r="AV346" s="11">
        <v>124</v>
      </c>
      <c r="AW346" s="538">
        <f t="shared" si="34"/>
        <v>7249679.9554411173</v>
      </c>
      <c r="AX346" s="606">
        <f t="shared" si="35"/>
        <v>53701.371698592113</v>
      </c>
      <c r="AY346" s="299">
        <f t="shared" si="36"/>
        <v>18512.042947263846</v>
      </c>
      <c r="AZ346" s="538">
        <f t="shared" si="37"/>
        <v>72213.414645855955</v>
      </c>
      <c r="BA346" s="540">
        <f t="shared" si="38"/>
        <v>0</v>
      </c>
      <c r="BB346" s="541">
        <f t="shared" si="39"/>
        <v>72213.414645855955</v>
      </c>
    </row>
    <row r="347" spans="38:54" ht="15" hidden="1" x14ac:dyDescent="0.35">
      <c r="AL347" s="11">
        <v>125</v>
      </c>
      <c r="AM347" s="300">
        <f t="shared" si="52"/>
        <v>6656640.4831679966</v>
      </c>
      <c r="AN347" s="300">
        <f t="shared" si="55"/>
        <v>49803.315671473712</v>
      </c>
      <c r="AO347" s="301">
        <f t="shared" si="53"/>
        <v>16998.972129002821</v>
      </c>
      <c r="AP347" s="300">
        <f t="shared" si="56"/>
        <v>66802.287800476537</v>
      </c>
      <c r="AQ347" s="10">
        <f t="shared" si="54"/>
        <v>0</v>
      </c>
      <c r="AR347" s="436">
        <f t="shared" si="50"/>
        <v>66802.287800476537</v>
      </c>
      <c r="AS347" s="436">
        <f t="shared" si="51"/>
        <v>66802.287800476537</v>
      </c>
      <c r="AT347" s="488">
        <f t="shared" si="57"/>
        <v>66802.287800476537</v>
      </c>
      <c r="AV347" s="11">
        <v>125</v>
      </c>
      <c r="AW347" s="538">
        <f t="shared" si="34"/>
        <v>7195842.4656823166</v>
      </c>
      <c r="AX347" s="606">
        <f t="shared" si="35"/>
        <v>53837.489758800351</v>
      </c>
      <c r="AY347" s="299">
        <f t="shared" si="36"/>
        <v>18375.924887055608</v>
      </c>
      <c r="AZ347" s="538">
        <f t="shared" si="37"/>
        <v>72213.414645855955</v>
      </c>
      <c r="BA347" s="540">
        <f t="shared" si="38"/>
        <v>0</v>
      </c>
      <c r="BB347" s="541">
        <f t="shared" si="39"/>
        <v>72213.414645855955</v>
      </c>
    </row>
    <row r="348" spans="38:54" ht="15" hidden="1" x14ac:dyDescent="0.35">
      <c r="AL348" s="11">
        <v>126</v>
      </c>
      <c r="AM348" s="300">
        <f t="shared" si="52"/>
        <v>6606710.9299255498</v>
      </c>
      <c r="AN348" s="300">
        <f t="shared" si="55"/>
        <v>49929.553242446549</v>
      </c>
      <c r="AO348" s="301">
        <f t="shared" si="53"/>
        <v>16872.734558029992</v>
      </c>
      <c r="AP348" s="300">
        <f t="shared" si="56"/>
        <v>66802.287800476537</v>
      </c>
      <c r="AQ348" s="10">
        <f t="shared" si="54"/>
        <v>0</v>
      </c>
      <c r="AR348" s="436">
        <f t="shared" si="50"/>
        <v>66802.287800476537</v>
      </c>
      <c r="AS348" s="436">
        <f t="shared" si="51"/>
        <v>66802.287800476537</v>
      </c>
      <c r="AT348" s="488">
        <f t="shared" si="57"/>
        <v>66802.287800476537</v>
      </c>
      <c r="AV348" s="11">
        <v>126</v>
      </c>
      <c r="AW348" s="538">
        <f t="shared" si="34"/>
        <v>7141868.5128418356</v>
      </c>
      <c r="AX348" s="606">
        <f t="shared" si="35"/>
        <v>53973.952840480648</v>
      </c>
      <c r="AY348" s="299">
        <f t="shared" si="36"/>
        <v>18239.461805375318</v>
      </c>
      <c r="AZ348" s="538">
        <f t="shared" si="37"/>
        <v>72213.41464585597</v>
      </c>
      <c r="BA348" s="540">
        <f t="shared" si="38"/>
        <v>0</v>
      </c>
      <c r="BB348" s="541">
        <f t="shared" si="39"/>
        <v>72213.41464585597</v>
      </c>
    </row>
    <row r="349" spans="38:54" ht="15" hidden="1" x14ac:dyDescent="0.35">
      <c r="AL349" s="11">
        <v>127</v>
      </c>
      <c r="AM349" s="300">
        <f t="shared" si="52"/>
        <v>6556654.8191349544</v>
      </c>
      <c r="AN349" s="300">
        <f t="shared" si="55"/>
        <v>50056.110790595812</v>
      </c>
      <c r="AO349" s="301">
        <f t="shared" si="53"/>
        <v>16746.177009880732</v>
      </c>
      <c r="AP349" s="300">
        <f t="shared" si="56"/>
        <v>66802.287800476537</v>
      </c>
      <c r="AQ349" s="10">
        <f t="shared" si="54"/>
        <v>0</v>
      </c>
      <c r="AR349" s="436">
        <f t="shared" si="50"/>
        <v>66802.287800476537</v>
      </c>
      <c r="AS349" s="436">
        <f t="shared" si="51"/>
        <v>66802.287800476537</v>
      </c>
      <c r="AT349" s="488">
        <f t="shared" si="57"/>
        <v>66802.287800476537</v>
      </c>
      <c r="AV349" s="11">
        <v>127</v>
      </c>
      <c r="AW349" s="538">
        <f t="shared" si="34"/>
        <v>7087757.7510236688</v>
      </c>
      <c r="AX349" s="606">
        <f t="shared" si="35"/>
        <v>54110.761818166597</v>
      </c>
      <c r="AY349" s="299">
        <f t="shared" si="36"/>
        <v>18102.652827689377</v>
      </c>
      <c r="AZ349" s="538">
        <f t="shared" si="37"/>
        <v>72213.41464585597</v>
      </c>
      <c r="BA349" s="540">
        <f t="shared" si="38"/>
        <v>0</v>
      </c>
      <c r="BB349" s="541">
        <f t="shared" si="39"/>
        <v>72213.41464585597</v>
      </c>
    </row>
    <row r="350" spans="38:54" ht="15" hidden="1" x14ac:dyDescent="0.35">
      <c r="AL350" s="11">
        <v>128</v>
      </c>
      <c r="AM350" s="300">
        <f t="shared" si="52"/>
        <v>6506471.8300079796</v>
      </c>
      <c r="AN350" s="300">
        <f t="shared" si="55"/>
        <v>50182.989126974753</v>
      </c>
      <c r="AO350" s="301">
        <f t="shared" si="53"/>
        <v>16619.298673501798</v>
      </c>
      <c r="AP350" s="300">
        <f t="shared" si="56"/>
        <v>66802.287800476552</v>
      </c>
      <c r="AQ350" s="10">
        <f t="shared" si="54"/>
        <v>0</v>
      </c>
      <c r="AR350" s="436">
        <f t="shared" si="50"/>
        <v>66802.287800476552</v>
      </c>
      <c r="AS350" s="436">
        <f t="shared" si="51"/>
        <v>66802.287800476552</v>
      </c>
      <c r="AT350" s="488">
        <f t="shared" si="57"/>
        <v>66802.287800476552</v>
      </c>
      <c r="AV350" s="11">
        <v>128</v>
      </c>
      <c r="AW350" s="538">
        <f t="shared" si="34"/>
        <v>7033509.8334550606</v>
      </c>
      <c r="AX350" s="606">
        <f t="shared" si="35"/>
        <v>54247.917568608471</v>
      </c>
      <c r="AY350" s="299">
        <f t="shared" si="36"/>
        <v>17965.497077247492</v>
      </c>
      <c r="AZ350" s="538">
        <f t="shared" si="37"/>
        <v>72213.414645855955</v>
      </c>
      <c r="BA350" s="540">
        <f t="shared" si="38"/>
        <v>0</v>
      </c>
      <c r="BB350" s="541">
        <f t="shared" si="39"/>
        <v>72213.414645855955</v>
      </c>
    </row>
    <row r="351" spans="38:54" ht="15" hidden="1" x14ac:dyDescent="0.35">
      <c r="AL351" s="11">
        <v>129</v>
      </c>
      <c r="AM351" s="300">
        <f t="shared" si="52"/>
        <v>6456161.6409432869</v>
      </c>
      <c r="AN351" s="300">
        <f t="shared" si="55"/>
        <v>50310.189064692437</v>
      </c>
      <c r="AO351" s="301">
        <f t="shared" ref="AO351:AO414" si="58">AM350*$AN$32/360*(365/12)</f>
        <v>16492.098735784115</v>
      </c>
      <c r="AP351" s="300">
        <f t="shared" ref="AP351:AP414" si="59">(AN351+AO351)</f>
        <v>66802.287800476552</v>
      </c>
      <c r="AQ351" s="10">
        <f t="shared" si="54"/>
        <v>0</v>
      </c>
      <c r="AR351" s="436">
        <f t="shared" si="50"/>
        <v>66802.287800476552</v>
      </c>
      <c r="AS351" s="436">
        <f t="shared" si="51"/>
        <v>66802.287800476552</v>
      </c>
      <c r="AT351" s="488">
        <f t="shared" ref="AT351:AT414" si="60">IF(AP351&lt;1,0,(AP351+AQ351))</f>
        <v>66802.287800476552</v>
      </c>
      <c r="AV351" s="11">
        <v>129</v>
      </c>
      <c r="AW351" s="538">
        <f t="shared" si="34"/>
        <v>6979124.4124842817</v>
      </c>
      <c r="AX351" s="606">
        <f t="shared" si="35"/>
        <v>54385.420970778898</v>
      </c>
      <c r="AY351" s="299">
        <f t="shared" si="36"/>
        <v>17827.993675077065</v>
      </c>
      <c r="AZ351" s="538">
        <f t="shared" si="37"/>
        <v>72213.414645855955</v>
      </c>
      <c r="BA351" s="540">
        <f t="shared" si="38"/>
        <v>0</v>
      </c>
      <c r="BB351" s="541">
        <f t="shared" si="39"/>
        <v>72213.414645855955</v>
      </c>
    </row>
    <row r="352" spans="38:54" ht="15" hidden="1" x14ac:dyDescent="0.35">
      <c r="AL352" s="11">
        <v>130</v>
      </c>
      <c r="AM352" s="300">
        <f t="shared" ref="AM352:AM415" si="61">+AM351-AN352</f>
        <v>6405723.9295243677</v>
      </c>
      <c r="AN352" s="300">
        <f t="shared" ref="AN352:AN383" si="62">PPMT($AN$32/360*(365/12),AL352,$AN$24,-$AN$23)</f>
        <v>50437.711418918901</v>
      </c>
      <c r="AO352" s="301">
        <f t="shared" si="58"/>
        <v>16364.576381557639</v>
      </c>
      <c r="AP352" s="300">
        <f t="shared" si="59"/>
        <v>66802.287800476537</v>
      </c>
      <c r="AQ352" s="10">
        <f t="shared" si="54"/>
        <v>0</v>
      </c>
      <c r="AR352" s="436">
        <f t="shared" ref="AR352:AR415" si="63">IF(AP352&lt;1,0,(AP352+AQ352))</f>
        <v>66802.287800476537</v>
      </c>
      <c r="AS352" s="436">
        <f t="shared" ref="AS352:AS415" si="64">IF(AP352&lt;1,0,(AP352+AQ352))</f>
        <v>66802.287800476537</v>
      </c>
      <c r="AT352" s="488">
        <f t="shared" si="60"/>
        <v>66802.287800476537</v>
      </c>
      <c r="AV352" s="11">
        <v>130</v>
      </c>
      <c r="AW352" s="538">
        <f t="shared" ref="AW352:AW415" si="65">+AW351-AX352</f>
        <v>6924601.139578403</v>
      </c>
      <c r="AX352" s="606">
        <f t="shared" ref="AX352:AX415" si="66">IF(AL352&lt;=24,0,PPMT($AN$32/360*(365/12),AL352-24,$AN$24-24,-$AN$23))</f>
        <v>54523.272905878446</v>
      </c>
      <c r="AY352" s="299">
        <f t="shared" ref="AY352:AY415" si="67">AW351*$AN$32/360*(365/12)</f>
        <v>17690.14173997752</v>
      </c>
      <c r="AZ352" s="538">
        <f t="shared" ref="AZ352:AZ415" si="68">(AX352+AY352)</f>
        <v>72213.41464585597</v>
      </c>
      <c r="BA352" s="540">
        <f t="shared" ref="BA352:BA415" si="69">$AR$23</f>
        <v>0</v>
      </c>
      <c r="BB352" s="541">
        <f t="shared" ref="BB352:BB415" si="70">IF(AZ352&lt;1,0,(AZ352+BA352))</f>
        <v>72213.41464585597</v>
      </c>
    </row>
    <row r="353" spans="38:54" ht="15" hidden="1" x14ac:dyDescent="0.35">
      <c r="AL353" s="11">
        <v>131</v>
      </c>
      <c r="AM353" s="300">
        <f t="shared" si="61"/>
        <v>6355158.3725174768</v>
      </c>
      <c r="AN353" s="300">
        <f t="shared" si="62"/>
        <v>50565.557006890471</v>
      </c>
      <c r="AO353" s="301">
        <f t="shared" si="58"/>
        <v>16236.730793586072</v>
      </c>
      <c r="AP353" s="300">
        <f t="shared" si="59"/>
        <v>66802.287800476537</v>
      </c>
      <c r="AQ353" s="10">
        <f t="shared" ref="AQ353:AQ416" si="71">+AQ352</f>
        <v>0</v>
      </c>
      <c r="AR353" s="436">
        <f t="shared" si="63"/>
        <v>66802.287800476537</v>
      </c>
      <c r="AS353" s="436">
        <f t="shared" si="64"/>
        <v>66802.287800476537</v>
      </c>
      <c r="AT353" s="488">
        <f t="shared" si="60"/>
        <v>66802.287800476537</v>
      </c>
      <c r="AV353" s="11">
        <v>131</v>
      </c>
      <c r="AW353" s="538">
        <f t="shared" si="65"/>
        <v>6869939.6653210614</v>
      </c>
      <c r="AX353" s="606">
        <f t="shared" si="66"/>
        <v>54661.474257341259</v>
      </c>
      <c r="AY353" s="299">
        <f t="shared" si="67"/>
        <v>17551.9403885147</v>
      </c>
      <c r="AZ353" s="538">
        <f t="shared" si="68"/>
        <v>72213.414645855955</v>
      </c>
      <c r="BA353" s="540">
        <f t="shared" si="69"/>
        <v>0</v>
      </c>
      <c r="BB353" s="541">
        <f t="shared" si="70"/>
        <v>72213.414645855955</v>
      </c>
    </row>
    <row r="354" spans="38:54" ht="15" hidden="1" x14ac:dyDescent="0.35">
      <c r="AL354" s="11">
        <v>132</v>
      </c>
      <c r="AM354" s="300">
        <f t="shared" si="61"/>
        <v>6304464.6458695615</v>
      </c>
      <c r="AN354" s="300">
        <f t="shared" si="62"/>
        <v>50693.726647914882</v>
      </c>
      <c r="AO354" s="301">
        <f t="shared" si="58"/>
        <v>16108.56115256166</v>
      </c>
      <c r="AP354" s="300">
        <f t="shared" si="59"/>
        <v>66802.287800476537</v>
      </c>
      <c r="AQ354" s="10">
        <f t="shared" si="71"/>
        <v>0</v>
      </c>
      <c r="AR354" s="436">
        <f t="shared" si="63"/>
        <v>66802.287800476537</v>
      </c>
      <c r="AS354" s="436">
        <f t="shared" si="64"/>
        <v>66802.287800476537</v>
      </c>
      <c r="AT354" s="488">
        <f t="shared" si="60"/>
        <v>66802.287800476537</v>
      </c>
      <c r="AV354" s="11">
        <v>132</v>
      </c>
      <c r="AW354" s="538">
        <f t="shared" si="65"/>
        <v>6815139.639410221</v>
      </c>
      <c r="AX354" s="606">
        <f t="shared" si="66"/>
        <v>54800.02591084077</v>
      </c>
      <c r="AY354" s="299">
        <f t="shared" si="67"/>
        <v>17413.388735015189</v>
      </c>
      <c r="AZ354" s="538">
        <f t="shared" si="68"/>
        <v>72213.414645855955</v>
      </c>
      <c r="BA354" s="540">
        <f t="shared" si="69"/>
        <v>0</v>
      </c>
      <c r="BB354" s="541">
        <f t="shared" si="70"/>
        <v>72213.414645855955</v>
      </c>
    </row>
    <row r="355" spans="38:54" ht="15" hidden="1" x14ac:dyDescent="0.35">
      <c r="AL355" s="11">
        <v>133</v>
      </c>
      <c r="AM355" s="300">
        <f t="shared" si="61"/>
        <v>6253642.4247061852</v>
      </c>
      <c r="AN355" s="300">
        <f t="shared" si="62"/>
        <v>50822.221163376606</v>
      </c>
      <c r="AO355" s="301">
        <f t="shared" si="58"/>
        <v>15980.066637099932</v>
      </c>
      <c r="AP355" s="300">
        <f t="shared" si="59"/>
        <v>66802.287800476537</v>
      </c>
      <c r="AQ355" s="10">
        <f t="shared" si="71"/>
        <v>0</v>
      </c>
      <c r="AR355" s="436">
        <f t="shared" si="63"/>
        <v>66802.287800476537</v>
      </c>
      <c r="AS355" s="436">
        <f t="shared" si="64"/>
        <v>66802.287800476537</v>
      </c>
      <c r="AT355" s="488">
        <f t="shared" si="60"/>
        <v>66802.287800476537</v>
      </c>
      <c r="AV355" s="11">
        <v>133</v>
      </c>
      <c r="AW355" s="538">
        <f t="shared" si="65"/>
        <v>6760200.7106559258</v>
      </c>
      <c r="AX355" s="606">
        <f t="shared" si="66"/>
        <v>54938.928754295332</v>
      </c>
      <c r="AY355" s="299">
        <f t="shared" si="67"/>
        <v>17274.485891560631</v>
      </c>
      <c r="AZ355" s="538">
        <f t="shared" si="68"/>
        <v>72213.414645855955</v>
      </c>
      <c r="BA355" s="540">
        <f t="shared" si="69"/>
        <v>0</v>
      </c>
      <c r="BB355" s="541">
        <f t="shared" si="70"/>
        <v>72213.414645855955</v>
      </c>
    </row>
    <row r="356" spans="38:54" ht="15" hidden="1" x14ac:dyDescent="0.35">
      <c r="AL356" s="11">
        <v>134</v>
      </c>
      <c r="AM356" s="300">
        <f t="shared" si="61"/>
        <v>6202691.3833294427</v>
      </c>
      <c r="AN356" s="300">
        <f t="shared" si="62"/>
        <v>50951.041376742112</v>
      </c>
      <c r="AO356" s="301">
        <f t="shared" si="58"/>
        <v>15851.246423734428</v>
      </c>
      <c r="AP356" s="300">
        <f t="shared" si="59"/>
        <v>66802.287800476537</v>
      </c>
      <c r="AQ356" s="10">
        <f t="shared" si="71"/>
        <v>0</v>
      </c>
      <c r="AR356" s="436">
        <f t="shared" si="63"/>
        <v>66802.287800476537</v>
      </c>
      <c r="AS356" s="436">
        <f t="shared" si="64"/>
        <v>66802.287800476537</v>
      </c>
      <c r="AT356" s="488">
        <f t="shared" si="60"/>
        <v>66802.287800476537</v>
      </c>
      <c r="AV356" s="11">
        <v>134</v>
      </c>
      <c r="AW356" s="538">
        <f t="shared" si="65"/>
        <v>6705122.5269780522</v>
      </c>
      <c r="AX356" s="606">
        <f t="shared" si="66"/>
        <v>55078.183677873931</v>
      </c>
      <c r="AY356" s="299">
        <f t="shared" si="67"/>
        <v>17135.230967982036</v>
      </c>
      <c r="AZ356" s="538">
        <f t="shared" si="68"/>
        <v>72213.41464585597</v>
      </c>
      <c r="BA356" s="540">
        <f t="shared" si="69"/>
        <v>0</v>
      </c>
      <c r="BB356" s="541">
        <f t="shared" si="70"/>
        <v>72213.41464585597</v>
      </c>
    </row>
    <row r="357" spans="38:54" ht="15" hidden="1" x14ac:dyDescent="0.35">
      <c r="AL357" s="11">
        <v>135</v>
      </c>
      <c r="AM357" s="300">
        <f t="shared" si="61"/>
        <v>6151611.1952158771</v>
      </c>
      <c r="AN357" s="300">
        <f t="shared" si="62"/>
        <v>51080.188113565106</v>
      </c>
      <c r="AO357" s="301">
        <f t="shared" si="58"/>
        <v>15722.099686911433</v>
      </c>
      <c r="AP357" s="300">
        <f t="shared" si="59"/>
        <v>66802.287800476537</v>
      </c>
      <c r="AQ357" s="10">
        <f t="shared" si="71"/>
        <v>0</v>
      </c>
      <c r="AR357" s="436">
        <f t="shared" si="63"/>
        <v>66802.287800476537</v>
      </c>
      <c r="AS357" s="436">
        <f t="shared" si="64"/>
        <v>66802.287800476537</v>
      </c>
      <c r="AT357" s="488">
        <f t="shared" si="60"/>
        <v>66802.287800476537</v>
      </c>
      <c r="AV357" s="11">
        <v>135</v>
      </c>
      <c r="AW357" s="538">
        <f t="shared" si="65"/>
        <v>6649904.73540405</v>
      </c>
      <c r="AX357" s="606">
        <f t="shared" si="66"/>
        <v>55217.79157400188</v>
      </c>
      <c r="AY357" s="299">
        <f t="shared" si="67"/>
        <v>16995.62307185409</v>
      </c>
      <c r="AZ357" s="538">
        <f t="shared" si="68"/>
        <v>72213.41464585597</v>
      </c>
      <c r="BA357" s="540">
        <f t="shared" si="69"/>
        <v>0</v>
      </c>
      <c r="BB357" s="541">
        <f t="shared" si="70"/>
        <v>72213.41464585597</v>
      </c>
    </row>
    <row r="358" spans="38:54" ht="15" hidden="1" x14ac:dyDescent="0.35">
      <c r="AL358" s="11">
        <v>136</v>
      </c>
      <c r="AM358" s="300">
        <f t="shared" si="61"/>
        <v>6100401.533014385</v>
      </c>
      <c r="AN358" s="300">
        <f t="shared" si="62"/>
        <v>51209.662201491847</v>
      </c>
      <c r="AO358" s="301">
        <f t="shared" si="58"/>
        <v>15592.625598984687</v>
      </c>
      <c r="AP358" s="300">
        <f t="shared" si="59"/>
        <v>66802.287800476537</v>
      </c>
      <c r="AQ358" s="10">
        <f t="shared" si="71"/>
        <v>0</v>
      </c>
      <c r="AR358" s="436">
        <f t="shared" si="63"/>
        <v>66802.287800476537</v>
      </c>
      <c r="AS358" s="436">
        <f t="shared" si="64"/>
        <v>66802.287800476537</v>
      </c>
      <c r="AT358" s="488">
        <f t="shared" si="60"/>
        <v>66802.287800476537</v>
      </c>
      <c r="AV358" s="11">
        <v>136</v>
      </c>
      <c r="AW358" s="538">
        <f t="shared" si="65"/>
        <v>6594546.9820666835</v>
      </c>
      <c r="AX358" s="606">
        <f t="shared" si="66"/>
        <v>55357.753337366521</v>
      </c>
      <c r="AY358" s="299">
        <f t="shared" si="67"/>
        <v>16855.661308489434</v>
      </c>
      <c r="AZ358" s="538">
        <f t="shared" si="68"/>
        <v>72213.414645855955</v>
      </c>
      <c r="BA358" s="540">
        <f t="shared" si="69"/>
        <v>0</v>
      </c>
      <c r="BB358" s="541">
        <f t="shared" si="70"/>
        <v>72213.414645855955</v>
      </c>
    </row>
    <row r="359" spans="38:54" ht="15" hidden="1" x14ac:dyDescent="0.35">
      <c r="AL359" s="11">
        <v>137</v>
      </c>
      <c r="AM359" s="300">
        <f t="shared" si="61"/>
        <v>6049062.0685441187</v>
      </c>
      <c r="AN359" s="300">
        <f t="shared" si="62"/>
        <v>51339.464470266459</v>
      </c>
      <c r="AO359" s="301">
        <f t="shared" si="58"/>
        <v>15462.823330210073</v>
      </c>
      <c r="AP359" s="300">
        <f t="shared" si="59"/>
        <v>66802.287800476537</v>
      </c>
      <c r="AQ359" s="10">
        <f t="shared" si="71"/>
        <v>0</v>
      </c>
      <c r="AR359" s="436">
        <f t="shared" si="63"/>
        <v>66802.287800476537</v>
      </c>
      <c r="AS359" s="436">
        <f t="shared" si="64"/>
        <v>66802.287800476537</v>
      </c>
      <c r="AT359" s="488">
        <f t="shared" si="60"/>
        <v>66802.287800476537</v>
      </c>
      <c r="AV359" s="11">
        <v>137</v>
      </c>
      <c r="AW359" s="538">
        <f t="shared" si="65"/>
        <v>6539048.9122017603</v>
      </c>
      <c r="AX359" s="606">
        <f t="shared" si="66"/>
        <v>55498.069864923047</v>
      </c>
      <c r="AY359" s="299">
        <f t="shared" si="67"/>
        <v>16715.344780932912</v>
      </c>
      <c r="AZ359" s="538">
        <f t="shared" si="68"/>
        <v>72213.414645855955</v>
      </c>
      <c r="BA359" s="540">
        <f t="shared" si="69"/>
        <v>0</v>
      </c>
      <c r="BB359" s="541">
        <f t="shared" si="70"/>
        <v>72213.414645855955</v>
      </c>
    </row>
    <row r="360" spans="38:54" ht="15" hidden="1" x14ac:dyDescent="0.35">
      <c r="AL360" s="11">
        <v>138</v>
      </c>
      <c r="AM360" s="300">
        <f t="shared" si="61"/>
        <v>5997592.4727923824</v>
      </c>
      <c r="AN360" s="300">
        <f t="shared" si="62"/>
        <v>51469.595751736233</v>
      </c>
      <c r="AO360" s="301">
        <f t="shared" si="58"/>
        <v>15332.6920487403</v>
      </c>
      <c r="AP360" s="300">
        <f t="shared" si="59"/>
        <v>66802.287800476537</v>
      </c>
      <c r="AQ360" s="10">
        <f t="shared" si="71"/>
        <v>0</v>
      </c>
      <c r="AR360" s="436">
        <f t="shared" si="63"/>
        <v>66802.287800476537</v>
      </c>
      <c r="AS360" s="436">
        <f t="shared" si="64"/>
        <v>66802.287800476537</v>
      </c>
      <c r="AT360" s="488">
        <f t="shared" si="60"/>
        <v>66802.287800476537</v>
      </c>
      <c r="AV360" s="11">
        <v>138</v>
      </c>
      <c r="AW360" s="538">
        <f t="shared" si="65"/>
        <v>6483410.1701458599</v>
      </c>
      <c r="AX360" s="606">
        <f t="shared" si="66"/>
        <v>55638.742055900104</v>
      </c>
      <c r="AY360" s="299">
        <f t="shared" si="67"/>
        <v>16574.672589955848</v>
      </c>
      <c r="AZ360" s="538">
        <f t="shared" si="68"/>
        <v>72213.414645855955</v>
      </c>
      <c r="BA360" s="540">
        <f t="shared" si="69"/>
        <v>0</v>
      </c>
      <c r="BB360" s="541">
        <f t="shared" si="70"/>
        <v>72213.414645855955</v>
      </c>
    </row>
    <row r="361" spans="38:54" ht="15" hidden="1" x14ac:dyDescent="0.35">
      <c r="AL361" s="11">
        <v>139</v>
      </c>
      <c r="AM361" s="300">
        <f t="shared" si="61"/>
        <v>5945992.4159125257</v>
      </c>
      <c r="AN361" s="300">
        <f t="shared" si="62"/>
        <v>51600.056879856958</v>
      </c>
      <c r="AO361" s="301">
        <f t="shared" si="58"/>
        <v>15202.230920619579</v>
      </c>
      <c r="AP361" s="300">
        <f t="shared" si="59"/>
        <v>66802.287800476537</v>
      </c>
      <c r="AQ361" s="10">
        <f t="shared" si="71"/>
        <v>0</v>
      </c>
      <c r="AR361" s="436">
        <f t="shared" si="63"/>
        <v>66802.287800476537</v>
      </c>
      <c r="AS361" s="436">
        <f t="shared" si="64"/>
        <v>66802.287800476537</v>
      </c>
      <c r="AT361" s="488">
        <f t="shared" si="60"/>
        <v>66802.287800476537</v>
      </c>
      <c r="AV361" s="11">
        <v>139</v>
      </c>
      <c r="AW361" s="538">
        <f t="shared" si="65"/>
        <v>6427630.3993340544</v>
      </c>
      <c r="AX361" s="606">
        <f t="shared" si="66"/>
        <v>55779.770811805698</v>
      </c>
      <c r="AY361" s="299">
        <f t="shared" si="67"/>
        <v>16433.643834050272</v>
      </c>
      <c r="AZ361" s="538">
        <f t="shared" si="68"/>
        <v>72213.41464585597</v>
      </c>
      <c r="BA361" s="540">
        <f t="shared" si="69"/>
        <v>0</v>
      </c>
      <c r="BB361" s="541">
        <f t="shared" si="70"/>
        <v>72213.41464585597</v>
      </c>
    </row>
    <row r="362" spans="38:54" ht="15" hidden="1" x14ac:dyDescent="0.35">
      <c r="AL362" s="11">
        <v>140</v>
      </c>
      <c r="AM362" s="300">
        <f t="shared" si="61"/>
        <v>5894261.5672218278</v>
      </c>
      <c r="AN362" s="300">
        <f t="shared" si="62"/>
        <v>51730.848690698265</v>
      </c>
      <c r="AO362" s="301">
        <f t="shared" si="58"/>
        <v>15071.439109778275</v>
      </c>
      <c r="AP362" s="300">
        <f t="shared" si="59"/>
        <v>66802.287800476537</v>
      </c>
      <c r="AQ362" s="10">
        <f t="shared" si="71"/>
        <v>0</v>
      </c>
      <c r="AR362" s="436">
        <f t="shared" si="63"/>
        <v>66802.287800476537</v>
      </c>
      <c r="AS362" s="436">
        <f t="shared" si="64"/>
        <v>66802.287800476537</v>
      </c>
      <c r="AT362" s="488">
        <f t="shared" si="60"/>
        <v>66802.287800476537</v>
      </c>
      <c r="AV362" s="11">
        <v>140</v>
      </c>
      <c r="AW362" s="538">
        <f t="shared" si="65"/>
        <v>6371709.2422976214</v>
      </c>
      <c r="AX362" s="606">
        <f t="shared" si="66"/>
        <v>55921.157036432836</v>
      </c>
      <c r="AY362" s="299">
        <f t="shared" si="67"/>
        <v>16292.257609423124</v>
      </c>
      <c r="AZ362" s="538">
        <f t="shared" si="68"/>
        <v>72213.414645855955</v>
      </c>
      <c r="BA362" s="540">
        <f t="shared" si="69"/>
        <v>0</v>
      </c>
      <c r="BB362" s="541">
        <f t="shared" si="70"/>
        <v>72213.414645855955</v>
      </c>
    </row>
    <row r="363" spans="38:54" ht="15" hidden="1" x14ac:dyDescent="0.35">
      <c r="AL363" s="11">
        <v>141</v>
      </c>
      <c r="AM363" s="300">
        <f t="shared" si="61"/>
        <v>5842399.5951993791</v>
      </c>
      <c r="AN363" s="300">
        <f t="shared" si="62"/>
        <v>51861.972022448994</v>
      </c>
      <c r="AO363" s="301">
        <f t="shared" si="58"/>
        <v>14940.315778027551</v>
      </c>
      <c r="AP363" s="300">
        <f t="shared" si="59"/>
        <v>66802.287800476537</v>
      </c>
      <c r="AQ363" s="10">
        <f t="shared" si="71"/>
        <v>0</v>
      </c>
      <c r="AR363" s="436">
        <f t="shared" si="63"/>
        <v>66802.287800476537</v>
      </c>
      <c r="AS363" s="436">
        <f t="shared" si="64"/>
        <v>66802.287800476537</v>
      </c>
      <c r="AT363" s="488">
        <f t="shared" si="60"/>
        <v>66802.287800476537</v>
      </c>
      <c r="AV363" s="11">
        <v>141</v>
      </c>
      <c r="AW363" s="538">
        <f t="shared" si="65"/>
        <v>6315646.3406617558</v>
      </c>
      <c r="AX363" s="606">
        <f t="shared" si="66"/>
        <v>56062.90163586547</v>
      </c>
      <c r="AY363" s="299">
        <f t="shared" si="67"/>
        <v>16150.513009990498</v>
      </c>
      <c r="AZ363" s="538">
        <f t="shared" si="68"/>
        <v>72213.41464585597</v>
      </c>
      <c r="BA363" s="540">
        <f t="shared" si="69"/>
        <v>0</v>
      </c>
      <c r="BB363" s="541">
        <f t="shared" si="70"/>
        <v>72213.41464585597</v>
      </c>
    </row>
    <row r="364" spans="38:54" ht="15" hidden="1" x14ac:dyDescent="0.35">
      <c r="AL364" s="11">
        <v>142</v>
      </c>
      <c r="AM364" s="300">
        <f t="shared" si="61"/>
        <v>5790406.1674839566</v>
      </c>
      <c r="AN364" s="300">
        <f t="shared" si="62"/>
        <v>51993.427715422557</v>
      </c>
      <c r="AO364" s="301">
        <f t="shared" si="58"/>
        <v>14808.860085053981</v>
      </c>
      <c r="AP364" s="300">
        <f t="shared" si="59"/>
        <v>66802.287800476537</v>
      </c>
      <c r="AQ364" s="10">
        <f t="shared" si="71"/>
        <v>0</v>
      </c>
      <c r="AR364" s="436">
        <f t="shared" si="63"/>
        <v>66802.287800476537</v>
      </c>
      <c r="AS364" s="436">
        <f t="shared" si="64"/>
        <v>66802.287800476537</v>
      </c>
      <c r="AT364" s="488">
        <f t="shared" si="60"/>
        <v>66802.287800476537</v>
      </c>
      <c r="AV364" s="11">
        <v>142</v>
      </c>
      <c r="AW364" s="538">
        <f t="shared" si="65"/>
        <v>6259441.3351432718</v>
      </c>
      <c r="AX364" s="606">
        <f t="shared" si="66"/>
        <v>56205.005518484155</v>
      </c>
      <c r="AY364" s="299">
        <f t="shared" si="67"/>
        <v>16008.409127371811</v>
      </c>
      <c r="AZ364" s="538">
        <f t="shared" si="68"/>
        <v>72213.41464585597</v>
      </c>
      <c r="BA364" s="540">
        <f t="shared" si="69"/>
        <v>0</v>
      </c>
      <c r="BB364" s="541">
        <f t="shared" si="70"/>
        <v>72213.41464585597</v>
      </c>
    </row>
    <row r="365" spans="38:54" ht="15" hidden="1" x14ac:dyDescent="0.35">
      <c r="AL365" s="11">
        <v>143</v>
      </c>
      <c r="AM365" s="300">
        <f t="shared" si="61"/>
        <v>5738280.9508718941</v>
      </c>
      <c r="AN365" s="300">
        <f t="shared" si="62"/>
        <v>52125.216612062344</v>
      </c>
      <c r="AO365" s="301">
        <f t="shared" si="58"/>
        <v>14677.071188414197</v>
      </c>
      <c r="AP365" s="300">
        <f t="shared" si="59"/>
        <v>66802.287800476537</v>
      </c>
      <c r="AQ365" s="10">
        <f t="shared" si="71"/>
        <v>0</v>
      </c>
      <c r="AR365" s="436">
        <f t="shared" si="63"/>
        <v>66802.287800476537</v>
      </c>
      <c r="AS365" s="436">
        <f t="shared" si="64"/>
        <v>66802.287800476537</v>
      </c>
      <c r="AT365" s="488">
        <f t="shared" si="60"/>
        <v>66802.287800476537</v>
      </c>
      <c r="AV365" s="11">
        <v>143</v>
      </c>
      <c r="AW365" s="538">
        <f t="shared" si="65"/>
        <v>6203093.8655482996</v>
      </c>
      <c r="AX365" s="606">
        <f t="shared" si="66"/>
        <v>56347.469594971975</v>
      </c>
      <c r="AY365" s="299">
        <f t="shared" si="67"/>
        <v>15865.945050883987</v>
      </c>
      <c r="AZ365" s="538">
        <f t="shared" si="68"/>
        <v>72213.414645855955</v>
      </c>
      <c r="BA365" s="540">
        <f t="shared" si="69"/>
        <v>0</v>
      </c>
      <c r="BB365" s="541">
        <f t="shared" si="70"/>
        <v>72213.414645855955</v>
      </c>
    </row>
    <row r="366" spans="38:54" ht="15" hidden="1" x14ac:dyDescent="0.35">
      <c r="AL366" s="11">
        <v>144</v>
      </c>
      <c r="AM366" s="300">
        <f t="shared" si="61"/>
        <v>5686023.6113149468</v>
      </c>
      <c r="AN366" s="300">
        <f t="shared" si="62"/>
        <v>52257.339556947089</v>
      </c>
      <c r="AO366" s="301">
        <f t="shared" si="58"/>
        <v>14544.948243529452</v>
      </c>
      <c r="AP366" s="300">
        <f t="shared" si="59"/>
        <v>66802.287800476537</v>
      </c>
      <c r="AQ366" s="10">
        <f t="shared" si="71"/>
        <v>0</v>
      </c>
      <c r="AR366" s="436">
        <f t="shared" si="63"/>
        <v>66802.287800476537</v>
      </c>
      <c r="AS366" s="436">
        <f t="shared" si="64"/>
        <v>66802.287800476537</v>
      </c>
      <c r="AT366" s="488">
        <f t="shared" si="60"/>
        <v>66802.287800476537</v>
      </c>
      <c r="AV366" s="11">
        <v>144</v>
      </c>
      <c r="AW366" s="538">
        <f t="shared" si="65"/>
        <v>6146603.5707699796</v>
      </c>
      <c r="AX366" s="606">
        <f t="shared" si="66"/>
        <v>56490.294778320349</v>
      </c>
      <c r="AY366" s="299">
        <f t="shared" si="67"/>
        <v>15723.119867535619</v>
      </c>
      <c r="AZ366" s="538">
        <f t="shared" si="68"/>
        <v>72213.41464585597</v>
      </c>
      <c r="BA366" s="540">
        <f t="shared" si="69"/>
        <v>0</v>
      </c>
      <c r="BB366" s="541">
        <f t="shared" si="70"/>
        <v>72213.41464585597</v>
      </c>
    </row>
    <row r="367" spans="38:54" ht="15" hidden="1" x14ac:dyDescent="0.35">
      <c r="AL367" s="11">
        <v>145</v>
      </c>
      <c r="AM367" s="300">
        <f t="shared" si="61"/>
        <v>5633633.813918151</v>
      </c>
      <c r="AN367" s="300">
        <f t="shared" si="62"/>
        <v>52389.79739679629</v>
      </c>
      <c r="AO367" s="301">
        <f t="shared" si="58"/>
        <v>14412.490403680247</v>
      </c>
      <c r="AP367" s="300">
        <f t="shared" si="59"/>
        <v>66802.287800476537</v>
      </c>
      <c r="AQ367" s="10">
        <f t="shared" si="71"/>
        <v>0</v>
      </c>
      <c r="AR367" s="436">
        <f t="shared" si="63"/>
        <v>66802.287800476537</v>
      </c>
      <c r="AS367" s="436">
        <f t="shared" si="64"/>
        <v>66802.287800476537</v>
      </c>
      <c r="AT367" s="488">
        <f t="shared" si="60"/>
        <v>66802.287800476537</v>
      </c>
      <c r="AV367" s="11">
        <v>145</v>
      </c>
      <c r="AW367" s="538">
        <f t="shared" si="65"/>
        <v>6089970.0887861447</v>
      </c>
      <c r="AX367" s="606">
        <f t="shared" si="66"/>
        <v>56633.481983834827</v>
      </c>
      <c r="AY367" s="299">
        <f t="shared" si="67"/>
        <v>15579.93266202113</v>
      </c>
      <c r="AZ367" s="538">
        <f t="shared" si="68"/>
        <v>72213.414645855955</v>
      </c>
      <c r="BA367" s="540">
        <f t="shared" si="69"/>
        <v>0</v>
      </c>
      <c r="BB367" s="541">
        <f t="shared" si="70"/>
        <v>72213.414645855955</v>
      </c>
    </row>
    <row r="368" spans="38:54" ht="15" hidden="1" x14ac:dyDescent="0.35">
      <c r="AL368" s="11">
        <v>146</v>
      </c>
      <c r="AM368" s="300">
        <f t="shared" si="61"/>
        <v>5581111.2229376752</v>
      </c>
      <c r="AN368" s="300">
        <f t="shared" si="62"/>
        <v>52522.590980475674</v>
      </c>
      <c r="AO368" s="301">
        <f t="shared" si="58"/>
        <v>14279.696820000871</v>
      </c>
      <c r="AP368" s="300">
        <f t="shared" si="59"/>
        <v>66802.287800476537</v>
      </c>
      <c r="AQ368" s="10">
        <f t="shared" si="71"/>
        <v>0</v>
      </c>
      <c r="AR368" s="436">
        <f t="shared" si="63"/>
        <v>66802.287800476537</v>
      </c>
      <c r="AS368" s="436">
        <f t="shared" si="64"/>
        <v>66802.287800476537</v>
      </c>
      <c r="AT368" s="488">
        <f t="shared" si="60"/>
        <v>66802.287800476537</v>
      </c>
      <c r="AV368" s="11">
        <v>146</v>
      </c>
      <c r="AW368" s="538">
        <f t="shared" si="65"/>
        <v>6033193.0566570032</v>
      </c>
      <c r="AX368" s="606">
        <f t="shared" si="66"/>
        <v>56777.03212914108</v>
      </c>
      <c r="AY368" s="299">
        <f t="shared" si="67"/>
        <v>15436.382516714883</v>
      </c>
      <c r="AZ368" s="538">
        <f t="shared" si="68"/>
        <v>72213.414645855955</v>
      </c>
      <c r="BA368" s="540">
        <f t="shared" si="69"/>
        <v>0</v>
      </c>
      <c r="BB368" s="541">
        <f t="shared" si="70"/>
        <v>72213.414645855955</v>
      </c>
    </row>
    <row r="369" spans="38:54" ht="15" hidden="1" x14ac:dyDescent="0.35">
      <c r="AL369" s="11">
        <v>147</v>
      </c>
      <c r="AM369" s="300">
        <f t="shared" si="61"/>
        <v>5528455.5017786724</v>
      </c>
      <c r="AN369" s="300">
        <f t="shared" si="62"/>
        <v>52655.721159002569</v>
      </c>
      <c r="AO369" s="301">
        <f t="shared" si="58"/>
        <v>14146.566641473968</v>
      </c>
      <c r="AP369" s="300">
        <f t="shared" si="59"/>
        <v>66802.287800476537</v>
      </c>
      <c r="AQ369" s="10">
        <f t="shared" si="71"/>
        <v>0</v>
      </c>
      <c r="AR369" s="436">
        <f t="shared" si="63"/>
        <v>66802.287800476537</v>
      </c>
      <c r="AS369" s="436">
        <f t="shared" si="64"/>
        <v>66802.287800476537</v>
      </c>
      <c r="AT369" s="488">
        <f t="shared" si="60"/>
        <v>66802.287800476537</v>
      </c>
      <c r="AV369" s="11">
        <v>147</v>
      </c>
      <c r="AW369" s="538">
        <f t="shared" si="65"/>
        <v>5976272.1105228122</v>
      </c>
      <c r="AX369" s="606">
        <f t="shared" si="66"/>
        <v>56920.946134190635</v>
      </c>
      <c r="AY369" s="299">
        <f t="shared" si="67"/>
        <v>15292.468511665322</v>
      </c>
      <c r="AZ369" s="538">
        <f t="shared" si="68"/>
        <v>72213.414645855955</v>
      </c>
      <c r="BA369" s="540">
        <f t="shared" si="69"/>
        <v>0</v>
      </c>
      <c r="BB369" s="541">
        <f t="shared" si="70"/>
        <v>72213.414645855955</v>
      </c>
    </row>
    <row r="370" spans="38:54" ht="15" hidden="1" x14ac:dyDescent="0.35">
      <c r="AL370" s="11">
        <v>148</v>
      </c>
      <c r="AM370" s="300">
        <f t="shared" si="61"/>
        <v>5475666.3129931213</v>
      </c>
      <c r="AN370" s="300">
        <f t="shared" si="62"/>
        <v>52789.188785551436</v>
      </c>
      <c r="AO370" s="301">
        <f t="shared" si="58"/>
        <v>14013.099014925108</v>
      </c>
      <c r="AP370" s="300">
        <f t="shared" si="59"/>
        <v>66802.287800476537</v>
      </c>
      <c r="AQ370" s="10">
        <f t="shared" si="71"/>
        <v>0</v>
      </c>
      <c r="AR370" s="436">
        <f t="shared" si="63"/>
        <v>66802.287800476537</v>
      </c>
      <c r="AS370" s="436">
        <f t="shared" si="64"/>
        <v>66802.287800476537</v>
      </c>
      <c r="AT370" s="488">
        <f t="shared" si="60"/>
        <v>66802.287800476537</v>
      </c>
      <c r="AV370" s="11">
        <v>148</v>
      </c>
      <c r="AW370" s="538">
        <f t="shared" si="65"/>
        <v>5919206.8856015457</v>
      </c>
      <c r="AX370" s="606">
        <f t="shared" si="66"/>
        <v>57065.22492126689</v>
      </c>
      <c r="AY370" s="299">
        <f t="shared" si="67"/>
        <v>15148.189724589074</v>
      </c>
      <c r="AZ370" s="538">
        <f t="shared" si="68"/>
        <v>72213.41464585597</v>
      </c>
      <c r="BA370" s="540">
        <f t="shared" si="69"/>
        <v>0</v>
      </c>
      <c r="BB370" s="541">
        <f t="shared" si="70"/>
        <v>72213.41464585597</v>
      </c>
    </row>
    <row r="371" spans="38:54" ht="15" hidden="1" x14ac:dyDescent="0.35">
      <c r="AL371" s="11">
        <v>149</v>
      </c>
      <c r="AM371" s="300">
        <f t="shared" si="61"/>
        <v>5422743.3182776617</v>
      </c>
      <c r="AN371" s="300">
        <f t="shared" si="62"/>
        <v>52922.994715459252</v>
      </c>
      <c r="AO371" s="301">
        <f t="shared" si="58"/>
        <v>13879.293085017287</v>
      </c>
      <c r="AP371" s="300">
        <f t="shared" si="59"/>
        <v>66802.287800476537</v>
      </c>
      <c r="AQ371" s="10">
        <f t="shared" si="71"/>
        <v>0</v>
      </c>
      <c r="AR371" s="436">
        <f t="shared" si="63"/>
        <v>66802.287800476537</v>
      </c>
      <c r="AS371" s="436">
        <f t="shared" si="64"/>
        <v>66802.287800476537</v>
      </c>
      <c r="AT371" s="488">
        <f t="shared" si="60"/>
        <v>66802.287800476537</v>
      </c>
      <c r="AV371" s="11">
        <v>149</v>
      </c>
      <c r="AW371" s="538">
        <f t="shared" si="65"/>
        <v>5861997.0161865549</v>
      </c>
      <c r="AX371" s="606">
        <f t="shared" si="66"/>
        <v>57209.869414990942</v>
      </c>
      <c r="AY371" s="299">
        <f t="shared" si="67"/>
        <v>15003.545230865029</v>
      </c>
      <c r="AZ371" s="538">
        <f t="shared" si="68"/>
        <v>72213.41464585597</v>
      </c>
      <c r="BA371" s="540">
        <f t="shared" si="69"/>
        <v>0</v>
      </c>
      <c r="BB371" s="541">
        <f t="shared" si="70"/>
        <v>72213.41464585597</v>
      </c>
    </row>
    <row r="372" spans="38:54" ht="15" hidden="1" x14ac:dyDescent="0.35">
      <c r="AL372" s="11">
        <v>150</v>
      </c>
      <c r="AM372" s="300">
        <f t="shared" si="61"/>
        <v>5369686.1784714302</v>
      </c>
      <c r="AN372" s="300">
        <f t="shared" si="62"/>
        <v>53057.139806231076</v>
      </c>
      <c r="AO372" s="301">
        <f t="shared" si="58"/>
        <v>13745.147994245463</v>
      </c>
      <c r="AP372" s="300">
        <f t="shared" si="59"/>
        <v>66802.287800476537</v>
      </c>
      <c r="AQ372" s="10">
        <f t="shared" si="71"/>
        <v>0</v>
      </c>
      <c r="AR372" s="436">
        <f t="shared" si="63"/>
        <v>66802.287800476537</v>
      </c>
      <c r="AS372" s="436">
        <f t="shared" si="64"/>
        <v>66802.287800476537</v>
      </c>
      <c r="AT372" s="488">
        <f t="shared" si="60"/>
        <v>66802.287800476537</v>
      </c>
      <c r="AV372" s="11">
        <v>150</v>
      </c>
      <c r="AW372" s="538">
        <f t="shared" si="65"/>
        <v>5804642.1356442273</v>
      </c>
      <c r="AX372" s="606">
        <f t="shared" si="66"/>
        <v>57354.880542327541</v>
      </c>
      <c r="AY372" s="299">
        <f t="shared" si="67"/>
        <v>14858.534103528418</v>
      </c>
      <c r="AZ372" s="538">
        <f t="shared" si="68"/>
        <v>72213.414645855955</v>
      </c>
      <c r="BA372" s="540">
        <f t="shared" si="69"/>
        <v>0</v>
      </c>
      <c r="BB372" s="541">
        <f t="shared" si="70"/>
        <v>72213.414645855955</v>
      </c>
    </row>
    <row r="373" spans="38:54" ht="15" hidden="1" x14ac:dyDescent="0.35">
      <c r="AL373" s="11">
        <v>151</v>
      </c>
      <c r="AM373" s="300">
        <f t="shared" si="61"/>
        <v>5316494.5535538848</v>
      </c>
      <c r="AN373" s="300">
        <f t="shared" si="62"/>
        <v>53191.62491754548</v>
      </c>
      <c r="AO373" s="301">
        <f t="shared" si="58"/>
        <v>13610.662882931058</v>
      </c>
      <c r="AP373" s="300">
        <f t="shared" si="59"/>
        <v>66802.287800476537</v>
      </c>
      <c r="AQ373" s="10">
        <f t="shared" si="71"/>
        <v>0</v>
      </c>
      <c r="AR373" s="436">
        <f t="shared" si="63"/>
        <v>66802.287800476537</v>
      </c>
      <c r="AS373" s="436">
        <f t="shared" si="64"/>
        <v>66802.287800476537</v>
      </c>
      <c r="AT373" s="488">
        <f t="shared" si="60"/>
        <v>66802.287800476537</v>
      </c>
      <c r="AV373" s="11">
        <v>151</v>
      </c>
      <c r="AW373" s="538">
        <f t="shared" si="65"/>
        <v>5747141.8764116364</v>
      </c>
      <c r="AX373" s="606">
        <f t="shared" si="66"/>
        <v>57500.259232591081</v>
      </c>
      <c r="AY373" s="299">
        <f t="shared" si="67"/>
        <v>14713.15541326488</v>
      </c>
      <c r="AZ373" s="538">
        <f t="shared" si="68"/>
        <v>72213.414645855955</v>
      </c>
      <c r="BA373" s="540">
        <f t="shared" si="69"/>
        <v>0</v>
      </c>
      <c r="BB373" s="541">
        <f t="shared" si="70"/>
        <v>72213.414645855955</v>
      </c>
    </row>
    <row r="374" spans="38:54" ht="15" hidden="1" x14ac:dyDescent="0.35">
      <c r="AL374" s="11">
        <v>152</v>
      </c>
      <c r="AM374" s="300">
        <f t="shared" si="61"/>
        <v>5263168.1026426246</v>
      </c>
      <c r="AN374" s="300">
        <f t="shared" si="62"/>
        <v>53326.450911260094</v>
      </c>
      <c r="AO374" s="301">
        <f t="shared" si="58"/>
        <v>13475.836889216444</v>
      </c>
      <c r="AP374" s="300">
        <f t="shared" si="59"/>
        <v>66802.287800476537</v>
      </c>
      <c r="AQ374" s="10">
        <f t="shared" si="71"/>
        <v>0</v>
      </c>
      <c r="AR374" s="436">
        <f t="shared" si="63"/>
        <v>66802.287800476537</v>
      </c>
      <c r="AS374" s="436">
        <f t="shared" si="64"/>
        <v>66802.287800476537</v>
      </c>
      <c r="AT374" s="488">
        <f t="shared" si="60"/>
        <v>66802.287800476537</v>
      </c>
      <c r="AU374" s="301"/>
      <c r="AV374" s="11">
        <v>152</v>
      </c>
      <c r="AW374" s="538">
        <f t="shared" si="65"/>
        <v>5689495.8699941849</v>
      </c>
      <c r="AX374" s="606">
        <f t="shared" si="66"/>
        <v>57646.00641745147</v>
      </c>
      <c r="AY374" s="299">
        <f t="shared" si="67"/>
        <v>14567.408228404494</v>
      </c>
      <c r="AZ374" s="538">
        <f t="shared" si="68"/>
        <v>72213.41464585597</v>
      </c>
      <c r="BA374" s="540">
        <f t="shared" si="69"/>
        <v>0</v>
      </c>
      <c r="BB374" s="541">
        <f t="shared" si="70"/>
        <v>72213.41464585597</v>
      </c>
    </row>
    <row r="375" spans="38:54" ht="15" hidden="1" x14ac:dyDescent="0.35">
      <c r="AL375" s="11">
        <v>153</v>
      </c>
      <c r="AM375" s="300">
        <f t="shared" si="61"/>
        <v>5209706.4839912076</v>
      </c>
      <c r="AN375" s="300">
        <f t="shared" si="62"/>
        <v>53461.618651417099</v>
      </c>
      <c r="AO375" s="301">
        <f t="shared" si="58"/>
        <v>13340.669149059429</v>
      </c>
      <c r="AP375" s="300">
        <f t="shared" si="59"/>
        <v>66802.287800476523</v>
      </c>
      <c r="AQ375" s="10">
        <f t="shared" si="71"/>
        <v>0</v>
      </c>
      <c r="AR375" s="436">
        <f t="shared" si="63"/>
        <v>66802.287800476523</v>
      </c>
      <c r="AS375" s="436">
        <f t="shared" si="64"/>
        <v>66802.287800476523</v>
      </c>
      <c r="AT375" s="488">
        <f t="shared" si="60"/>
        <v>66802.287800476523</v>
      </c>
      <c r="AU375" s="301"/>
      <c r="AV375" s="11">
        <v>153</v>
      </c>
      <c r="AW375" s="538">
        <f t="shared" si="65"/>
        <v>5631703.7469632449</v>
      </c>
      <c r="AX375" s="606">
        <f t="shared" si="66"/>
        <v>57792.123030940144</v>
      </c>
      <c r="AY375" s="299">
        <f t="shared" si="67"/>
        <v>14421.291614915817</v>
      </c>
      <c r="AZ375" s="538">
        <f t="shared" si="68"/>
        <v>72213.414645855955</v>
      </c>
      <c r="BA375" s="540">
        <f t="shared" si="69"/>
        <v>0</v>
      </c>
      <c r="BB375" s="541">
        <f t="shared" si="70"/>
        <v>72213.414645855955</v>
      </c>
    </row>
    <row r="376" spans="38:54" ht="15" hidden="1" x14ac:dyDescent="0.35">
      <c r="AL376" s="11">
        <v>154</v>
      </c>
      <c r="AM376" s="300">
        <f t="shared" si="61"/>
        <v>5156109.3549869591</v>
      </c>
      <c r="AN376" s="300">
        <f t="shared" si="62"/>
        <v>53597.129004248825</v>
      </c>
      <c r="AO376" s="301">
        <f t="shared" si="58"/>
        <v>13205.158796227714</v>
      </c>
      <c r="AP376" s="300">
        <f t="shared" si="59"/>
        <v>66802.287800476537</v>
      </c>
      <c r="AQ376" s="10">
        <f t="shared" si="71"/>
        <v>0</v>
      </c>
      <c r="AR376" s="436">
        <f t="shared" si="63"/>
        <v>66802.287800476537</v>
      </c>
      <c r="AS376" s="436">
        <f t="shared" si="64"/>
        <v>66802.287800476537</v>
      </c>
      <c r="AT376" s="488">
        <f t="shared" si="60"/>
        <v>66802.287800476537</v>
      </c>
      <c r="AU376" s="301"/>
      <c r="AV376" s="11">
        <v>154</v>
      </c>
      <c r="AW376" s="538">
        <f t="shared" si="65"/>
        <v>5573765.1369537888</v>
      </c>
      <c r="AX376" s="606">
        <f t="shared" si="66"/>
        <v>57938.610009456075</v>
      </c>
      <c r="AY376" s="299">
        <f t="shared" si="67"/>
        <v>14274.804636399893</v>
      </c>
      <c r="AZ376" s="538">
        <f t="shared" si="68"/>
        <v>72213.41464585597</v>
      </c>
      <c r="BA376" s="540">
        <f t="shared" si="69"/>
        <v>0</v>
      </c>
      <c r="BB376" s="541">
        <f t="shared" si="70"/>
        <v>72213.41464585597</v>
      </c>
    </row>
    <row r="377" spans="38:54" ht="15" hidden="1" x14ac:dyDescent="0.35">
      <c r="AL377" s="11">
        <v>155</v>
      </c>
      <c r="AM377" s="300">
        <f t="shared" si="61"/>
        <v>5102376.3721487755</v>
      </c>
      <c r="AN377" s="300">
        <f t="shared" si="62"/>
        <v>53732.982838183205</v>
      </c>
      <c r="AO377" s="301">
        <f t="shared" si="58"/>
        <v>13069.304962293332</v>
      </c>
      <c r="AP377" s="300">
        <f t="shared" si="59"/>
        <v>66802.287800476537</v>
      </c>
      <c r="AQ377" s="10">
        <f t="shared" si="71"/>
        <v>0</v>
      </c>
      <c r="AR377" s="436">
        <f t="shared" si="63"/>
        <v>66802.287800476537</v>
      </c>
      <c r="AS377" s="436">
        <f t="shared" si="64"/>
        <v>66802.287800476537</v>
      </c>
      <c r="AT377" s="488">
        <f t="shared" si="60"/>
        <v>66802.287800476537</v>
      </c>
      <c r="AU377" s="301"/>
      <c r="AV377" s="11">
        <v>155</v>
      </c>
      <c r="AW377" s="538">
        <f t="shared" si="65"/>
        <v>5515679.6686620172</v>
      </c>
      <c r="AX377" s="606">
        <f t="shared" si="66"/>
        <v>58085.4682917717</v>
      </c>
      <c r="AY377" s="299">
        <f t="shared" si="67"/>
        <v>14127.946354084257</v>
      </c>
      <c r="AZ377" s="538">
        <f t="shared" si="68"/>
        <v>72213.414645855955</v>
      </c>
      <c r="BA377" s="540">
        <f t="shared" si="69"/>
        <v>0</v>
      </c>
      <c r="BB377" s="541">
        <f t="shared" si="70"/>
        <v>72213.414645855955</v>
      </c>
    </row>
    <row r="378" spans="38:54" ht="15" hidden="1" x14ac:dyDescent="0.35">
      <c r="AL378" s="11">
        <v>156</v>
      </c>
      <c r="AM378" s="300">
        <f t="shared" si="61"/>
        <v>5048507.1911249263</v>
      </c>
      <c r="AN378" s="300">
        <f t="shared" si="62"/>
        <v>53869.181023849429</v>
      </c>
      <c r="AO378" s="301">
        <f t="shared" si="58"/>
        <v>12933.106776627104</v>
      </c>
      <c r="AP378" s="300">
        <f t="shared" si="59"/>
        <v>66802.287800476537</v>
      </c>
      <c r="AQ378" s="10">
        <f t="shared" si="71"/>
        <v>0</v>
      </c>
      <c r="AR378" s="436">
        <f t="shared" si="63"/>
        <v>66802.287800476537</v>
      </c>
      <c r="AS378" s="436">
        <f t="shared" si="64"/>
        <v>66802.287800476537</v>
      </c>
      <c r="AT378" s="488">
        <f t="shared" si="60"/>
        <v>66802.287800476537</v>
      </c>
      <c r="AU378" s="301"/>
      <c r="AV378" s="11">
        <v>156</v>
      </c>
      <c r="AW378" s="538">
        <f t="shared" si="65"/>
        <v>5457446.9698429778</v>
      </c>
      <c r="AX378" s="606">
        <f t="shared" si="66"/>
        <v>58232.698819039048</v>
      </c>
      <c r="AY378" s="299">
        <f t="shared" si="67"/>
        <v>13980.715826816919</v>
      </c>
      <c r="AZ378" s="538">
        <f t="shared" si="68"/>
        <v>72213.41464585597</v>
      </c>
      <c r="BA378" s="540">
        <f t="shared" si="69"/>
        <v>0</v>
      </c>
      <c r="BB378" s="541">
        <f t="shared" si="70"/>
        <v>72213.41464585597</v>
      </c>
    </row>
    <row r="379" spans="38:54" ht="15" hidden="1" x14ac:dyDescent="0.35">
      <c r="AL379" s="11">
        <v>157</v>
      </c>
      <c r="AM379" s="300">
        <f t="shared" si="61"/>
        <v>4994501.466690843</v>
      </c>
      <c r="AN379" s="300">
        <f t="shared" si="62"/>
        <v>54005.724434083502</v>
      </c>
      <c r="AO379" s="301">
        <f t="shared" si="58"/>
        <v>12796.563366393042</v>
      </c>
      <c r="AP379" s="300">
        <f t="shared" si="59"/>
        <v>66802.287800476537</v>
      </c>
      <c r="AQ379" s="10">
        <f t="shared" si="71"/>
        <v>0</v>
      </c>
      <c r="AR379" s="436">
        <f t="shared" si="63"/>
        <v>66802.287800476537</v>
      </c>
      <c r="AS379" s="436">
        <f t="shared" si="64"/>
        <v>66802.287800476537</v>
      </c>
      <c r="AT379" s="488">
        <f t="shared" si="60"/>
        <v>66802.287800476537</v>
      </c>
      <c r="AU379" s="301"/>
      <c r="AV379" s="11">
        <v>157</v>
      </c>
      <c r="AW379" s="538">
        <f t="shared" si="65"/>
        <v>5399066.6673081825</v>
      </c>
      <c r="AX379" s="606">
        <f t="shared" si="66"/>
        <v>58380.302534795635</v>
      </c>
      <c r="AY379" s="299">
        <f t="shared" si="67"/>
        <v>13833.112111060325</v>
      </c>
      <c r="AZ379" s="538">
        <f t="shared" si="68"/>
        <v>72213.414645855955</v>
      </c>
      <c r="BA379" s="540">
        <f t="shared" si="69"/>
        <v>0</v>
      </c>
      <c r="BB379" s="541">
        <f t="shared" si="70"/>
        <v>72213.414645855955</v>
      </c>
    </row>
    <row r="380" spans="38:54" ht="15" hidden="1" x14ac:dyDescent="0.35">
      <c r="AL380" s="11">
        <v>158</v>
      </c>
      <c r="AM380" s="300">
        <f t="shared" si="61"/>
        <v>4940358.8527469095</v>
      </c>
      <c r="AN380" s="300">
        <f t="shared" si="62"/>
        <v>54142.613943933771</v>
      </c>
      <c r="AO380" s="301">
        <f t="shared" si="58"/>
        <v>12659.673856542762</v>
      </c>
      <c r="AP380" s="300">
        <f t="shared" si="59"/>
        <v>66802.287800476537</v>
      </c>
      <c r="AQ380" s="10">
        <f t="shared" si="71"/>
        <v>0</v>
      </c>
      <c r="AR380" s="436">
        <f t="shared" si="63"/>
        <v>66802.287800476537</v>
      </c>
      <c r="AS380" s="436">
        <f t="shared" si="64"/>
        <v>66802.287800476537</v>
      </c>
      <c r="AT380" s="488">
        <f t="shared" si="60"/>
        <v>66802.287800476537</v>
      </c>
      <c r="AU380" s="301"/>
      <c r="AV380" s="11">
        <v>158</v>
      </c>
      <c r="AW380" s="538">
        <f t="shared" si="65"/>
        <v>5340538.3869232116</v>
      </c>
      <c r="AX380" s="606">
        <f t="shared" si="66"/>
        <v>58528.28038497064</v>
      </c>
      <c r="AY380" s="299">
        <f t="shared" si="67"/>
        <v>13685.134260885325</v>
      </c>
      <c r="AZ380" s="538">
        <f t="shared" si="68"/>
        <v>72213.41464585597</v>
      </c>
      <c r="BA380" s="540">
        <f t="shared" si="69"/>
        <v>0</v>
      </c>
      <c r="BB380" s="541">
        <f t="shared" si="70"/>
        <v>72213.41464585597</v>
      </c>
    </row>
    <row r="381" spans="38:54" ht="15" hidden="1" x14ac:dyDescent="0.35">
      <c r="AL381" s="11">
        <v>159</v>
      </c>
      <c r="AM381" s="300">
        <f t="shared" si="61"/>
        <v>4886079.002316243</v>
      </c>
      <c r="AN381" s="300">
        <f t="shared" si="62"/>
        <v>54279.850430666665</v>
      </c>
      <c r="AO381" s="301">
        <f t="shared" si="58"/>
        <v>12522.437369809873</v>
      </c>
      <c r="AP381" s="300">
        <f t="shared" si="59"/>
        <v>66802.287800476537</v>
      </c>
      <c r="AQ381" s="10">
        <f t="shared" si="71"/>
        <v>0</v>
      </c>
      <c r="AR381" s="436">
        <f t="shared" si="63"/>
        <v>66802.287800476537</v>
      </c>
      <c r="AS381" s="436">
        <f t="shared" si="64"/>
        <v>66802.287800476537</v>
      </c>
      <c r="AT381" s="488">
        <f t="shared" si="60"/>
        <v>66802.287800476537</v>
      </c>
      <c r="AU381" s="301"/>
      <c r="AV381" s="11">
        <v>159</v>
      </c>
      <c r="AW381" s="538">
        <f t="shared" si="65"/>
        <v>5281861.753605321</v>
      </c>
      <c r="AX381" s="606">
        <f t="shared" si="66"/>
        <v>58676.633317890875</v>
      </c>
      <c r="AY381" s="299">
        <f t="shared" si="67"/>
        <v>13536.781327965085</v>
      </c>
      <c r="AZ381" s="538">
        <f t="shared" si="68"/>
        <v>72213.414645855955</v>
      </c>
      <c r="BA381" s="540">
        <f t="shared" si="69"/>
        <v>0</v>
      </c>
      <c r="BB381" s="541">
        <f t="shared" si="70"/>
        <v>72213.414645855955</v>
      </c>
    </row>
    <row r="382" spans="38:54" ht="15" hidden="1" x14ac:dyDescent="0.35">
      <c r="AL382" s="11">
        <v>160</v>
      </c>
      <c r="AM382" s="300">
        <f t="shared" si="61"/>
        <v>4831661.567542471</v>
      </c>
      <c r="AN382" s="300">
        <f t="shared" si="62"/>
        <v>54417.434773772176</v>
      </c>
      <c r="AO382" s="301">
        <f t="shared" si="58"/>
        <v>12384.853026704366</v>
      </c>
      <c r="AP382" s="300">
        <f t="shared" si="59"/>
        <v>66802.287800476537</v>
      </c>
      <c r="AQ382" s="10">
        <f t="shared" si="71"/>
        <v>0</v>
      </c>
      <c r="AR382" s="436">
        <f t="shared" si="63"/>
        <v>66802.287800476537</v>
      </c>
      <c r="AS382" s="436">
        <f t="shared" si="64"/>
        <v>66802.287800476537</v>
      </c>
      <c r="AT382" s="488">
        <f t="shared" si="60"/>
        <v>66802.287800476537</v>
      </c>
      <c r="AU382" s="301"/>
      <c r="AV382" s="11">
        <v>160</v>
      </c>
      <c r="AW382" s="538">
        <f t="shared" si="65"/>
        <v>5223036.3913210342</v>
      </c>
      <c r="AX382" s="606">
        <f t="shared" si="66"/>
        <v>58825.362284286915</v>
      </c>
      <c r="AY382" s="299">
        <f t="shared" si="67"/>
        <v>13388.052361569042</v>
      </c>
      <c r="AZ382" s="538">
        <f t="shared" si="68"/>
        <v>72213.414645855955</v>
      </c>
      <c r="BA382" s="540">
        <f t="shared" si="69"/>
        <v>0</v>
      </c>
      <c r="BB382" s="541">
        <f t="shared" si="70"/>
        <v>72213.414645855955</v>
      </c>
    </row>
    <row r="383" spans="38:54" ht="15" hidden="1" x14ac:dyDescent="0.35">
      <c r="AL383" s="11">
        <v>161</v>
      </c>
      <c r="AM383" s="300">
        <f t="shared" si="61"/>
        <v>4777106.1996875014</v>
      </c>
      <c r="AN383" s="300">
        <f t="shared" si="62"/>
        <v>54555.367854969583</v>
      </c>
      <c r="AO383" s="301">
        <f t="shared" si="58"/>
        <v>12246.919945506959</v>
      </c>
      <c r="AP383" s="300">
        <f t="shared" si="59"/>
        <v>66802.287800476537</v>
      </c>
      <c r="AQ383" s="10">
        <f t="shared" si="71"/>
        <v>0</v>
      </c>
      <c r="AR383" s="436">
        <f t="shared" si="63"/>
        <v>66802.287800476537</v>
      </c>
      <c r="AS383" s="436">
        <f t="shared" si="64"/>
        <v>66802.287800476537</v>
      </c>
      <c r="AT383" s="488">
        <f t="shared" si="60"/>
        <v>66802.287800476537</v>
      </c>
      <c r="AU383" s="301"/>
      <c r="AV383" s="11">
        <v>161</v>
      </c>
      <c r="AW383" s="538">
        <f t="shared" si="65"/>
        <v>5164061.9230837347</v>
      </c>
      <c r="AX383" s="606">
        <f t="shared" si="66"/>
        <v>58974.468237299174</v>
      </c>
      <c r="AY383" s="299">
        <f t="shared" si="67"/>
        <v>13238.946408556789</v>
      </c>
      <c r="AZ383" s="538">
        <f t="shared" si="68"/>
        <v>72213.414645855955</v>
      </c>
      <c r="BA383" s="540">
        <f t="shared" si="69"/>
        <v>0</v>
      </c>
      <c r="BB383" s="541">
        <f t="shared" si="70"/>
        <v>72213.414645855955</v>
      </c>
    </row>
    <row r="384" spans="38:54" ht="15" hidden="1" x14ac:dyDescent="0.35">
      <c r="AL384" s="11">
        <v>162</v>
      </c>
      <c r="AM384" s="300">
        <f t="shared" si="61"/>
        <v>4722412.5491292886</v>
      </c>
      <c r="AN384" s="300">
        <f t="shared" ref="AN384:AN415" si="72">PPMT($AN$32/360*(365/12),AL384,$AN$24,-$AN$23)</f>
        <v>54693.650558213078</v>
      </c>
      <c r="AO384" s="301">
        <f t="shared" si="58"/>
        <v>12108.637242263458</v>
      </c>
      <c r="AP384" s="300">
        <f t="shared" si="59"/>
        <v>66802.287800476537</v>
      </c>
      <c r="AQ384" s="10">
        <f t="shared" si="71"/>
        <v>0</v>
      </c>
      <c r="AR384" s="436">
        <f t="shared" si="63"/>
        <v>66802.287800476537</v>
      </c>
      <c r="AS384" s="436">
        <f t="shared" si="64"/>
        <v>66802.287800476537</v>
      </c>
      <c r="AT384" s="488">
        <f t="shared" si="60"/>
        <v>66802.287800476537</v>
      </c>
      <c r="AU384" s="301"/>
      <c r="AV384" s="11">
        <v>162</v>
      </c>
      <c r="AW384" s="538">
        <f t="shared" si="65"/>
        <v>5104937.9709512508</v>
      </c>
      <c r="AX384" s="606">
        <f t="shared" si="66"/>
        <v>59123.952132483995</v>
      </c>
      <c r="AY384" s="299">
        <f t="shared" si="67"/>
        <v>13089.462513371967</v>
      </c>
      <c r="AZ384" s="538">
        <f t="shared" si="68"/>
        <v>72213.414645855955</v>
      </c>
      <c r="BA384" s="540">
        <f t="shared" si="69"/>
        <v>0</v>
      </c>
      <c r="BB384" s="541">
        <f t="shared" si="70"/>
        <v>72213.414645855955</v>
      </c>
    </row>
    <row r="385" spans="38:54" ht="15" hidden="1" x14ac:dyDescent="0.35">
      <c r="AL385" s="11">
        <v>163</v>
      </c>
      <c r="AM385" s="300">
        <f t="shared" si="61"/>
        <v>4667580.2653595908</v>
      </c>
      <c r="AN385" s="300">
        <f t="shared" si="72"/>
        <v>54832.283769697431</v>
      </c>
      <c r="AO385" s="301">
        <f t="shared" si="58"/>
        <v>11970.004030779099</v>
      </c>
      <c r="AP385" s="300">
        <f t="shared" si="59"/>
        <v>66802.287800476537</v>
      </c>
      <c r="AQ385" s="10">
        <f t="shared" si="71"/>
        <v>0</v>
      </c>
      <c r="AR385" s="436">
        <f t="shared" si="63"/>
        <v>66802.287800476537</v>
      </c>
      <c r="AS385" s="436">
        <f t="shared" si="64"/>
        <v>66802.287800476537</v>
      </c>
      <c r="AT385" s="488">
        <f t="shared" si="60"/>
        <v>66802.287800476537</v>
      </c>
      <c r="AU385" s="301"/>
      <c r="AV385" s="11">
        <v>163</v>
      </c>
      <c r="AW385" s="538">
        <f t="shared" si="65"/>
        <v>5045664.1560234306</v>
      </c>
      <c r="AX385" s="606">
        <f t="shared" si="66"/>
        <v>59273.814927819803</v>
      </c>
      <c r="AY385" s="299">
        <f t="shared" si="67"/>
        <v>12939.599718036157</v>
      </c>
      <c r="AZ385" s="538">
        <f t="shared" si="68"/>
        <v>72213.414645855955</v>
      </c>
      <c r="BA385" s="540">
        <f t="shared" si="69"/>
        <v>0</v>
      </c>
      <c r="BB385" s="541">
        <f t="shared" si="70"/>
        <v>72213.414645855955</v>
      </c>
    </row>
    <row r="386" spans="38:54" ht="15" hidden="1" x14ac:dyDescent="0.35">
      <c r="AL386" s="11">
        <v>164</v>
      </c>
      <c r="AM386" s="300">
        <f t="shared" si="61"/>
        <v>4612608.996981727</v>
      </c>
      <c r="AN386" s="300">
        <f t="shared" si="72"/>
        <v>54971.268377863693</v>
      </c>
      <c r="AO386" s="301">
        <f t="shared" si="58"/>
        <v>11831.019422612851</v>
      </c>
      <c r="AP386" s="300">
        <f t="shared" si="59"/>
        <v>66802.287800476537</v>
      </c>
      <c r="AQ386" s="10">
        <f t="shared" si="71"/>
        <v>0</v>
      </c>
      <c r="AR386" s="436">
        <f t="shared" si="63"/>
        <v>66802.287800476537</v>
      </c>
      <c r="AS386" s="436">
        <f t="shared" si="64"/>
        <v>66802.287800476537</v>
      </c>
      <c r="AT386" s="488">
        <f t="shared" si="60"/>
        <v>66802.287800476537</v>
      </c>
      <c r="AU386" s="301"/>
      <c r="AV386" s="11">
        <v>164</v>
      </c>
      <c r="AW386" s="538">
        <f t="shared" si="65"/>
        <v>4986240.0984397177</v>
      </c>
      <c r="AX386" s="606">
        <f t="shared" si="66"/>
        <v>59424.057583713242</v>
      </c>
      <c r="AY386" s="299">
        <f t="shared" si="67"/>
        <v>12789.357062142722</v>
      </c>
      <c r="AZ386" s="538">
        <f t="shared" si="68"/>
        <v>72213.41464585597</v>
      </c>
      <c r="BA386" s="540">
        <f t="shared" si="69"/>
        <v>0</v>
      </c>
      <c r="BB386" s="541">
        <f t="shared" si="70"/>
        <v>72213.41464585597</v>
      </c>
    </row>
    <row r="387" spans="38:54" ht="15" hidden="1" x14ac:dyDescent="0.35">
      <c r="AL387" s="11">
        <v>165</v>
      </c>
      <c r="AM387" s="300">
        <f t="shared" si="61"/>
        <v>4557498.3917083219</v>
      </c>
      <c r="AN387" s="300">
        <f t="shared" si="72"/>
        <v>55110.605273404799</v>
      </c>
      <c r="AO387" s="301">
        <f t="shared" si="58"/>
        <v>11691.682527071738</v>
      </c>
      <c r="AP387" s="300">
        <f t="shared" si="59"/>
        <v>66802.287800476537</v>
      </c>
      <c r="AQ387" s="10">
        <f t="shared" si="71"/>
        <v>0</v>
      </c>
      <c r="AR387" s="436">
        <f t="shared" si="63"/>
        <v>66802.287800476537</v>
      </c>
      <c r="AS387" s="436">
        <f t="shared" si="64"/>
        <v>66802.287800476537</v>
      </c>
      <c r="AT387" s="488">
        <f t="shared" si="60"/>
        <v>66802.287800476537</v>
      </c>
      <c r="AU387" s="301"/>
      <c r="AV387" s="11">
        <v>165</v>
      </c>
      <c r="AW387" s="538">
        <f t="shared" si="65"/>
        <v>4926665.417376712</v>
      </c>
      <c r="AX387" s="606">
        <f t="shared" si="66"/>
        <v>59574.681063005293</v>
      </c>
      <c r="AY387" s="299">
        <f t="shared" si="67"/>
        <v>12638.733582850675</v>
      </c>
      <c r="AZ387" s="538">
        <f t="shared" si="68"/>
        <v>72213.41464585597</v>
      </c>
      <c r="BA387" s="540">
        <f t="shared" si="69"/>
        <v>0</v>
      </c>
      <c r="BB387" s="541">
        <f t="shared" si="70"/>
        <v>72213.41464585597</v>
      </c>
    </row>
    <row r="388" spans="38:54" ht="15" hidden="1" x14ac:dyDescent="0.35">
      <c r="AL388" s="11">
        <v>166</v>
      </c>
      <c r="AM388" s="300">
        <f t="shared" si="61"/>
        <v>4502248.0963590508</v>
      </c>
      <c r="AN388" s="300">
        <f t="shared" si="72"/>
        <v>55250.295349271415</v>
      </c>
      <c r="AO388" s="301">
        <f t="shared" si="58"/>
        <v>11551.99245120512</v>
      </c>
      <c r="AP388" s="300">
        <f t="shared" si="59"/>
        <v>66802.287800476537</v>
      </c>
      <c r="AQ388" s="10">
        <f t="shared" si="71"/>
        <v>0</v>
      </c>
      <c r="AR388" s="436">
        <f t="shared" si="63"/>
        <v>66802.287800476537</v>
      </c>
      <c r="AS388" s="436">
        <f t="shared" si="64"/>
        <v>66802.287800476537</v>
      </c>
      <c r="AT388" s="488">
        <f t="shared" si="60"/>
        <v>66802.287800476537</v>
      </c>
      <c r="AU388" s="301"/>
      <c r="AV388" s="11">
        <v>166</v>
      </c>
      <c r="AW388" s="538">
        <f t="shared" si="65"/>
        <v>4866939.7310457341</v>
      </c>
      <c r="AX388" s="606">
        <f t="shared" si="66"/>
        <v>59725.686330977493</v>
      </c>
      <c r="AY388" s="299">
        <f t="shared" si="67"/>
        <v>12487.728314878472</v>
      </c>
      <c r="AZ388" s="538">
        <f t="shared" si="68"/>
        <v>72213.41464585597</v>
      </c>
      <c r="BA388" s="540">
        <f t="shared" si="69"/>
        <v>0</v>
      </c>
      <c r="BB388" s="541">
        <f t="shared" si="70"/>
        <v>72213.41464585597</v>
      </c>
    </row>
    <row r="389" spans="38:54" ht="15" hidden="1" x14ac:dyDescent="0.35">
      <c r="AL389" s="11">
        <v>167</v>
      </c>
      <c r="AM389" s="300">
        <f t="shared" si="61"/>
        <v>4446857.7568583731</v>
      </c>
      <c r="AN389" s="300">
        <f t="shared" si="72"/>
        <v>55390.339500677561</v>
      </c>
      <c r="AO389" s="301">
        <f t="shared" si="58"/>
        <v>11411.948299798983</v>
      </c>
      <c r="AP389" s="300">
        <f t="shared" si="59"/>
        <v>66802.287800476537</v>
      </c>
      <c r="AQ389" s="10">
        <f t="shared" si="71"/>
        <v>0</v>
      </c>
      <c r="AR389" s="436">
        <f t="shared" si="63"/>
        <v>66802.287800476537</v>
      </c>
      <c r="AS389" s="436">
        <f t="shared" si="64"/>
        <v>66802.287800476537</v>
      </c>
      <c r="AT389" s="488">
        <f t="shared" si="60"/>
        <v>66802.287800476537</v>
      </c>
      <c r="AU389" s="301"/>
      <c r="AV389" s="11">
        <v>167</v>
      </c>
      <c r="AW389" s="538">
        <f t="shared" si="65"/>
        <v>4807062.6566903759</v>
      </c>
      <c r="AX389" s="606">
        <f t="shared" si="66"/>
        <v>59877.074355358091</v>
      </c>
      <c r="AY389" s="299">
        <f t="shared" si="67"/>
        <v>12336.340290497867</v>
      </c>
      <c r="AZ389" s="538">
        <f t="shared" si="68"/>
        <v>72213.414645855955</v>
      </c>
      <c r="BA389" s="540">
        <f t="shared" si="69"/>
        <v>0</v>
      </c>
      <c r="BB389" s="541">
        <f t="shared" si="70"/>
        <v>72213.414645855955</v>
      </c>
    </row>
    <row r="390" spans="38:54" ht="15" hidden="1" x14ac:dyDescent="0.35">
      <c r="AL390" s="11">
        <v>168</v>
      </c>
      <c r="AM390" s="300">
        <f t="shared" si="61"/>
        <v>4391327.0182332667</v>
      </c>
      <c r="AN390" s="300">
        <f t="shared" si="72"/>
        <v>55530.738625106358</v>
      </c>
      <c r="AO390" s="301">
        <f t="shared" si="58"/>
        <v>11271.549175370184</v>
      </c>
      <c r="AP390" s="300">
        <f t="shared" si="59"/>
        <v>66802.287800476537</v>
      </c>
      <c r="AQ390" s="10">
        <f t="shared" si="71"/>
        <v>0</v>
      </c>
      <c r="AR390" s="436">
        <f t="shared" si="63"/>
        <v>66802.287800476537</v>
      </c>
      <c r="AS390" s="436">
        <f t="shared" si="64"/>
        <v>66802.287800476537</v>
      </c>
      <c r="AT390" s="488">
        <f t="shared" si="60"/>
        <v>66802.287800476537</v>
      </c>
      <c r="AU390" s="301"/>
      <c r="AV390" s="11">
        <v>168</v>
      </c>
      <c r="AW390" s="538">
        <f t="shared" si="65"/>
        <v>4747033.8105840478</v>
      </c>
      <c r="AX390" s="606">
        <f t="shared" si="66"/>
        <v>60028.846106328267</v>
      </c>
      <c r="AY390" s="299">
        <f t="shared" si="67"/>
        <v>12184.568539527687</v>
      </c>
      <c r="AZ390" s="538">
        <f t="shared" si="68"/>
        <v>72213.414645855955</v>
      </c>
      <c r="BA390" s="540">
        <f t="shared" si="69"/>
        <v>0</v>
      </c>
      <c r="BB390" s="541">
        <f t="shared" si="70"/>
        <v>72213.414645855955</v>
      </c>
    </row>
    <row r="391" spans="38:54" ht="15" hidden="1" x14ac:dyDescent="0.35">
      <c r="AL391" s="11">
        <v>169</v>
      </c>
      <c r="AM391" s="300">
        <f t="shared" si="61"/>
        <v>4335655.5246109506</v>
      </c>
      <c r="AN391" s="300">
        <f t="shared" si="72"/>
        <v>55671.493622315829</v>
      </c>
      <c r="AO391" s="301">
        <f t="shared" si="58"/>
        <v>11130.79417816071</v>
      </c>
      <c r="AP391" s="300">
        <f t="shared" si="59"/>
        <v>66802.287800476537</v>
      </c>
      <c r="AQ391" s="10">
        <f t="shared" si="71"/>
        <v>0</v>
      </c>
      <c r="AR391" s="436">
        <f t="shared" si="63"/>
        <v>66802.287800476537</v>
      </c>
      <c r="AS391" s="436">
        <f t="shared" si="64"/>
        <v>66802.287800476537</v>
      </c>
      <c r="AT391" s="488">
        <f t="shared" si="60"/>
        <v>66802.287800476537</v>
      </c>
      <c r="AU391" s="301"/>
      <c r="AV391" s="11">
        <v>169</v>
      </c>
      <c r="AW391" s="538">
        <f t="shared" si="65"/>
        <v>4686852.8080275198</v>
      </c>
      <c r="AX391" s="606">
        <f t="shared" si="66"/>
        <v>60181.002556528343</v>
      </c>
      <c r="AY391" s="299">
        <f t="shared" si="67"/>
        <v>12032.412089327621</v>
      </c>
      <c r="AZ391" s="538">
        <f t="shared" si="68"/>
        <v>72213.41464585597</v>
      </c>
      <c r="BA391" s="540">
        <f t="shared" si="69"/>
        <v>0</v>
      </c>
      <c r="BB391" s="541">
        <f t="shared" si="70"/>
        <v>72213.41464585597</v>
      </c>
    </row>
    <row r="392" spans="38:54" ht="15" hidden="1" x14ac:dyDescent="0.35">
      <c r="AL392" s="11">
        <v>170</v>
      </c>
      <c r="AM392" s="300">
        <f t="shared" si="61"/>
        <v>4279842.9192166058</v>
      </c>
      <c r="AN392" s="300">
        <f t="shared" si="72"/>
        <v>55812.60539434461</v>
      </c>
      <c r="AO392" s="301">
        <f t="shared" si="58"/>
        <v>10989.682406131924</v>
      </c>
      <c r="AP392" s="300">
        <f t="shared" si="59"/>
        <v>66802.287800476537</v>
      </c>
      <c r="AQ392" s="10">
        <f t="shared" si="71"/>
        <v>0</v>
      </c>
      <c r="AR392" s="436">
        <f t="shared" si="63"/>
        <v>66802.287800476537</v>
      </c>
      <c r="AS392" s="436">
        <f t="shared" si="64"/>
        <v>66802.287800476537</v>
      </c>
      <c r="AT392" s="488">
        <f t="shared" si="60"/>
        <v>66802.287800476537</v>
      </c>
      <c r="AU392" s="301"/>
      <c r="AV392" s="11">
        <v>170</v>
      </c>
      <c r="AW392" s="538">
        <f t="shared" si="65"/>
        <v>4626519.263346456</v>
      </c>
      <c r="AX392" s="606">
        <f t="shared" si="66"/>
        <v>60333.544681063984</v>
      </c>
      <c r="AY392" s="299">
        <f t="shared" si="67"/>
        <v>11879.869964791978</v>
      </c>
      <c r="AZ392" s="538">
        <f t="shared" si="68"/>
        <v>72213.414645855955</v>
      </c>
      <c r="BA392" s="540">
        <f t="shared" si="69"/>
        <v>0</v>
      </c>
      <c r="BB392" s="541">
        <f t="shared" si="70"/>
        <v>72213.414645855955</v>
      </c>
    </row>
    <row r="393" spans="38:54" ht="15" hidden="1" x14ac:dyDescent="0.35">
      <c r="AL393" s="11">
        <v>171</v>
      </c>
      <c r="AM393" s="300">
        <f t="shared" si="61"/>
        <v>4223888.8443710878</v>
      </c>
      <c r="AN393" s="300">
        <f t="shared" si="72"/>
        <v>55954.074845517775</v>
      </c>
      <c r="AO393" s="301">
        <f t="shared" si="58"/>
        <v>10848.212954958757</v>
      </c>
      <c r="AP393" s="300">
        <f t="shared" si="59"/>
        <v>66802.287800476537</v>
      </c>
      <c r="AQ393" s="10">
        <f t="shared" si="71"/>
        <v>0</v>
      </c>
      <c r="AR393" s="436">
        <f t="shared" si="63"/>
        <v>66802.287800476537</v>
      </c>
      <c r="AS393" s="436">
        <f t="shared" si="64"/>
        <v>66802.287800476537</v>
      </c>
      <c r="AT393" s="488">
        <f t="shared" si="60"/>
        <v>66802.287800476537</v>
      </c>
      <c r="AU393" s="301"/>
      <c r="AV393" s="11">
        <v>171</v>
      </c>
      <c r="AW393" s="538">
        <f t="shared" si="65"/>
        <v>4566032.7898889435</v>
      </c>
      <c r="AX393" s="606">
        <f t="shared" si="66"/>
        <v>60486.473457512511</v>
      </c>
      <c r="AY393" s="299">
        <f t="shared" si="67"/>
        <v>11726.941188343446</v>
      </c>
      <c r="AZ393" s="538">
        <f t="shared" si="68"/>
        <v>72213.414645855955</v>
      </c>
      <c r="BA393" s="540">
        <f t="shared" si="69"/>
        <v>0</v>
      </c>
      <c r="BB393" s="541">
        <f t="shared" si="70"/>
        <v>72213.414645855955</v>
      </c>
    </row>
    <row r="394" spans="38:54" ht="15" hidden="1" x14ac:dyDescent="0.35">
      <c r="AL394" s="11">
        <v>172</v>
      </c>
      <c r="AM394" s="300">
        <f t="shared" si="61"/>
        <v>4167792.9414886353</v>
      </c>
      <c r="AN394" s="300">
        <f t="shared" si="72"/>
        <v>56095.902882452596</v>
      </c>
      <c r="AO394" s="301">
        <f t="shared" si="58"/>
        <v>10706.384918023938</v>
      </c>
      <c r="AP394" s="300">
        <f t="shared" si="59"/>
        <v>66802.287800476537</v>
      </c>
      <c r="AQ394" s="10">
        <f t="shared" si="71"/>
        <v>0</v>
      </c>
      <c r="AR394" s="436">
        <f t="shared" si="63"/>
        <v>66802.287800476537</v>
      </c>
      <c r="AS394" s="436">
        <f t="shared" si="64"/>
        <v>66802.287800476537</v>
      </c>
      <c r="AT394" s="488">
        <f t="shared" si="60"/>
        <v>66802.287800476537</v>
      </c>
      <c r="AU394" s="301"/>
      <c r="AV394" s="11">
        <v>172</v>
      </c>
      <c r="AW394" s="538">
        <f t="shared" si="65"/>
        <v>4505393.0000230148</v>
      </c>
      <c r="AX394" s="606">
        <f t="shared" si="66"/>
        <v>60639.789865929124</v>
      </c>
      <c r="AY394" s="299">
        <f t="shared" si="67"/>
        <v>11573.624779926835</v>
      </c>
      <c r="AZ394" s="538">
        <f t="shared" si="68"/>
        <v>72213.414645855955</v>
      </c>
      <c r="BA394" s="540">
        <f t="shared" si="69"/>
        <v>0</v>
      </c>
      <c r="BB394" s="541">
        <f t="shared" si="70"/>
        <v>72213.414645855955</v>
      </c>
    </row>
    <row r="395" spans="38:54" ht="15" hidden="1" x14ac:dyDescent="0.35">
      <c r="AL395" s="11">
        <v>173</v>
      </c>
      <c r="AM395" s="300">
        <f t="shared" si="61"/>
        <v>4111554.8510745708</v>
      </c>
      <c r="AN395" s="300">
        <f t="shared" si="72"/>
        <v>56238.090414064369</v>
      </c>
      <c r="AO395" s="301">
        <f t="shared" si="58"/>
        <v>10564.197386412166</v>
      </c>
      <c r="AP395" s="300">
        <f t="shared" si="59"/>
        <v>66802.287800476537</v>
      </c>
      <c r="AQ395" s="10">
        <f t="shared" si="71"/>
        <v>0</v>
      </c>
      <c r="AR395" s="436">
        <f t="shared" si="63"/>
        <v>66802.287800476537</v>
      </c>
      <c r="AS395" s="436">
        <f t="shared" si="64"/>
        <v>66802.287800476537</v>
      </c>
      <c r="AT395" s="488">
        <f t="shared" si="60"/>
        <v>66802.287800476537</v>
      </c>
      <c r="AU395" s="301"/>
      <c r="AV395" s="11">
        <v>173</v>
      </c>
      <c r="AW395" s="538">
        <f t="shared" si="65"/>
        <v>4444599.5051341616</v>
      </c>
      <c r="AX395" s="606">
        <f t="shared" si="66"/>
        <v>60793.49488885318</v>
      </c>
      <c r="AY395" s="299">
        <f t="shared" si="67"/>
        <v>11419.919757002781</v>
      </c>
      <c r="AZ395" s="538">
        <f t="shared" si="68"/>
        <v>72213.414645855955</v>
      </c>
      <c r="BA395" s="540">
        <f t="shared" si="69"/>
        <v>0</v>
      </c>
      <c r="BB395" s="541">
        <f t="shared" si="70"/>
        <v>72213.414645855955</v>
      </c>
    </row>
    <row r="396" spans="38:54" ht="15" hidden="1" x14ac:dyDescent="0.35">
      <c r="AL396" s="11">
        <v>174</v>
      </c>
      <c r="AM396" s="300">
        <f t="shared" si="61"/>
        <v>4055174.2127229986</v>
      </c>
      <c r="AN396" s="300">
        <f t="shared" si="72"/>
        <v>56380.638351572248</v>
      </c>
      <c r="AO396" s="301">
        <f t="shared" si="58"/>
        <v>10421.649448904294</v>
      </c>
      <c r="AP396" s="300">
        <f t="shared" si="59"/>
        <v>66802.287800476537</v>
      </c>
      <c r="AQ396" s="10">
        <f t="shared" si="71"/>
        <v>0</v>
      </c>
      <c r="AR396" s="436">
        <f t="shared" si="63"/>
        <v>66802.287800476537</v>
      </c>
      <c r="AS396" s="436">
        <f t="shared" si="64"/>
        <v>66802.287800476537</v>
      </c>
      <c r="AT396" s="488">
        <f t="shared" si="60"/>
        <v>66802.287800476537</v>
      </c>
      <c r="AU396" s="301"/>
      <c r="AV396" s="11">
        <v>174</v>
      </c>
      <c r="AW396" s="538">
        <f t="shared" si="65"/>
        <v>4383651.9156228472</v>
      </c>
      <c r="AX396" s="606">
        <f t="shared" si="66"/>
        <v>60947.589511314516</v>
      </c>
      <c r="AY396" s="299">
        <f t="shared" si="67"/>
        <v>11265.825134541452</v>
      </c>
      <c r="AZ396" s="538">
        <f t="shared" si="68"/>
        <v>72213.41464585597</v>
      </c>
      <c r="BA396" s="540">
        <f t="shared" si="69"/>
        <v>0</v>
      </c>
      <c r="BB396" s="541">
        <f t="shared" si="70"/>
        <v>72213.41464585597</v>
      </c>
    </row>
    <row r="397" spans="38:54" ht="15" hidden="1" x14ac:dyDescent="0.35">
      <c r="AL397" s="11">
        <v>175</v>
      </c>
      <c r="AM397" s="300">
        <f t="shared" si="61"/>
        <v>3998650.6651144936</v>
      </c>
      <c r="AN397" s="300">
        <f t="shared" si="72"/>
        <v>56523.547608505047</v>
      </c>
      <c r="AO397" s="301">
        <f t="shared" si="58"/>
        <v>10278.740191971488</v>
      </c>
      <c r="AP397" s="300">
        <f t="shared" si="59"/>
        <v>66802.287800476537</v>
      </c>
      <c r="AQ397" s="10">
        <f t="shared" si="71"/>
        <v>0</v>
      </c>
      <c r="AR397" s="436">
        <f t="shared" si="63"/>
        <v>66802.287800476537</v>
      </c>
      <c r="AS397" s="436">
        <f t="shared" si="64"/>
        <v>66802.287800476537</v>
      </c>
      <c r="AT397" s="488">
        <f t="shared" si="60"/>
        <v>66802.287800476537</v>
      </c>
      <c r="AU397" s="301"/>
      <c r="AV397" s="11">
        <v>175</v>
      </c>
      <c r="AW397" s="538">
        <f t="shared" si="65"/>
        <v>4322549.8409020072</v>
      </c>
      <c r="AX397" s="606">
        <f t="shared" si="66"/>
        <v>61102.074720839722</v>
      </c>
      <c r="AY397" s="299">
        <f t="shared" si="67"/>
        <v>11111.339925016246</v>
      </c>
      <c r="AZ397" s="538">
        <f t="shared" si="68"/>
        <v>72213.41464585597</v>
      </c>
      <c r="BA397" s="540">
        <f t="shared" si="69"/>
        <v>0</v>
      </c>
      <c r="BB397" s="541">
        <f t="shared" si="70"/>
        <v>72213.41464585597</v>
      </c>
    </row>
    <row r="398" spans="38:54" ht="15" hidden="1" x14ac:dyDescent="0.35">
      <c r="AL398" s="11">
        <v>176</v>
      </c>
      <c r="AM398" s="300">
        <f t="shared" si="61"/>
        <v>3941983.8460137863</v>
      </c>
      <c r="AN398" s="300">
        <f t="shared" si="72"/>
        <v>56666.819100707151</v>
      </c>
      <c r="AO398" s="301">
        <f t="shared" si="58"/>
        <v>10135.468699769377</v>
      </c>
      <c r="AP398" s="300">
        <f t="shared" si="59"/>
        <v>66802.287800476523</v>
      </c>
      <c r="AQ398" s="10">
        <f t="shared" si="71"/>
        <v>0</v>
      </c>
      <c r="AR398" s="436">
        <f t="shared" si="63"/>
        <v>66802.287800476523</v>
      </c>
      <c r="AS398" s="436">
        <f t="shared" si="64"/>
        <v>66802.287800476523</v>
      </c>
      <c r="AT398" s="488">
        <f t="shared" si="60"/>
        <v>66802.287800476523</v>
      </c>
      <c r="AU398" s="301"/>
      <c r="AV398" s="11">
        <v>176</v>
      </c>
      <c r="AW398" s="538">
        <f t="shared" si="65"/>
        <v>4261292.8893945487</v>
      </c>
      <c r="AX398" s="606">
        <f t="shared" si="66"/>
        <v>61256.951507458507</v>
      </c>
      <c r="AY398" s="299">
        <f t="shared" si="67"/>
        <v>10956.463138397448</v>
      </c>
      <c r="AZ398" s="538">
        <f t="shared" si="68"/>
        <v>72213.414645855955</v>
      </c>
      <c r="BA398" s="540">
        <f t="shared" si="69"/>
        <v>0</v>
      </c>
      <c r="BB398" s="541">
        <f t="shared" si="70"/>
        <v>72213.414645855955</v>
      </c>
    </row>
    <row r="399" spans="38:54" ht="15" hidden="1" x14ac:dyDescent="0.35">
      <c r="AL399" s="11">
        <v>177</v>
      </c>
      <c r="AM399" s="300">
        <f t="shared" si="61"/>
        <v>3885173.3922674418</v>
      </c>
      <c r="AN399" s="300">
        <f t="shared" si="72"/>
        <v>56810.45374634437</v>
      </c>
      <c r="AO399" s="301">
        <f t="shared" si="58"/>
        <v>9991.8340541321668</v>
      </c>
      <c r="AP399" s="300">
        <f t="shared" si="59"/>
        <v>66802.287800476537</v>
      </c>
      <c r="AQ399" s="10">
        <f t="shared" si="71"/>
        <v>0</v>
      </c>
      <c r="AR399" s="436">
        <f t="shared" si="63"/>
        <v>66802.287800476537</v>
      </c>
      <c r="AS399" s="436">
        <f t="shared" si="64"/>
        <v>66802.287800476537</v>
      </c>
      <c r="AT399" s="488">
        <f t="shared" si="60"/>
        <v>66802.287800476537</v>
      </c>
      <c r="AU399" s="301"/>
      <c r="AV399" s="11">
        <v>177</v>
      </c>
      <c r="AW399" s="538">
        <f t="shared" si="65"/>
        <v>4199880.6685308386</v>
      </c>
      <c r="AX399" s="606">
        <f t="shared" si="66"/>
        <v>61412.220863710056</v>
      </c>
      <c r="AY399" s="299">
        <f t="shared" si="67"/>
        <v>10801.193782145905</v>
      </c>
      <c r="AZ399" s="538">
        <f t="shared" si="68"/>
        <v>72213.414645855955</v>
      </c>
      <c r="BA399" s="540">
        <f t="shared" si="69"/>
        <v>0</v>
      </c>
      <c r="BB399" s="541">
        <f t="shared" si="70"/>
        <v>72213.414645855955</v>
      </c>
    </row>
    <row r="400" spans="38:54" ht="15" hidden="1" x14ac:dyDescent="0.35">
      <c r="AL400" s="11">
        <v>178</v>
      </c>
      <c r="AM400" s="300">
        <f t="shared" si="61"/>
        <v>3828218.9398015323</v>
      </c>
      <c r="AN400" s="300">
        <f t="shared" si="72"/>
        <v>56954.452465909751</v>
      </c>
      <c r="AO400" s="301">
        <f t="shared" si="58"/>
        <v>9847.8353345667801</v>
      </c>
      <c r="AP400" s="300">
        <f t="shared" si="59"/>
        <v>66802.287800476537</v>
      </c>
      <c r="AQ400" s="10">
        <f t="shared" si="71"/>
        <v>0</v>
      </c>
      <c r="AR400" s="436">
        <f t="shared" si="63"/>
        <v>66802.287800476537</v>
      </c>
      <c r="AS400" s="436">
        <f t="shared" si="64"/>
        <v>66802.287800476537</v>
      </c>
      <c r="AT400" s="488">
        <f t="shared" si="60"/>
        <v>66802.287800476537</v>
      </c>
      <c r="AU400" s="301"/>
      <c r="AV400" s="11">
        <v>178</v>
      </c>
      <c r="AW400" s="538">
        <f t="shared" si="65"/>
        <v>4138312.7847461891</v>
      </c>
      <c r="AX400" s="606">
        <f t="shared" si="66"/>
        <v>61567.883784649319</v>
      </c>
      <c r="AY400" s="299">
        <f t="shared" si="67"/>
        <v>10645.530861206638</v>
      </c>
      <c r="AZ400" s="538">
        <f t="shared" si="68"/>
        <v>72213.414645855955</v>
      </c>
      <c r="BA400" s="540">
        <f t="shared" si="69"/>
        <v>0</v>
      </c>
      <c r="BB400" s="541">
        <f t="shared" si="70"/>
        <v>72213.414645855955</v>
      </c>
    </row>
    <row r="401" spans="38:54" ht="15" hidden="1" x14ac:dyDescent="0.35">
      <c r="AL401" s="11">
        <v>179</v>
      </c>
      <c r="AM401" s="300">
        <f t="shared" si="61"/>
        <v>3771120.1236193026</v>
      </c>
      <c r="AN401" s="300">
        <f t="shared" si="72"/>
        <v>57098.816182229595</v>
      </c>
      <c r="AO401" s="301">
        <f t="shared" si="58"/>
        <v>9703.4716182469383</v>
      </c>
      <c r="AP401" s="300">
        <f t="shared" si="59"/>
        <v>66802.287800476537</v>
      </c>
      <c r="AQ401" s="10">
        <f t="shared" si="71"/>
        <v>0</v>
      </c>
      <c r="AR401" s="436">
        <f t="shared" si="63"/>
        <v>66802.287800476537</v>
      </c>
      <c r="AS401" s="436">
        <f t="shared" si="64"/>
        <v>66802.287800476537</v>
      </c>
      <c r="AT401" s="488">
        <f t="shared" si="60"/>
        <v>66802.287800476537</v>
      </c>
      <c r="AU401" s="301"/>
      <c r="AV401" s="11">
        <v>179</v>
      </c>
      <c r="AW401" s="538">
        <f t="shared" si="65"/>
        <v>4076588.8434783355</v>
      </c>
      <c r="AX401" s="606">
        <f t="shared" si="66"/>
        <v>61723.941267853472</v>
      </c>
      <c r="AY401" s="299">
        <f t="shared" si="67"/>
        <v>10489.473378002493</v>
      </c>
      <c r="AZ401" s="538">
        <f t="shared" si="68"/>
        <v>72213.41464585597</v>
      </c>
      <c r="BA401" s="540">
        <f t="shared" si="69"/>
        <v>0</v>
      </c>
      <c r="BB401" s="541">
        <f t="shared" si="70"/>
        <v>72213.41464585597</v>
      </c>
    </row>
    <row r="402" spans="38:54" ht="15" hidden="1" x14ac:dyDescent="0.35">
      <c r="AL402" s="11">
        <v>180</v>
      </c>
      <c r="AM402" s="300">
        <f t="shared" si="61"/>
        <v>3713876.5777988331</v>
      </c>
      <c r="AN402" s="300">
        <f t="shared" si="72"/>
        <v>57243.54582046927</v>
      </c>
      <c r="AO402" s="301">
        <f t="shared" si="58"/>
        <v>9558.7419800072603</v>
      </c>
      <c r="AP402" s="300">
        <f t="shared" si="59"/>
        <v>66802.287800476537</v>
      </c>
      <c r="AQ402" s="10">
        <f t="shared" si="71"/>
        <v>0</v>
      </c>
      <c r="AR402" s="436">
        <f t="shared" si="63"/>
        <v>66802.287800476537</v>
      </c>
      <c r="AS402" s="436">
        <f t="shared" si="64"/>
        <v>66802.287800476537</v>
      </c>
      <c r="AT402" s="488">
        <f t="shared" si="60"/>
        <v>66802.287800476537</v>
      </c>
      <c r="AU402" s="301"/>
      <c r="AV402" s="11">
        <v>180</v>
      </c>
      <c r="AW402" s="538">
        <f t="shared" si="65"/>
        <v>4014708.4491649074</v>
      </c>
      <c r="AX402" s="606">
        <f t="shared" si="66"/>
        <v>61880.394313428231</v>
      </c>
      <c r="AY402" s="299">
        <f t="shared" si="67"/>
        <v>10333.020332427724</v>
      </c>
      <c r="AZ402" s="538">
        <f t="shared" si="68"/>
        <v>72213.414645855955</v>
      </c>
      <c r="BA402" s="540">
        <f t="shared" si="69"/>
        <v>0</v>
      </c>
      <c r="BB402" s="541">
        <f t="shared" si="70"/>
        <v>72213.414645855955</v>
      </c>
    </row>
    <row r="403" spans="38:54" ht="15" hidden="1" x14ac:dyDescent="0.35">
      <c r="AL403" s="11">
        <v>181</v>
      </c>
      <c r="AM403" s="300">
        <f t="shared" si="61"/>
        <v>3656487.9354906939</v>
      </c>
      <c r="AN403" s="300">
        <f t="shared" si="72"/>
        <v>57388.642308139213</v>
      </c>
      <c r="AO403" s="301">
        <f t="shared" si="58"/>
        <v>9413.6454923373203</v>
      </c>
      <c r="AP403" s="300">
        <f t="shared" si="59"/>
        <v>66802.287800476537</v>
      </c>
      <c r="AQ403" s="10">
        <f t="shared" si="71"/>
        <v>0</v>
      </c>
      <c r="AR403" s="436">
        <f t="shared" si="63"/>
        <v>66802.287800476537</v>
      </c>
      <c r="AS403" s="436">
        <f t="shared" si="64"/>
        <v>66802.287800476537</v>
      </c>
      <c r="AT403" s="488">
        <f t="shared" si="60"/>
        <v>66802.287800476537</v>
      </c>
      <c r="AU403" s="301"/>
      <c r="AV403" s="11">
        <v>181</v>
      </c>
      <c r="AW403" s="538">
        <f t="shared" si="65"/>
        <v>3952671.2052408932</v>
      </c>
      <c r="AX403" s="606">
        <f t="shared" si="66"/>
        <v>62037.24392401435</v>
      </c>
      <c r="AY403" s="299">
        <f t="shared" si="67"/>
        <v>10176.170721841607</v>
      </c>
      <c r="AZ403" s="538">
        <f t="shared" si="68"/>
        <v>72213.414645855955</v>
      </c>
      <c r="BA403" s="540">
        <f t="shared" si="69"/>
        <v>0</v>
      </c>
      <c r="BB403" s="541">
        <f t="shared" si="70"/>
        <v>72213.414645855955</v>
      </c>
    </row>
    <row r="404" spans="38:54" ht="15" hidden="1" x14ac:dyDescent="0.35">
      <c r="AL404" s="11">
        <v>182</v>
      </c>
      <c r="AM404" s="300">
        <f t="shared" si="61"/>
        <v>3598953.8289155932</v>
      </c>
      <c r="AN404" s="300">
        <f t="shared" si="72"/>
        <v>57534.106575100814</v>
      </c>
      <c r="AO404" s="301">
        <f t="shared" si="58"/>
        <v>9268.181225375718</v>
      </c>
      <c r="AP404" s="300">
        <f t="shared" si="59"/>
        <v>66802.287800476537</v>
      </c>
      <c r="AQ404" s="10">
        <f t="shared" si="71"/>
        <v>0</v>
      </c>
      <c r="AR404" s="436">
        <f t="shared" si="63"/>
        <v>66802.287800476537</v>
      </c>
      <c r="AS404" s="436">
        <f t="shared" si="64"/>
        <v>66802.287800476537</v>
      </c>
      <c r="AT404" s="488">
        <f t="shared" si="60"/>
        <v>66802.287800476537</v>
      </c>
      <c r="AU404" s="301"/>
      <c r="AV404" s="11">
        <v>182</v>
      </c>
      <c r="AW404" s="538">
        <f t="shared" si="65"/>
        <v>3890476.714136099</v>
      </c>
      <c r="AX404" s="606">
        <f t="shared" si="66"/>
        <v>62194.491104793975</v>
      </c>
      <c r="AY404" s="299">
        <f t="shared" si="67"/>
        <v>10018.923541061986</v>
      </c>
      <c r="AZ404" s="538">
        <f t="shared" si="68"/>
        <v>72213.414645855955</v>
      </c>
      <c r="BA404" s="540">
        <f t="shared" si="69"/>
        <v>0</v>
      </c>
      <c r="BB404" s="541">
        <f t="shared" si="70"/>
        <v>72213.414645855955</v>
      </c>
    </row>
    <row r="405" spans="38:54" ht="15" hidden="1" x14ac:dyDescent="0.35">
      <c r="AL405" s="11">
        <v>183</v>
      </c>
      <c r="AM405" s="300">
        <f t="shared" si="61"/>
        <v>3541273.8893620209</v>
      </c>
      <c r="AN405" s="300">
        <f t="shared" si="72"/>
        <v>57679.939553572425</v>
      </c>
      <c r="AO405" s="301">
        <f t="shared" si="58"/>
        <v>9122.3482469041082</v>
      </c>
      <c r="AP405" s="300">
        <f t="shared" si="59"/>
        <v>66802.287800476537</v>
      </c>
      <c r="AQ405" s="10">
        <f t="shared" si="71"/>
        <v>0</v>
      </c>
      <c r="AR405" s="436">
        <f t="shared" si="63"/>
        <v>66802.287800476537</v>
      </c>
      <c r="AS405" s="436">
        <f t="shared" si="64"/>
        <v>66802.287800476537</v>
      </c>
      <c r="AT405" s="488">
        <f t="shared" si="60"/>
        <v>66802.287800476537</v>
      </c>
      <c r="AU405" s="301"/>
      <c r="AV405" s="11">
        <v>183</v>
      </c>
      <c r="AW405" s="538">
        <f t="shared" si="65"/>
        <v>3828124.5772726019</v>
      </c>
      <c r="AX405" s="606">
        <f t="shared" si="66"/>
        <v>62352.136863497093</v>
      </c>
      <c r="AY405" s="299">
        <f t="shared" si="67"/>
        <v>9861.2777823588622</v>
      </c>
      <c r="AZ405" s="538">
        <f t="shared" si="68"/>
        <v>72213.414645855955</v>
      </c>
      <c r="BA405" s="540">
        <f t="shared" si="69"/>
        <v>0</v>
      </c>
      <c r="BB405" s="541">
        <f t="shared" si="70"/>
        <v>72213.414645855955</v>
      </c>
    </row>
    <row r="406" spans="38:54" ht="15" hidden="1" x14ac:dyDescent="0.35">
      <c r="AL406" s="11">
        <v>184</v>
      </c>
      <c r="AM406" s="300">
        <f t="shared" si="61"/>
        <v>3483447.7471838854</v>
      </c>
      <c r="AN406" s="300">
        <f t="shared" si="72"/>
        <v>57826.142178135306</v>
      </c>
      <c r="AO406" s="301">
        <f t="shared" si="58"/>
        <v>8976.1456223412333</v>
      </c>
      <c r="AP406" s="300">
        <f t="shared" si="59"/>
        <v>66802.287800476537</v>
      </c>
      <c r="AQ406" s="10">
        <f t="shared" si="71"/>
        <v>0</v>
      </c>
      <c r="AR406" s="436">
        <f t="shared" si="63"/>
        <v>66802.287800476537</v>
      </c>
      <c r="AS406" s="436">
        <f t="shared" si="64"/>
        <v>66802.287800476537</v>
      </c>
      <c r="AT406" s="488">
        <f t="shared" si="60"/>
        <v>66802.287800476537</v>
      </c>
      <c r="AU406" s="301"/>
      <c r="AV406" s="11">
        <v>184</v>
      </c>
      <c r="AW406" s="538">
        <f t="shared" si="65"/>
        <v>3765614.3950621937</v>
      </c>
      <c r="AX406" s="606">
        <f t="shared" si="66"/>
        <v>62510.182210408049</v>
      </c>
      <c r="AY406" s="299">
        <f t="shared" si="67"/>
        <v>9703.2324354479151</v>
      </c>
      <c r="AZ406" s="538">
        <f t="shared" si="68"/>
        <v>72213.41464585597</v>
      </c>
      <c r="BA406" s="540">
        <f t="shared" si="69"/>
        <v>0</v>
      </c>
      <c r="BB406" s="541">
        <f t="shared" si="70"/>
        <v>72213.41464585597</v>
      </c>
    </row>
    <row r="407" spans="38:54" ht="15" hidden="1" x14ac:dyDescent="0.35">
      <c r="AL407" s="11">
        <v>185</v>
      </c>
      <c r="AM407" s="300">
        <f t="shared" si="61"/>
        <v>3425475.0317981457</v>
      </c>
      <c r="AN407" s="300">
        <f t="shared" si="72"/>
        <v>57972.715385739604</v>
      </c>
      <c r="AO407" s="301">
        <f t="shared" si="58"/>
        <v>8829.572414736931</v>
      </c>
      <c r="AP407" s="300">
        <f t="shared" si="59"/>
        <v>66802.287800476537</v>
      </c>
      <c r="AQ407" s="10">
        <f t="shared" si="71"/>
        <v>0</v>
      </c>
      <c r="AR407" s="436">
        <f t="shared" si="63"/>
        <v>66802.287800476537</v>
      </c>
      <c r="AS407" s="436">
        <f t="shared" si="64"/>
        <v>66802.287800476537</v>
      </c>
      <c r="AT407" s="488">
        <f t="shared" si="60"/>
        <v>66802.287800476537</v>
      </c>
      <c r="AU407" s="301"/>
      <c r="AV407" s="11">
        <v>185</v>
      </c>
      <c r="AW407" s="538">
        <f t="shared" si="65"/>
        <v>3702945.7669038218</v>
      </c>
      <c r="AX407" s="606">
        <f t="shared" si="66"/>
        <v>62668.628158371932</v>
      </c>
      <c r="AY407" s="299">
        <f t="shared" si="67"/>
        <v>9544.7864874840343</v>
      </c>
      <c r="AZ407" s="538">
        <f t="shared" si="68"/>
        <v>72213.41464585597</v>
      </c>
      <c r="BA407" s="540">
        <f t="shared" si="69"/>
        <v>0</v>
      </c>
      <c r="BB407" s="541">
        <f t="shared" si="70"/>
        <v>72213.41464585597</v>
      </c>
    </row>
    <row r="408" spans="38:54" ht="15" hidden="1" x14ac:dyDescent="0.35">
      <c r="AL408" s="11">
        <v>186</v>
      </c>
      <c r="AM408" s="300">
        <f t="shared" si="61"/>
        <v>3367355.3716824353</v>
      </c>
      <c r="AN408" s="300">
        <f t="shared" si="72"/>
        <v>58119.660115710401</v>
      </c>
      <c r="AO408" s="301">
        <f t="shared" si="58"/>
        <v>8682.627684766132</v>
      </c>
      <c r="AP408" s="300">
        <f t="shared" si="59"/>
        <v>66802.287800476537</v>
      </c>
      <c r="AQ408" s="10">
        <f t="shared" si="71"/>
        <v>0</v>
      </c>
      <c r="AR408" s="436">
        <f t="shared" si="63"/>
        <v>66802.287800476537</v>
      </c>
      <c r="AS408" s="436">
        <f t="shared" si="64"/>
        <v>66802.287800476537</v>
      </c>
      <c r="AT408" s="488">
        <f t="shared" si="60"/>
        <v>66802.287800476537</v>
      </c>
      <c r="AU408" s="301"/>
      <c r="AV408" s="11">
        <v>186</v>
      </c>
      <c r="AW408" s="538">
        <f t="shared" si="65"/>
        <v>3640118.2911810209</v>
      </c>
      <c r="AX408" s="606">
        <f t="shared" si="66"/>
        <v>62827.475722801137</v>
      </c>
      <c r="AY408" s="299">
        <f t="shared" si="67"/>
        <v>9385.9389230548259</v>
      </c>
      <c r="AZ408" s="538">
        <f t="shared" si="68"/>
        <v>72213.414645855955</v>
      </c>
      <c r="BA408" s="540">
        <f t="shared" si="69"/>
        <v>0</v>
      </c>
      <c r="BB408" s="541">
        <f t="shared" si="70"/>
        <v>72213.414645855955</v>
      </c>
    </row>
    <row r="409" spans="38:54" ht="15" hidden="1" x14ac:dyDescent="0.35">
      <c r="AL409" s="11">
        <v>187</v>
      </c>
      <c r="AM409" s="300">
        <f t="shared" si="61"/>
        <v>3309088.3943726816</v>
      </c>
      <c r="AN409" s="300">
        <f t="shared" si="72"/>
        <v>58266.977309753696</v>
      </c>
      <c r="AO409" s="301">
        <f t="shared" si="58"/>
        <v>8535.3104907228408</v>
      </c>
      <c r="AP409" s="300">
        <f t="shared" si="59"/>
        <v>66802.287800476537</v>
      </c>
      <c r="AQ409" s="10">
        <f t="shared" si="71"/>
        <v>0</v>
      </c>
      <c r="AR409" s="436">
        <f t="shared" si="63"/>
        <v>66802.287800476537</v>
      </c>
      <c r="AS409" s="436">
        <f t="shared" si="64"/>
        <v>66802.287800476537</v>
      </c>
      <c r="AT409" s="488">
        <f t="shared" si="60"/>
        <v>66802.287800476537</v>
      </c>
      <c r="AU409" s="301"/>
      <c r="AV409" s="11">
        <v>187</v>
      </c>
      <c r="AW409" s="538">
        <f t="shared" si="65"/>
        <v>3577131.5652593393</v>
      </c>
      <c r="AX409" s="606">
        <f t="shared" si="66"/>
        <v>62986.725921681849</v>
      </c>
      <c r="AY409" s="299">
        <f t="shared" si="67"/>
        <v>9226.6887241741151</v>
      </c>
      <c r="AZ409" s="538">
        <f t="shared" si="68"/>
        <v>72213.41464585597</v>
      </c>
      <c r="BA409" s="540">
        <f t="shared" si="69"/>
        <v>0</v>
      </c>
      <c r="BB409" s="541">
        <f t="shared" si="70"/>
        <v>72213.41464585597</v>
      </c>
    </row>
    <row r="410" spans="38:54" ht="15" hidden="1" x14ac:dyDescent="0.35">
      <c r="AL410" s="11">
        <v>188</v>
      </c>
      <c r="AM410" s="300">
        <f t="shared" si="61"/>
        <v>3250673.726460719</v>
      </c>
      <c r="AN410" s="300">
        <f t="shared" si="72"/>
        <v>58414.667911962439</v>
      </c>
      <c r="AO410" s="301">
        <f t="shared" si="58"/>
        <v>8387.6198885140893</v>
      </c>
      <c r="AP410" s="300">
        <f t="shared" si="59"/>
        <v>66802.287800476523</v>
      </c>
      <c r="AQ410" s="10">
        <f t="shared" si="71"/>
        <v>0</v>
      </c>
      <c r="AR410" s="436">
        <f t="shared" si="63"/>
        <v>66802.287800476523</v>
      </c>
      <c r="AS410" s="436">
        <f t="shared" si="64"/>
        <v>66802.287800476523</v>
      </c>
      <c r="AT410" s="488">
        <f t="shared" si="60"/>
        <v>66802.287800476523</v>
      </c>
      <c r="AU410" s="301"/>
      <c r="AV410" s="11">
        <v>188</v>
      </c>
      <c r="AW410" s="538">
        <f t="shared" si="65"/>
        <v>3513985.1854837588</v>
      </c>
      <c r="AX410" s="606">
        <f t="shared" si="66"/>
        <v>63146.379775580557</v>
      </c>
      <c r="AY410" s="299">
        <f t="shared" si="67"/>
        <v>9067.034870275409</v>
      </c>
      <c r="AZ410" s="538">
        <f t="shared" si="68"/>
        <v>72213.41464585597</v>
      </c>
      <c r="BA410" s="540">
        <f t="shared" si="69"/>
        <v>0</v>
      </c>
      <c r="BB410" s="541">
        <f t="shared" si="70"/>
        <v>72213.41464585597</v>
      </c>
    </row>
    <row r="411" spans="38:54" ht="15" hidden="1" x14ac:dyDescent="0.35">
      <c r="AL411" s="11">
        <v>189</v>
      </c>
      <c r="AM411" s="300">
        <f t="shared" si="61"/>
        <v>3192110.9935918963</v>
      </c>
      <c r="AN411" s="300">
        <f t="shared" si="72"/>
        <v>58562.732868822633</v>
      </c>
      <c r="AO411" s="301">
        <f t="shared" si="58"/>
        <v>8239.5549316539054</v>
      </c>
      <c r="AP411" s="300">
        <f t="shared" si="59"/>
        <v>66802.287800476537</v>
      </c>
      <c r="AQ411" s="10">
        <f t="shared" si="71"/>
        <v>0</v>
      </c>
      <c r="AR411" s="436">
        <f t="shared" si="63"/>
        <v>66802.287800476537</v>
      </c>
      <c r="AS411" s="436">
        <f t="shared" si="64"/>
        <v>66802.287800476537</v>
      </c>
      <c r="AT411" s="488">
        <f t="shared" si="60"/>
        <v>66802.287800476537</v>
      </c>
      <c r="AU411" s="301"/>
      <c r="AV411" s="11">
        <v>189</v>
      </c>
      <c r="AW411" s="538">
        <f t="shared" si="65"/>
        <v>3450678.7471761084</v>
      </c>
      <c r="AX411" s="606">
        <f t="shared" si="66"/>
        <v>63306.438307650606</v>
      </c>
      <c r="AY411" s="299">
        <f t="shared" si="67"/>
        <v>8906.9763382053607</v>
      </c>
      <c r="AZ411" s="538">
        <f t="shared" si="68"/>
        <v>72213.41464585597</v>
      </c>
      <c r="BA411" s="540">
        <f t="shared" si="69"/>
        <v>0</v>
      </c>
      <c r="BB411" s="541">
        <f t="shared" si="70"/>
        <v>72213.41464585597</v>
      </c>
    </row>
    <row r="412" spans="38:54" ht="15" hidden="1" x14ac:dyDescent="0.35">
      <c r="AL412" s="11">
        <v>190</v>
      </c>
      <c r="AM412" s="300">
        <f t="shared" si="61"/>
        <v>3133399.8204626772</v>
      </c>
      <c r="AN412" s="300">
        <f t="shared" si="72"/>
        <v>58711.173129219307</v>
      </c>
      <c r="AO412" s="301">
        <f t="shared" si="58"/>
        <v>8091.1146712572381</v>
      </c>
      <c r="AP412" s="300">
        <f t="shared" si="59"/>
        <v>66802.287800476552</v>
      </c>
      <c r="AQ412" s="10">
        <f t="shared" si="71"/>
        <v>0</v>
      </c>
      <c r="AR412" s="436">
        <f t="shared" si="63"/>
        <v>66802.287800476552</v>
      </c>
      <c r="AS412" s="436">
        <f t="shared" si="64"/>
        <v>66802.287800476552</v>
      </c>
      <c r="AT412" s="488">
        <f t="shared" si="60"/>
        <v>66802.287800476552</v>
      </c>
      <c r="AU412" s="301"/>
      <c r="AV412" s="11">
        <v>190</v>
      </c>
      <c r="AW412" s="538">
        <f t="shared" si="65"/>
        <v>3387211.8446324696</v>
      </c>
      <c r="AX412" s="606">
        <f t="shared" si="66"/>
        <v>63466.902543638746</v>
      </c>
      <c r="AY412" s="299">
        <f t="shared" si="67"/>
        <v>8746.5121022172189</v>
      </c>
      <c r="AZ412" s="538">
        <f t="shared" si="68"/>
        <v>72213.41464585597</v>
      </c>
      <c r="BA412" s="540">
        <f t="shared" si="69"/>
        <v>0</v>
      </c>
      <c r="BB412" s="541">
        <f t="shared" si="70"/>
        <v>72213.41464585597</v>
      </c>
    </row>
    <row r="413" spans="38:54" ht="15" hidden="1" x14ac:dyDescent="0.35">
      <c r="AL413" s="11">
        <v>191</v>
      </c>
      <c r="AM413" s="300">
        <f t="shared" si="61"/>
        <v>3074539.8308182345</v>
      </c>
      <c r="AN413" s="300">
        <f t="shared" si="72"/>
        <v>58859.989644442663</v>
      </c>
      <c r="AO413" s="301">
        <f t="shared" si="58"/>
        <v>7942.2981560338694</v>
      </c>
      <c r="AP413" s="300">
        <f t="shared" si="59"/>
        <v>66802.287800476537</v>
      </c>
      <c r="AQ413" s="10">
        <f t="shared" si="71"/>
        <v>0</v>
      </c>
      <c r="AR413" s="436">
        <f t="shared" si="63"/>
        <v>66802.287800476537</v>
      </c>
      <c r="AS413" s="436">
        <f t="shared" si="64"/>
        <v>66802.287800476537</v>
      </c>
      <c r="AT413" s="488">
        <f t="shared" si="60"/>
        <v>66802.287800476537</v>
      </c>
      <c r="AU413" s="301"/>
      <c r="AV413" s="11">
        <v>191</v>
      </c>
      <c r="AW413" s="538">
        <f t="shared" si="65"/>
        <v>3323584.0711205779</v>
      </c>
      <c r="AX413" s="606">
        <f t="shared" si="66"/>
        <v>63627.773511891719</v>
      </c>
      <c r="AY413" s="299">
        <f t="shared" si="67"/>
        <v>8585.6411339642455</v>
      </c>
      <c r="AZ413" s="538">
        <f t="shared" si="68"/>
        <v>72213.41464585597</v>
      </c>
      <c r="BA413" s="540">
        <f t="shared" si="69"/>
        <v>0</v>
      </c>
      <c r="BB413" s="541">
        <f t="shared" si="70"/>
        <v>72213.41464585597</v>
      </c>
    </row>
    <row r="414" spans="38:54" ht="15" hidden="1" x14ac:dyDescent="0.35">
      <c r="AL414" s="11">
        <v>192</v>
      </c>
      <c r="AM414" s="300">
        <f t="shared" si="61"/>
        <v>3015530.6474500401</v>
      </c>
      <c r="AN414" s="300">
        <f t="shared" si="72"/>
        <v>59009.183368194201</v>
      </c>
      <c r="AO414" s="301">
        <f t="shared" si="58"/>
        <v>7793.10443228233</v>
      </c>
      <c r="AP414" s="300">
        <f t="shared" si="59"/>
        <v>66802.287800476537</v>
      </c>
      <c r="AQ414" s="10">
        <f t="shared" si="71"/>
        <v>0</v>
      </c>
      <c r="AR414" s="436">
        <f t="shared" si="63"/>
        <v>66802.287800476537</v>
      </c>
      <c r="AS414" s="436">
        <f t="shared" si="64"/>
        <v>66802.287800476537</v>
      </c>
      <c r="AT414" s="488">
        <f t="shared" si="60"/>
        <v>66802.287800476537</v>
      </c>
      <c r="AU414" s="301"/>
      <c r="AV414" s="11">
        <v>192</v>
      </c>
      <c r="AW414" s="538">
        <f t="shared" si="65"/>
        <v>3259795.0188772152</v>
      </c>
      <c r="AX414" s="606">
        <f t="shared" si="66"/>
        <v>63789.052243362828</v>
      </c>
      <c r="AY414" s="299">
        <f t="shared" si="67"/>
        <v>8424.3624024931323</v>
      </c>
      <c r="AZ414" s="538">
        <f t="shared" si="68"/>
        <v>72213.414645855955</v>
      </c>
      <c r="BA414" s="540">
        <f t="shared" si="69"/>
        <v>0</v>
      </c>
      <c r="BB414" s="541">
        <f t="shared" si="70"/>
        <v>72213.414645855955</v>
      </c>
    </row>
    <row r="415" spans="38:54" ht="15" hidden="1" x14ac:dyDescent="0.35">
      <c r="AL415" s="11">
        <v>193</v>
      </c>
      <c r="AM415" s="300">
        <f t="shared" si="61"/>
        <v>2956371.8921934473</v>
      </c>
      <c r="AN415" s="300">
        <f t="shared" si="72"/>
        <v>59158.755256592747</v>
      </c>
      <c r="AO415" s="301">
        <f t="shared" ref="AO415:AO462" si="73">AM414*$AN$32/360*(365/12)</f>
        <v>7643.5325438837817</v>
      </c>
      <c r="AP415" s="300">
        <f t="shared" ref="AP415:AP462" si="74">(AN415+AO415)</f>
        <v>66802.287800476523</v>
      </c>
      <c r="AQ415" s="10">
        <f t="shared" si="71"/>
        <v>0</v>
      </c>
      <c r="AR415" s="436">
        <f t="shared" si="63"/>
        <v>66802.287800476523</v>
      </c>
      <c r="AS415" s="436">
        <f t="shared" si="64"/>
        <v>66802.287800476523</v>
      </c>
      <c r="AT415" s="488">
        <f t="shared" ref="AT415:AT462" si="75">IF(AP415&lt;1,0,(AP415+AQ415))</f>
        <v>66802.287800476523</v>
      </c>
      <c r="AU415" s="301"/>
      <c r="AV415" s="11">
        <v>193</v>
      </c>
      <c r="AW415" s="538">
        <f t="shared" si="65"/>
        <v>3195844.2791055967</v>
      </c>
      <c r="AX415" s="606">
        <f t="shared" si="66"/>
        <v>63950.739771618573</v>
      </c>
      <c r="AY415" s="299">
        <f t="shared" si="67"/>
        <v>8262.6748742373857</v>
      </c>
      <c r="AZ415" s="538">
        <f t="shared" si="68"/>
        <v>72213.414645855955</v>
      </c>
      <c r="BA415" s="540">
        <f t="shared" si="69"/>
        <v>0</v>
      </c>
      <c r="BB415" s="541">
        <f t="shared" si="70"/>
        <v>72213.414645855955</v>
      </c>
    </row>
    <row r="416" spans="38:54" ht="15" hidden="1" x14ac:dyDescent="0.35">
      <c r="AL416" s="11">
        <v>194</v>
      </c>
      <c r="AM416" s="300">
        <f t="shared" ref="AM416:AM462" si="76">+AM415-AN416</f>
        <v>2897063.1859252667</v>
      </c>
      <c r="AN416" s="300">
        <f t="shared" ref="AN416:AN447" si="77">PPMT($AN$32/360*(365/12),AL416,$AN$24,-$AN$23)</f>
        <v>59308.706268180642</v>
      </c>
      <c r="AO416" s="301">
        <f t="shared" si="73"/>
        <v>7493.5815322958906</v>
      </c>
      <c r="AP416" s="300">
        <f t="shared" si="74"/>
        <v>66802.287800476537</v>
      </c>
      <c r="AQ416" s="10">
        <f t="shared" si="71"/>
        <v>0</v>
      </c>
      <c r="AR416" s="436">
        <f t="shared" ref="AR416:AR462" si="78">IF(AP416&lt;1,0,(AP416+AQ416))</f>
        <v>66802.287800476537</v>
      </c>
      <c r="AS416" s="436">
        <f t="shared" ref="AS416:AS462" si="79">IF(AP416&lt;1,0,(AP416+AQ416))</f>
        <v>66802.287800476537</v>
      </c>
      <c r="AT416" s="488">
        <f t="shared" si="75"/>
        <v>66802.287800476537</v>
      </c>
      <c r="AU416" s="301"/>
      <c r="AV416" s="11">
        <v>194</v>
      </c>
      <c r="AW416" s="538">
        <f t="shared" ref="AW416:AW462" si="80">+AW415-AX416</f>
        <v>3131731.4419727516</v>
      </c>
      <c r="AX416" s="606">
        <f t="shared" ref="AX416:AX462" si="81">IF(AL416&lt;=24,0,PPMT($AN$32/360*(365/12),AL416-24,$AN$24-24,-$AN$23))</f>
        <v>64112.837132845249</v>
      </c>
      <c r="AY416" s="299">
        <f t="shared" ref="AY416:AY462" si="82">AW415*$AN$32/360*(365/12)</f>
        <v>8100.577513010714</v>
      </c>
      <c r="AZ416" s="538">
        <f t="shared" ref="AZ416:AZ462" si="83">(AX416+AY416)</f>
        <v>72213.414645855955</v>
      </c>
      <c r="BA416" s="540">
        <f t="shared" ref="BA416:BA462" si="84">$AR$23</f>
        <v>0</v>
      </c>
      <c r="BB416" s="541">
        <f t="shared" ref="BB416:BB462" si="85">IF(AZ416&lt;1,0,(AZ416+BA416))</f>
        <v>72213.414645855955</v>
      </c>
    </row>
    <row r="417" spans="38:54" ht="15" hidden="1" x14ac:dyDescent="0.35">
      <c r="AL417" s="11">
        <v>195</v>
      </c>
      <c r="AM417" s="300">
        <f t="shared" si="76"/>
        <v>2837604.148561337</v>
      </c>
      <c r="AN417" s="300">
        <f t="shared" si="77"/>
        <v>59459.037363929849</v>
      </c>
      <c r="AO417" s="301">
        <f t="shared" si="73"/>
        <v>7343.250436546683</v>
      </c>
      <c r="AP417" s="300">
        <f t="shared" si="74"/>
        <v>66802.287800476537</v>
      </c>
      <c r="AQ417" s="10">
        <f t="shared" ref="AQ417:AQ462" si="86">+AQ416</f>
        <v>0</v>
      </c>
      <c r="AR417" s="436">
        <f t="shared" si="78"/>
        <v>66802.287800476537</v>
      </c>
      <c r="AS417" s="436">
        <f t="shared" si="79"/>
        <v>66802.287800476537</v>
      </c>
      <c r="AT417" s="488">
        <f t="shared" si="75"/>
        <v>66802.287800476537</v>
      </c>
      <c r="AU417" s="301"/>
      <c r="AV417" s="11">
        <v>195</v>
      </c>
      <c r="AW417" s="538">
        <f t="shared" si="80"/>
        <v>3067456.0966068963</v>
      </c>
      <c r="AX417" s="606">
        <f t="shared" si="81"/>
        <v>64275.345365855588</v>
      </c>
      <c r="AY417" s="299">
        <f t="shared" si="82"/>
        <v>7938.0692800003771</v>
      </c>
      <c r="AZ417" s="538">
        <f t="shared" si="83"/>
        <v>72213.41464585597</v>
      </c>
      <c r="BA417" s="540">
        <f t="shared" si="84"/>
        <v>0</v>
      </c>
      <c r="BB417" s="541">
        <f t="shared" si="85"/>
        <v>72213.41464585597</v>
      </c>
    </row>
    <row r="418" spans="38:54" ht="15" hidden="1" x14ac:dyDescent="0.35">
      <c r="AL418" s="11">
        <v>196</v>
      </c>
      <c r="AM418" s="300">
        <f t="shared" si="76"/>
        <v>2777994.3990540891</v>
      </c>
      <c r="AN418" s="300">
        <f t="shared" si="77"/>
        <v>59609.749507248147</v>
      </c>
      <c r="AO418" s="301">
        <f t="shared" si="73"/>
        <v>7192.5382932283883</v>
      </c>
      <c r="AP418" s="300">
        <f t="shared" si="74"/>
        <v>66802.287800476537</v>
      </c>
      <c r="AQ418" s="10">
        <f t="shared" si="86"/>
        <v>0</v>
      </c>
      <c r="AR418" s="436">
        <f t="shared" si="78"/>
        <v>66802.287800476537</v>
      </c>
      <c r="AS418" s="436">
        <f t="shared" si="79"/>
        <v>66802.287800476537</v>
      </c>
      <c r="AT418" s="488">
        <f t="shared" si="75"/>
        <v>66802.287800476537</v>
      </c>
      <c r="AU418" s="301"/>
      <c r="AV418" s="11">
        <v>196</v>
      </c>
      <c r="AW418" s="538">
        <f t="shared" si="80"/>
        <v>3003017.831094801</v>
      </c>
      <c r="AX418" s="606">
        <f t="shared" si="81"/>
        <v>64438.26551209543</v>
      </c>
      <c r="AY418" s="299">
        <f t="shared" si="82"/>
        <v>7775.1491337605357</v>
      </c>
      <c r="AZ418" s="538">
        <f t="shared" si="83"/>
        <v>72213.41464585597</v>
      </c>
      <c r="BA418" s="540">
        <f t="shared" si="84"/>
        <v>0</v>
      </c>
      <c r="BB418" s="541">
        <f t="shared" si="85"/>
        <v>72213.41464585597</v>
      </c>
    </row>
    <row r="419" spans="38:54" ht="15" hidden="1" x14ac:dyDescent="0.35">
      <c r="AL419" s="11">
        <v>197</v>
      </c>
      <c r="AM419" s="300">
        <f t="shared" si="76"/>
        <v>2718233.5553901037</v>
      </c>
      <c r="AN419" s="300">
        <f t="shared" si="77"/>
        <v>59760.843663985273</v>
      </c>
      <c r="AO419" s="301">
        <f t="shared" si="73"/>
        <v>7041.4441364912673</v>
      </c>
      <c r="AP419" s="300">
        <f t="shared" si="74"/>
        <v>66802.287800476537</v>
      </c>
      <c r="AQ419" s="10">
        <f t="shared" si="86"/>
        <v>0</v>
      </c>
      <c r="AR419" s="436">
        <f t="shared" si="78"/>
        <v>66802.287800476537</v>
      </c>
      <c r="AS419" s="436">
        <f t="shared" si="79"/>
        <v>66802.287800476537</v>
      </c>
      <c r="AT419" s="488">
        <f t="shared" si="75"/>
        <v>66802.287800476537</v>
      </c>
      <c r="AU419" s="301"/>
      <c r="AV419" s="11">
        <v>197</v>
      </c>
      <c r="AW419" s="538">
        <f t="shared" si="80"/>
        <v>2938416.2324791504</v>
      </c>
      <c r="AX419" s="606">
        <f t="shared" si="81"/>
        <v>64601.5986156504</v>
      </c>
      <c r="AY419" s="299">
        <f t="shared" si="82"/>
        <v>7611.8160302055721</v>
      </c>
      <c r="AZ419" s="538">
        <f t="shared" si="83"/>
        <v>72213.41464585597</v>
      </c>
      <c r="BA419" s="540">
        <f t="shared" si="84"/>
        <v>0</v>
      </c>
      <c r="BB419" s="541">
        <f t="shared" si="85"/>
        <v>72213.41464585597</v>
      </c>
    </row>
    <row r="420" spans="38:54" ht="15" hidden="1" x14ac:dyDescent="0.35">
      <c r="AL420" s="11">
        <v>198</v>
      </c>
      <c r="AM420" s="300">
        <f t="shared" si="76"/>
        <v>2658321.2345876647</v>
      </c>
      <c r="AN420" s="300">
        <f t="shared" si="77"/>
        <v>59912.320802439128</v>
      </c>
      <c r="AO420" s="301">
        <f t="shared" si="73"/>
        <v>6889.9669980374156</v>
      </c>
      <c r="AP420" s="300">
        <f t="shared" si="74"/>
        <v>66802.287800476537</v>
      </c>
      <c r="AQ420" s="10">
        <f t="shared" si="86"/>
        <v>0</v>
      </c>
      <c r="AR420" s="436">
        <f t="shared" si="78"/>
        <v>66802.287800476537</v>
      </c>
      <c r="AS420" s="436">
        <f t="shared" si="79"/>
        <v>66802.287800476537</v>
      </c>
      <c r="AT420" s="488">
        <f t="shared" si="75"/>
        <v>66802.287800476537</v>
      </c>
      <c r="AU420" s="301"/>
      <c r="AV420" s="11">
        <v>198</v>
      </c>
      <c r="AW420" s="538">
        <f t="shared" si="80"/>
        <v>2873650.8867558977</v>
      </c>
      <c r="AX420" s="606">
        <f t="shared" si="81"/>
        <v>64765.345723252569</v>
      </c>
      <c r="AY420" s="299">
        <f t="shared" si="82"/>
        <v>7448.0689226034019</v>
      </c>
      <c r="AZ420" s="538">
        <f t="shared" si="83"/>
        <v>72213.41464585597</v>
      </c>
      <c r="BA420" s="540">
        <f t="shared" si="84"/>
        <v>0</v>
      </c>
      <c r="BB420" s="541">
        <f t="shared" si="85"/>
        <v>72213.41464585597</v>
      </c>
    </row>
    <row r="421" spans="38:54" ht="15" hidden="1" x14ac:dyDescent="0.35">
      <c r="AL421" s="11">
        <v>199</v>
      </c>
      <c r="AM421" s="300">
        <f t="shared" si="76"/>
        <v>2598257.052694303</v>
      </c>
      <c r="AN421" s="300">
        <f t="shared" si="77"/>
        <v>60064.181893361965</v>
      </c>
      <c r="AO421" s="301">
        <f t="shared" si="73"/>
        <v>6738.1059071145683</v>
      </c>
      <c r="AP421" s="300">
        <f t="shared" si="74"/>
        <v>66802.287800476537</v>
      </c>
      <c r="AQ421" s="10">
        <f t="shared" si="86"/>
        <v>0</v>
      </c>
      <c r="AR421" s="436">
        <f t="shared" si="78"/>
        <v>66802.287800476537</v>
      </c>
      <c r="AS421" s="436">
        <f t="shared" si="79"/>
        <v>66802.287800476537</v>
      </c>
      <c r="AT421" s="488">
        <f t="shared" si="75"/>
        <v>66802.287800476537</v>
      </c>
      <c r="AU421" s="301"/>
      <c r="AV421" s="11">
        <v>199</v>
      </c>
      <c r="AW421" s="538">
        <f t="shared" si="80"/>
        <v>2808721.3788716104</v>
      </c>
      <c r="AX421" s="606">
        <f t="shared" si="81"/>
        <v>64929.507884287203</v>
      </c>
      <c r="AY421" s="299">
        <f t="shared" si="82"/>
        <v>7283.9067615687682</v>
      </c>
      <c r="AZ421" s="538">
        <f t="shared" si="83"/>
        <v>72213.41464585597</v>
      </c>
      <c r="BA421" s="540">
        <f t="shared" si="84"/>
        <v>0</v>
      </c>
      <c r="BB421" s="541">
        <f t="shared" si="85"/>
        <v>72213.41464585597</v>
      </c>
    </row>
    <row r="422" spans="38:54" ht="15" hidden="1" x14ac:dyDescent="0.35">
      <c r="AL422" s="11">
        <v>200</v>
      </c>
      <c r="AM422" s="300">
        <f t="shared" si="76"/>
        <v>2538040.6247843364</v>
      </c>
      <c r="AN422" s="300">
        <f t="shared" si="77"/>
        <v>60216.427909966675</v>
      </c>
      <c r="AO422" s="301">
        <f t="shared" si="73"/>
        <v>6585.8598905098652</v>
      </c>
      <c r="AP422" s="300">
        <f t="shared" si="74"/>
        <v>66802.287800476537</v>
      </c>
      <c r="AQ422" s="10">
        <f t="shared" si="86"/>
        <v>0</v>
      </c>
      <c r="AR422" s="436">
        <f t="shared" si="78"/>
        <v>66802.287800476537</v>
      </c>
      <c r="AS422" s="436">
        <f t="shared" si="79"/>
        <v>66802.287800476537</v>
      </c>
      <c r="AT422" s="488">
        <f t="shared" si="75"/>
        <v>66802.287800476537</v>
      </c>
      <c r="AU422" s="301"/>
      <c r="AV422" s="11">
        <v>200</v>
      </c>
      <c r="AW422" s="538">
        <f t="shared" si="80"/>
        <v>2743627.292720811</v>
      </c>
      <c r="AX422" s="606">
        <f t="shared" si="81"/>
        <v>65094.086150799456</v>
      </c>
      <c r="AY422" s="299">
        <f t="shared" si="82"/>
        <v>7119.328495056513</v>
      </c>
      <c r="AZ422" s="538">
        <f t="shared" si="83"/>
        <v>72213.41464585597</v>
      </c>
      <c r="BA422" s="540">
        <f t="shared" si="84"/>
        <v>0</v>
      </c>
      <c r="BB422" s="541">
        <f t="shared" si="85"/>
        <v>72213.41464585597</v>
      </c>
    </row>
    <row r="423" spans="38:54" ht="15" hidden="1" x14ac:dyDescent="0.35">
      <c r="AL423" s="11">
        <v>201</v>
      </c>
      <c r="AM423" s="300">
        <f t="shared" si="76"/>
        <v>2477671.5649564033</v>
      </c>
      <c r="AN423" s="300">
        <f t="shared" si="77"/>
        <v>60369.059827932906</v>
      </c>
      <c r="AO423" s="301">
        <f t="shared" si="73"/>
        <v>6433.2279725436301</v>
      </c>
      <c r="AP423" s="300">
        <f t="shared" si="74"/>
        <v>66802.287800476537</v>
      </c>
      <c r="AQ423" s="10">
        <f t="shared" si="86"/>
        <v>0</v>
      </c>
      <c r="AR423" s="436">
        <f t="shared" si="78"/>
        <v>66802.287800476537</v>
      </c>
      <c r="AS423" s="436">
        <f t="shared" si="79"/>
        <v>66802.287800476537</v>
      </c>
      <c r="AT423" s="488">
        <f t="shared" si="75"/>
        <v>66802.287800476537</v>
      </c>
      <c r="AU423" s="301"/>
      <c r="AV423" s="11">
        <v>201</v>
      </c>
      <c r="AW423" s="538">
        <f t="shared" si="80"/>
        <v>2678368.2111433097</v>
      </c>
      <c r="AX423" s="606">
        <f t="shared" si="81"/>
        <v>65259.081577501129</v>
      </c>
      <c r="AY423" s="299">
        <f t="shared" si="82"/>
        <v>6954.3330683548329</v>
      </c>
      <c r="AZ423" s="538">
        <f t="shared" si="83"/>
        <v>72213.414645855955</v>
      </c>
      <c r="BA423" s="540">
        <f t="shared" si="84"/>
        <v>0</v>
      </c>
      <c r="BB423" s="541">
        <f t="shared" si="85"/>
        <v>72213.414645855955</v>
      </c>
    </row>
    <row r="424" spans="38:54" ht="15" hidden="1" x14ac:dyDescent="0.35">
      <c r="AL424" s="11">
        <v>202</v>
      </c>
      <c r="AM424" s="300">
        <f t="shared" si="76"/>
        <v>2417149.4863309897</v>
      </c>
      <c r="AN424" s="300">
        <f t="shared" si="77"/>
        <v>60522.078625413436</v>
      </c>
      <c r="AO424" s="301">
        <f t="shared" si="73"/>
        <v>6280.2091750631062</v>
      </c>
      <c r="AP424" s="300">
        <f t="shared" si="74"/>
        <v>66802.287800476537</v>
      </c>
      <c r="AQ424" s="10">
        <f t="shared" si="86"/>
        <v>0</v>
      </c>
      <c r="AR424" s="436">
        <f t="shared" si="78"/>
        <v>66802.287800476537</v>
      </c>
      <c r="AS424" s="436">
        <f t="shared" si="79"/>
        <v>66802.287800476537</v>
      </c>
      <c r="AT424" s="488">
        <f t="shared" si="75"/>
        <v>66802.287800476537</v>
      </c>
      <c r="AU424" s="301"/>
      <c r="AV424" s="11">
        <v>202</v>
      </c>
      <c r="AW424" s="538">
        <f t="shared" si="80"/>
        <v>2612943.7159215324</v>
      </c>
      <c r="AX424" s="606">
        <f t="shared" si="81"/>
        <v>65424.495221777441</v>
      </c>
      <c r="AY424" s="299">
        <f t="shared" si="82"/>
        <v>6788.9194240785282</v>
      </c>
      <c r="AZ424" s="538">
        <f t="shared" si="83"/>
        <v>72213.41464585597</v>
      </c>
      <c r="BA424" s="540">
        <f t="shared" si="84"/>
        <v>0</v>
      </c>
      <c r="BB424" s="541">
        <f t="shared" si="85"/>
        <v>72213.41464585597</v>
      </c>
    </row>
    <row r="425" spans="38:54" ht="15" hidden="1" x14ac:dyDescent="0.35">
      <c r="AL425" s="11">
        <v>203</v>
      </c>
      <c r="AM425" s="300">
        <f t="shared" si="76"/>
        <v>2356474.0010479493</v>
      </c>
      <c r="AN425" s="300">
        <f t="shared" si="77"/>
        <v>60675.485283040347</v>
      </c>
      <c r="AO425" s="301">
        <f t="shared" si="73"/>
        <v>6126.8025174361892</v>
      </c>
      <c r="AP425" s="300">
        <f t="shared" si="74"/>
        <v>66802.287800476537</v>
      </c>
      <c r="AQ425" s="10">
        <f t="shared" si="86"/>
        <v>0</v>
      </c>
      <c r="AR425" s="436">
        <f t="shared" si="78"/>
        <v>66802.287800476537</v>
      </c>
      <c r="AS425" s="436">
        <f t="shared" si="79"/>
        <v>66802.287800476537</v>
      </c>
      <c r="AT425" s="488">
        <f t="shared" si="75"/>
        <v>66802.287800476537</v>
      </c>
      <c r="AU425" s="301"/>
      <c r="AV425" s="11">
        <v>203</v>
      </c>
      <c r="AW425" s="538">
        <f t="shared" si="80"/>
        <v>2547353.3877778389</v>
      </c>
      <c r="AX425" s="606">
        <f t="shared" si="81"/>
        <v>65590.32814369374</v>
      </c>
      <c r="AY425" s="299">
        <f t="shared" si="82"/>
        <v>6623.0865021622176</v>
      </c>
      <c r="AZ425" s="538">
        <f t="shared" si="83"/>
        <v>72213.414645855955</v>
      </c>
      <c r="BA425" s="540">
        <f t="shared" si="84"/>
        <v>0</v>
      </c>
      <c r="BB425" s="541">
        <f t="shared" si="85"/>
        <v>72213.414645855955</v>
      </c>
    </row>
    <row r="426" spans="38:54" ht="15" hidden="1" x14ac:dyDescent="0.35">
      <c r="AL426" s="11">
        <v>204</v>
      </c>
      <c r="AM426" s="300">
        <f t="shared" si="76"/>
        <v>2295644.720264018</v>
      </c>
      <c r="AN426" s="300">
        <f t="shared" si="77"/>
        <v>60829.280783931383</v>
      </c>
      <c r="AO426" s="301">
        <f t="shared" si="73"/>
        <v>5973.0070165451498</v>
      </c>
      <c r="AP426" s="300">
        <f t="shared" si="74"/>
        <v>66802.287800476537</v>
      </c>
      <c r="AQ426" s="10">
        <f t="shared" si="86"/>
        <v>0</v>
      </c>
      <c r="AR426" s="436">
        <f t="shared" si="78"/>
        <v>66802.287800476537</v>
      </c>
      <c r="AS426" s="436">
        <f t="shared" si="79"/>
        <v>66802.287800476537</v>
      </c>
      <c r="AT426" s="488">
        <f t="shared" si="75"/>
        <v>66802.287800476537</v>
      </c>
      <c r="AU426" s="301"/>
      <c r="AV426" s="11">
        <v>204</v>
      </c>
      <c r="AW426" s="538">
        <f t="shared" si="80"/>
        <v>2481596.8063718365</v>
      </c>
      <c r="AX426" s="606">
        <f t="shared" si="81"/>
        <v>65756.581406002413</v>
      </c>
      <c r="AY426" s="299">
        <f t="shared" si="82"/>
        <v>6456.8332398535495</v>
      </c>
      <c r="AZ426" s="538">
        <f t="shared" si="83"/>
        <v>72213.414645855955</v>
      </c>
      <c r="BA426" s="540">
        <f t="shared" si="84"/>
        <v>0</v>
      </c>
      <c r="BB426" s="541">
        <f t="shared" si="85"/>
        <v>72213.414645855955</v>
      </c>
    </row>
    <row r="427" spans="38:54" ht="15" hidden="1" x14ac:dyDescent="0.35">
      <c r="AL427" s="11">
        <v>205</v>
      </c>
      <c r="AM427" s="300">
        <f t="shared" si="76"/>
        <v>2234661.2541503217</v>
      </c>
      <c r="AN427" s="300">
        <f t="shared" si="77"/>
        <v>60983.46611369621</v>
      </c>
      <c r="AO427" s="301">
        <f t="shared" si="73"/>
        <v>5818.821686780323</v>
      </c>
      <c r="AP427" s="300">
        <f t="shared" si="74"/>
        <v>66802.287800476537</v>
      </c>
      <c r="AQ427" s="10">
        <f t="shared" si="86"/>
        <v>0</v>
      </c>
      <c r="AR427" s="436">
        <f t="shared" si="78"/>
        <v>66802.287800476537</v>
      </c>
      <c r="AS427" s="436">
        <f t="shared" si="79"/>
        <v>66802.287800476537</v>
      </c>
      <c r="AT427" s="488">
        <f t="shared" si="75"/>
        <v>66802.287800476537</v>
      </c>
      <c r="AU427" s="301"/>
      <c r="AV427" s="11">
        <v>205</v>
      </c>
      <c r="AW427" s="538">
        <f t="shared" si="80"/>
        <v>2415673.5502976868</v>
      </c>
      <c r="AX427" s="606">
        <f t="shared" si="81"/>
        <v>65923.256074149569</v>
      </c>
      <c r="AY427" s="299">
        <f t="shared" si="82"/>
        <v>6290.1585717063908</v>
      </c>
      <c r="AZ427" s="538">
        <f t="shared" si="83"/>
        <v>72213.414645855955</v>
      </c>
      <c r="BA427" s="540">
        <f t="shared" si="84"/>
        <v>0</v>
      </c>
      <c r="BB427" s="541">
        <f t="shared" si="85"/>
        <v>72213.414645855955</v>
      </c>
    </row>
    <row r="428" spans="38:54" ht="15" hidden="1" x14ac:dyDescent="0.35">
      <c r="AL428" s="11">
        <v>206</v>
      </c>
      <c r="AM428" s="300">
        <f t="shared" si="76"/>
        <v>2173523.2118898788</v>
      </c>
      <c r="AN428" s="300">
        <f t="shared" si="77"/>
        <v>61138.042260442729</v>
      </c>
      <c r="AO428" s="301">
        <f t="shared" si="73"/>
        <v>5664.2455400338013</v>
      </c>
      <c r="AP428" s="300">
        <f t="shared" si="74"/>
        <v>66802.287800476537</v>
      </c>
      <c r="AQ428" s="10">
        <f t="shared" si="86"/>
        <v>0</v>
      </c>
      <c r="AR428" s="436">
        <f t="shared" si="78"/>
        <v>66802.287800476537</v>
      </c>
      <c r="AS428" s="436">
        <f t="shared" si="79"/>
        <v>66802.287800476537</v>
      </c>
      <c r="AT428" s="488">
        <f t="shared" si="75"/>
        <v>66802.287800476537</v>
      </c>
      <c r="AU428" s="301"/>
      <c r="AV428" s="11">
        <v>206</v>
      </c>
      <c r="AW428" s="538">
        <f t="shared" si="80"/>
        <v>2349583.1970814047</v>
      </c>
      <c r="AX428" s="606">
        <f t="shared" si="81"/>
        <v>66090.353216281961</v>
      </c>
      <c r="AY428" s="299">
        <f t="shared" si="82"/>
        <v>6123.061429573997</v>
      </c>
      <c r="AZ428" s="538">
        <f t="shared" si="83"/>
        <v>72213.414645855955</v>
      </c>
      <c r="BA428" s="540">
        <f t="shared" si="84"/>
        <v>0</v>
      </c>
      <c r="BB428" s="541">
        <f t="shared" si="85"/>
        <v>72213.414645855955</v>
      </c>
    </row>
    <row r="429" spans="38:54" ht="15" hidden="1" x14ac:dyDescent="0.35">
      <c r="AL429" s="11">
        <v>207</v>
      </c>
      <c r="AM429" s="300">
        <f t="shared" si="76"/>
        <v>2112230.2016750956</v>
      </c>
      <c r="AN429" s="300">
        <f t="shared" si="77"/>
        <v>61293.01021478344</v>
      </c>
      <c r="AO429" s="301">
        <f t="shared" si="73"/>
        <v>5509.2775856930957</v>
      </c>
      <c r="AP429" s="300">
        <f t="shared" si="74"/>
        <v>66802.287800476537</v>
      </c>
      <c r="AQ429" s="10">
        <f t="shared" si="86"/>
        <v>0</v>
      </c>
      <c r="AR429" s="436">
        <f t="shared" si="78"/>
        <v>66802.287800476537</v>
      </c>
      <c r="AS429" s="436">
        <f t="shared" si="79"/>
        <v>66802.287800476537</v>
      </c>
      <c r="AT429" s="488">
        <f t="shared" si="75"/>
        <v>66802.287800476537</v>
      </c>
      <c r="AU429" s="301"/>
      <c r="AV429" s="11">
        <v>207</v>
      </c>
      <c r="AW429" s="538">
        <f t="shared" si="80"/>
        <v>2283325.3231781512</v>
      </c>
      <c r="AX429" s="606">
        <f t="shared" si="81"/>
        <v>66257.873903253785</v>
      </c>
      <c r="AY429" s="299">
        <f t="shared" si="82"/>
        <v>5955.540742602172</v>
      </c>
      <c r="AZ429" s="538">
        <f t="shared" si="83"/>
        <v>72213.414645855955</v>
      </c>
      <c r="BA429" s="540">
        <f t="shared" si="84"/>
        <v>0</v>
      </c>
      <c r="BB429" s="541">
        <f t="shared" si="85"/>
        <v>72213.414645855955</v>
      </c>
    </row>
    <row r="430" spans="38:54" ht="15" hidden="1" x14ac:dyDescent="0.35">
      <c r="AL430" s="11">
        <v>208</v>
      </c>
      <c r="AM430" s="300">
        <f t="shared" si="76"/>
        <v>2050781.8307052539</v>
      </c>
      <c r="AN430" s="300">
        <f t="shared" si="77"/>
        <v>61448.370969841744</v>
      </c>
      <c r="AO430" s="301">
        <f t="shared" si="73"/>
        <v>5353.916830634791</v>
      </c>
      <c r="AP430" s="300">
        <f t="shared" si="74"/>
        <v>66802.287800476537</v>
      </c>
      <c r="AQ430" s="10">
        <f t="shared" si="86"/>
        <v>0</v>
      </c>
      <c r="AR430" s="436">
        <f t="shared" si="78"/>
        <v>66802.287800476537</v>
      </c>
      <c r="AS430" s="436">
        <f t="shared" si="79"/>
        <v>66802.287800476537</v>
      </c>
      <c r="AT430" s="488">
        <f t="shared" si="75"/>
        <v>66802.287800476537</v>
      </c>
      <c r="AU430" s="301"/>
      <c r="AV430" s="11">
        <v>208</v>
      </c>
      <c r="AW430" s="538">
        <f t="shared" si="80"/>
        <v>2216899.5039695175</v>
      </c>
      <c r="AX430" s="606">
        <f t="shared" si="81"/>
        <v>66425.819208633562</v>
      </c>
      <c r="AY430" s="299">
        <f t="shared" si="82"/>
        <v>5787.5954372223969</v>
      </c>
      <c r="AZ430" s="538">
        <f t="shared" si="83"/>
        <v>72213.414645855955</v>
      </c>
      <c r="BA430" s="540">
        <f t="shared" si="84"/>
        <v>0</v>
      </c>
      <c r="BB430" s="541">
        <f t="shared" si="85"/>
        <v>72213.414645855955</v>
      </c>
    </row>
    <row r="431" spans="38:54" ht="15" hidden="1" x14ac:dyDescent="0.35">
      <c r="AL431" s="11">
        <v>209</v>
      </c>
      <c r="AM431" s="300">
        <f t="shared" si="76"/>
        <v>1989177.7051839954</v>
      </c>
      <c r="AN431" s="300">
        <f t="shared" si="77"/>
        <v>61604.125521258364</v>
      </c>
      <c r="AO431" s="301">
        <f t="shared" si="73"/>
        <v>5198.1622792181779</v>
      </c>
      <c r="AP431" s="300">
        <f t="shared" si="74"/>
        <v>66802.287800476537</v>
      </c>
      <c r="AQ431" s="10">
        <f t="shared" si="86"/>
        <v>0</v>
      </c>
      <c r="AR431" s="436">
        <f t="shared" si="78"/>
        <v>66802.287800476537</v>
      </c>
      <c r="AS431" s="436">
        <f t="shared" si="79"/>
        <v>66802.287800476537</v>
      </c>
      <c r="AT431" s="488">
        <f t="shared" si="75"/>
        <v>66802.287800476537</v>
      </c>
      <c r="AU431" s="301"/>
      <c r="AV431" s="11">
        <v>209</v>
      </c>
      <c r="AW431" s="538">
        <f t="shared" si="80"/>
        <v>2150305.3137608063</v>
      </c>
      <c r="AX431" s="606">
        <f t="shared" si="81"/>
        <v>66594.190208711007</v>
      </c>
      <c r="AY431" s="299">
        <f t="shared" si="82"/>
        <v>5619.2244371449578</v>
      </c>
      <c r="AZ431" s="538">
        <f t="shared" si="83"/>
        <v>72213.41464585597</v>
      </c>
      <c r="BA431" s="540">
        <f t="shared" si="84"/>
        <v>0</v>
      </c>
      <c r="BB431" s="541">
        <f t="shared" si="85"/>
        <v>72213.41464585597</v>
      </c>
    </row>
    <row r="432" spans="38:54" ht="15" hidden="1" x14ac:dyDescent="0.35">
      <c r="AL432" s="11">
        <v>210</v>
      </c>
      <c r="AM432" s="300">
        <f t="shared" si="76"/>
        <v>1927417.4303167977</v>
      </c>
      <c r="AN432" s="300">
        <f t="shared" si="77"/>
        <v>61760.274867197659</v>
      </c>
      <c r="AO432" s="301">
        <f t="shared" si="73"/>
        <v>5042.0129332788765</v>
      </c>
      <c r="AP432" s="300">
        <f t="shared" si="74"/>
        <v>66802.287800476537</v>
      </c>
      <c r="AQ432" s="10">
        <f t="shared" si="86"/>
        <v>0</v>
      </c>
      <c r="AR432" s="436">
        <f t="shared" si="78"/>
        <v>66802.287800476537</v>
      </c>
      <c r="AS432" s="436">
        <f t="shared" si="79"/>
        <v>66802.287800476537</v>
      </c>
      <c r="AT432" s="488">
        <f t="shared" si="75"/>
        <v>66802.287800476537</v>
      </c>
      <c r="AU432" s="301"/>
      <c r="AV432" s="11">
        <v>210</v>
      </c>
      <c r="AW432" s="538">
        <f t="shared" si="80"/>
        <v>2083542.3257783025</v>
      </c>
      <c r="AX432" s="606">
        <f t="shared" si="81"/>
        <v>66762.987982503924</v>
      </c>
      <c r="AY432" s="299">
        <f t="shared" si="82"/>
        <v>5450.4266633520438</v>
      </c>
      <c r="AZ432" s="538">
        <f t="shared" si="83"/>
        <v>72213.41464585597</v>
      </c>
      <c r="BA432" s="540">
        <f t="shared" si="84"/>
        <v>0</v>
      </c>
      <c r="BB432" s="541">
        <f t="shared" si="85"/>
        <v>72213.41464585597</v>
      </c>
    </row>
    <row r="433" spans="38:54" ht="15" hidden="1" x14ac:dyDescent="0.35">
      <c r="AL433" s="11">
        <v>211</v>
      </c>
      <c r="AM433" s="300">
        <f t="shared" si="76"/>
        <v>1865500.6103084437</v>
      </c>
      <c r="AN433" s="300">
        <f t="shared" si="77"/>
        <v>61916.820008354094</v>
      </c>
      <c r="AO433" s="301">
        <f t="shared" si="73"/>
        <v>4885.4677921224393</v>
      </c>
      <c r="AP433" s="300">
        <f t="shared" si="74"/>
        <v>66802.287800476537</v>
      </c>
      <c r="AQ433" s="10">
        <f t="shared" si="86"/>
        <v>0</v>
      </c>
      <c r="AR433" s="436">
        <f t="shared" si="78"/>
        <v>66802.287800476537</v>
      </c>
      <c r="AS433" s="436">
        <f t="shared" si="79"/>
        <v>66802.287800476537</v>
      </c>
      <c r="AT433" s="488">
        <f t="shared" si="75"/>
        <v>66802.287800476537</v>
      </c>
      <c r="AU433" s="301"/>
      <c r="AV433" s="11">
        <v>211</v>
      </c>
      <c r="AW433" s="538">
        <f t="shared" si="80"/>
        <v>2016610.1121665374</v>
      </c>
      <c r="AX433" s="606">
        <f t="shared" si="81"/>
        <v>66932.213611765124</v>
      </c>
      <c r="AY433" s="299">
        <f t="shared" si="82"/>
        <v>5281.2010340908364</v>
      </c>
      <c r="AZ433" s="538">
        <f t="shared" si="83"/>
        <v>72213.414645855955</v>
      </c>
      <c r="BA433" s="540">
        <f t="shared" si="84"/>
        <v>0</v>
      </c>
      <c r="BB433" s="541">
        <f t="shared" si="85"/>
        <v>72213.414645855955</v>
      </c>
    </row>
    <row r="434" spans="38:54" ht="15" hidden="1" x14ac:dyDescent="0.35">
      <c r="AL434" s="11">
        <v>212</v>
      </c>
      <c r="AM434" s="300">
        <f t="shared" si="76"/>
        <v>1803426.8483604852</v>
      </c>
      <c r="AN434" s="300">
        <f t="shared" si="77"/>
        <v>62073.761947958606</v>
      </c>
      <c r="AO434" s="301">
        <f t="shared" si="73"/>
        <v>4728.5258525179297</v>
      </c>
      <c r="AP434" s="300">
        <f t="shared" si="74"/>
        <v>66802.287800476537</v>
      </c>
      <c r="AQ434" s="10">
        <f t="shared" si="86"/>
        <v>0</v>
      </c>
      <c r="AR434" s="436">
        <f t="shared" si="78"/>
        <v>66802.287800476537</v>
      </c>
      <c r="AS434" s="436">
        <f t="shared" si="79"/>
        <v>66802.287800476537</v>
      </c>
      <c r="AT434" s="488">
        <f t="shared" si="75"/>
        <v>66802.287800476537</v>
      </c>
      <c r="AU434" s="301"/>
      <c r="AV434" s="11">
        <v>212</v>
      </c>
      <c r="AW434" s="538">
        <f t="shared" si="80"/>
        <v>1949508.2439855481</v>
      </c>
      <c r="AX434" s="606">
        <f t="shared" si="81"/>
        <v>67101.86818098939</v>
      </c>
      <c r="AY434" s="299">
        <f t="shared" si="82"/>
        <v>5111.5464648665702</v>
      </c>
      <c r="AZ434" s="538">
        <f t="shared" si="83"/>
        <v>72213.414645855955</v>
      </c>
      <c r="BA434" s="540">
        <f t="shared" si="84"/>
        <v>0</v>
      </c>
      <c r="BB434" s="541">
        <f t="shared" si="85"/>
        <v>72213.414645855955</v>
      </c>
    </row>
    <row r="435" spans="38:54" ht="15" hidden="1" x14ac:dyDescent="0.35">
      <c r="AL435" s="11">
        <v>213</v>
      </c>
      <c r="AM435" s="300">
        <f t="shared" si="76"/>
        <v>1741195.7466687001</v>
      </c>
      <c r="AN435" s="300">
        <f t="shared" si="77"/>
        <v>62231.101691785021</v>
      </c>
      <c r="AO435" s="301">
        <f t="shared" si="73"/>
        <v>4571.1861086915069</v>
      </c>
      <c r="AP435" s="300">
        <f t="shared" si="74"/>
        <v>66802.287800476523</v>
      </c>
      <c r="AQ435" s="10">
        <f t="shared" si="86"/>
        <v>0</v>
      </c>
      <c r="AR435" s="436">
        <f t="shared" si="78"/>
        <v>66802.287800476523</v>
      </c>
      <c r="AS435" s="436">
        <f t="shared" si="79"/>
        <v>66802.287800476523</v>
      </c>
      <c r="AT435" s="488">
        <f t="shared" si="75"/>
        <v>66802.287800476523</v>
      </c>
      <c r="AU435" s="301"/>
      <c r="AV435" s="11">
        <v>213</v>
      </c>
      <c r="AW435" s="538">
        <f t="shared" si="80"/>
        <v>1882236.2912081277</v>
      </c>
      <c r="AX435" s="606">
        <f t="shared" si="81"/>
        <v>67271.952777420374</v>
      </c>
      <c r="AY435" s="299">
        <f t="shared" si="82"/>
        <v>4941.461868435591</v>
      </c>
      <c r="AZ435" s="538">
        <f t="shared" si="83"/>
        <v>72213.41464585597</v>
      </c>
      <c r="BA435" s="540">
        <f t="shared" si="84"/>
        <v>0</v>
      </c>
      <c r="BB435" s="541">
        <f t="shared" si="85"/>
        <v>72213.41464585597</v>
      </c>
    </row>
    <row r="436" spans="38:54" ht="15" hidden="1" x14ac:dyDescent="0.35">
      <c r="AL436" s="11">
        <v>214</v>
      </c>
      <c r="AM436" s="300">
        <f t="shared" si="76"/>
        <v>1678806.9064205436</v>
      </c>
      <c r="AN436" s="300">
        <f t="shared" si="77"/>
        <v>62388.840248156564</v>
      </c>
      <c r="AO436" s="301">
        <f t="shared" si="73"/>
        <v>4413.447552319969</v>
      </c>
      <c r="AP436" s="300">
        <f t="shared" si="74"/>
        <v>66802.287800476537</v>
      </c>
      <c r="AQ436" s="10">
        <f t="shared" si="86"/>
        <v>0</v>
      </c>
      <c r="AR436" s="436">
        <f t="shared" si="78"/>
        <v>66802.287800476537</v>
      </c>
      <c r="AS436" s="436">
        <f t="shared" si="79"/>
        <v>66802.287800476537</v>
      </c>
      <c r="AT436" s="488">
        <f t="shared" si="75"/>
        <v>66802.287800476537</v>
      </c>
      <c r="AU436" s="301"/>
      <c r="AV436" s="11">
        <v>214</v>
      </c>
      <c r="AW436" s="538">
        <f t="shared" si="80"/>
        <v>1814793.8227170701</v>
      </c>
      <c r="AX436" s="606">
        <f t="shared" si="81"/>
        <v>67442.468491057589</v>
      </c>
      <c r="AY436" s="299">
        <f t="shared" si="82"/>
        <v>4770.9461547983801</v>
      </c>
      <c r="AZ436" s="538">
        <f t="shared" si="83"/>
        <v>72213.41464585597</v>
      </c>
      <c r="BA436" s="540">
        <f t="shared" si="84"/>
        <v>0</v>
      </c>
      <c r="BB436" s="541">
        <f t="shared" si="85"/>
        <v>72213.41464585597</v>
      </c>
    </row>
    <row r="437" spans="38:54" ht="15" hidden="1" x14ac:dyDescent="0.35">
      <c r="AL437" s="11">
        <v>215</v>
      </c>
      <c r="AM437" s="300">
        <f t="shared" si="76"/>
        <v>1616259.9277925913</v>
      </c>
      <c r="AN437" s="300">
        <f t="shared" si="77"/>
        <v>62546.978627952238</v>
      </c>
      <c r="AO437" s="301">
        <f t="shared" si="73"/>
        <v>4255.3091725242939</v>
      </c>
      <c r="AP437" s="300">
        <f t="shared" si="74"/>
        <v>66802.287800476537</v>
      </c>
      <c r="AQ437" s="10">
        <f t="shared" si="86"/>
        <v>0</v>
      </c>
      <c r="AR437" s="436">
        <f t="shared" si="78"/>
        <v>66802.287800476537</v>
      </c>
      <c r="AS437" s="436">
        <f t="shared" si="79"/>
        <v>66802.287800476537</v>
      </c>
      <c r="AT437" s="488">
        <f t="shared" si="75"/>
        <v>66802.287800476537</v>
      </c>
      <c r="AU437" s="301"/>
      <c r="AV437" s="11">
        <v>215</v>
      </c>
      <c r="AW437" s="538">
        <f t="shared" si="80"/>
        <v>1747180.4063024067</v>
      </c>
      <c r="AX437" s="606">
        <f t="shared" si="81"/>
        <v>67613.416414663385</v>
      </c>
      <c r="AY437" s="299">
        <f t="shared" si="82"/>
        <v>4599.9982311925733</v>
      </c>
      <c r="AZ437" s="538">
        <f t="shared" si="83"/>
        <v>72213.414645855955</v>
      </c>
      <c r="BA437" s="540">
        <f t="shared" si="84"/>
        <v>0</v>
      </c>
      <c r="BB437" s="541">
        <f t="shared" si="85"/>
        <v>72213.414645855955</v>
      </c>
    </row>
    <row r="438" spans="38:54" ht="15" hidden="1" x14ac:dyDescent="0.35">
      <c r="AL438" s="11">
        <v>216</v>
      </c>
      <c r="AM438" s="300">
        <f t="shared" si="76"/>
        <v>1553554.4099479779</v>
      </c>
      <c r="AN438" s="300">
        <f t="shared" si="77"/>
        <v>62705.517844613372</v>
      </c>
      <c r="AO438" s="301">
        <f t="shared" si="73"/>
        <v>4096.7699558631657</v>
      </c>
      <c r="AP438" s="300">
        <f t="shared" si="74"/>
        <v>66802.287800476537</v>
      </c>
      <c r="AQ438" s="10">
        <f t="shared" si="86"/>
        <v>0</v>
      </c>
      <c r="AR438" s="436">
        <f t="shared" si="78"/>
        <v>66802.287800476537</v>
      </c>
      <c r="AS438" s="436">
        <f t="shared" si="79"/>
        <v>66802.287800476537</v>
      </c>
      <c r="AT438" s="488">
        <f t="shared" si="75"/>
        <v>66802.287800476537</v>
      </c>
      <c r="AU438" s="301"/>
      <c r="AV438" s="11">
        <v>216</v>
      </c>
      <c r="AW438" s="538">
        <f t="shared" si="80"/>
        <v>1679395.6086586367</v>
      </c>
      <c r="AX438" s="606">
        <f t="shared" si="81"/>
        <v>67784.797643770013</v>
      </c>
      <c r="AY438" s="299">
        <f t="shared" si="82"/>
        <v>4428.6170020859618</v>
      </c>
      <c r="AZ438" s="538">
        <f t="shared" si="83"/>
        <v>72213.41464585597</v>
      </c>
      <c r="BA438" s="540">
        <f t="shared" si="84"/>
        <v>0</v>
      </c>
      <c r="BB438" s="541">
        <f t="shared" si="85"/>
        <v>72213.41464585597</v>
      </c>
    </row>
    <row r="439" spans="38:54" ht="15" hidden="1" x14ac:dyDescent="0.35">
      <c r="AL439" s="11">
        <v>217</v>
      </c>
      <c r="AM439" s="300">
        <f t="shared" si="76"/>
        <v>1490689.9510338278</v>
      </c>
      <c r="AN439" s="300">
        <f t="shared" si="77"/>
        <v>62864.458914150055</v>
      </c>
      <c r="AO439" s="301">
        <f t="shared" si="73"/>
        <v>3937.828886326472</v>
      </c>
      <c r="AP439" s="300">
        <f t="shared" si="74"/>
        <v>66802.287800476523</v>
      </c>
      <c r="AQ439" s="10">
        <f t="shared" si="86"/>
        <v>0</v>
      </c>
      <c r="AR439" s="436">
        <f t="shared" si="78"/>
        <v>66802.287800476523</v>
      </c>
      <c r="AS439" s="436">
        <f t="shared" si="79"/>
        <v>66802.287800476523</v>
      </c>
      <c r="AT439" s="488">
        <f t="shared" si="75"/>
        <v>66802.287800476523</v>
      </c>
      <c r="AU439" s="301"/>
      <c r="AV439" s="11">
        <v>217</v>
      </c>
      <c r="AW439" s="538">
        <f t="shared" si="80"/>
        <v>1611438.9953819502</v>
      </c>
      <c r="AX439" s="606">
        <f t="shared" si="81"/>
        <v>67956.61327668649</v>
      </c>
      <c r="AY439" s="299">
        <f t="shared" si="82"/>
        <v>4256.8013691694614</v>
      </c>
      <c r="AZ439" s="538">
        <f t="shared" si="83"/>
        <v>72213.414645855955</v>
      </c>
      <c r="BA439" s="540">
        <f t="shared" si="84"/>
        <v>0</v>
      </c>
      <c r="BB439" s="541">
        <f t="shared" si="85"/>
        <v>72213.414645855955</v>
      </c>
    </row>
    <row r="440" spans="38:54" ht="15" hidden="1" x14ac:dyDescent="0.35">
      <c r="AL440" s="11">
        <v>218</v>
      </c>
      <c r="AM440" s="300">
        <f t="shared" si="76"/>
        <v>1427666.1481786801</v>
      </c>
      <c r="AN440" s="300">
        <f t="shared" si="77"/>
        <v>63023.802855147733</v>
      </c>
      <c r="AO440" s="301">
        <f t="shared" si="73"/>
        <v>3778.4849453287993</v>
      </c>
      <c r="AP440" s="300">
        <f t="shared" si="74"/>
        <v>66802.287800476537</v>
      </c>
      <c r="AQ440" s="10">
        <f t="shared" si="86"/>
        <v>0</v>
      </c>
      <c r="AR440" s="436">
        <f t="shared" si="78"/>
        <v>66802.287800476537</v>
      </c>
      <c r="AS440" s="436">
        <f t="shared" si="79"/>
        <v>66802.287800476537</v>
      </c>
      <c r="AT440" s="488">
        <f t="shared" si="75"/>
        <v>66802.287800476537</v>
      </c>
      <c r="AU440" s="301"/>
      <c r="AV440" s="11">
        <v>218</v>
      </c>
      <c r="AW440" s="538">
        <f t="shared" si="80"/>
        <v>1543310.1309674443</v>
      </c>
      <c r="AX440" s="606">
        <f t="shared" si="81"/>
        <v>68128.864414505879</v>
      </c>
      <c r="AY440" s="299">
        <f t="shared" si="82"/>
        <v>4084.550231350082</v>
      </c>
      <c r="AZ440" s="538">
        <f t="shared" si="83"/>
        <v>72213.414645855955</v>
      </c>
      <c r="BA440" s="540">
        <f t="shared" si="84"/>
        <v>0</v>
      </c>
      <c r="BB440" s="541">
        <f t="shared" si="85"/>
        <v>72213.414645855955</v>
      </c>
    </row>
    <row r="441" spans="38:54" ht="15" hidden="1" x14ac:dyDescent="0.35">
      <c r="AL441" s="11">
        <v>219</v>
      </c>
      <c r="AM441" s="300">
        <f t="shared" si="76"/>
        <v>1364482.5974899065</v>
      </c>
      <c r="AN441" s="300">
        <f t="shared" si="77"/>
        <v>63183.550688773626</v>
      </c>
      <c r="AO441" s="301">
        <f t="shared" si="73"/>
        <v>3618.7371117029043</v>
      </c>
      <c r="AP441" s="300">
        <f t="shared" si="74"/>
        <v>66802.287800476537</v>
      </c>
      <c r="AQ441" s="10">
        <f t="shared" si="86"/>
        <v>0</v>
      </c>
      <c r="AR441" s="436">
        <f t="shared" si="78"/>
        <v>66802.287800476537</v>
      </c>
      <c r="AS441" s="436">
        <f t="shared" si="79"/>
        <v>66802.287800476537</v>
      </c>
      <c r="AT441" s="488">
        <f t="shared" si="75"/>
        <v>66802.287800476537</v>
      </c>
      <c r="AU441" s="301"/>
      <c r="AV441" s="11">
        <v>219</v>
      </c>
      <c r="AW441" s="538">
        <f t="shared" si="80"/>
        <v>1475008.5788063321</v>
      </c>
      <c r="AX441" s="606">
        <f t="shared" si="81"/>
        <v>68301.552161112093</v>
      </c>
      <c r="AY441" s="299">
        <f t="shared" si="82"/>
        <v>3911.8624847438691</v>
      </c>
      <c r="AZ441" s="538">
        <f t="shared" si="83"/>
        <v>72213.414645855955</v>
      </c>
      <c r="BA441" s="540">
        <f t="shared" si="84"/>
        <v>0</v>
      </c>
      <c r="BB441" s="541">
        <f t="shared" si="85"/>
        <v>72213.414645855955</v>
      </c>
    </row>
    <row r="442" spans="38:54" ht="15" hidden="1" x14ac:dyDescent="0.35">
      <c r="AL442" s="11">
        <v>220</v>
      </c>
      <c r="AM442" s="300">
        <f t="shared" si="76"/>
        <v>1301138.8940511232</v>
      </c>
      <c r="AN442" s="300">
        <f t="shared" si="77"/>
        <v>63343.703438783363</v>
      </c>
      <c r="AO442" s="301">
        <f t="shared" si="73"/>
        <v>3458.5843616931661</v>
      </c>
      <c r="AP442" s="300">
        <f t="shared" si="74"/>
        <v>66802.287800476523</v>
      </c>
      <c r="AQ442" s="10">
        <f t="shared" si="86"/>
        <v>0</v>
      </c>
      <c r="AR442" s="436">
        <f t="shared" si="78"/>
        <v>66802.287800476523</v>
      </c>
      <c r="AS442" s="436">
        <f t="shared" si="79"/>
        <v>66802.287800476523</v>
      </c>
      <c r="AT442" s="488">
        <f t="shared" si="75"/>
        <v>66802.287800476523</v>
      </c>
      <c r="AU442" s="301"/>
      <c r="AV442" s="11">
        <v>220</v>
      </c>
      <c r="AW442" s="538">
        <f t="shared" si="80"/>
        <v>1406533.9011831449</v>
      </c>
      <c r="AX442" s="606">
        <f t="shared" si="81"/>
        <v>68474.677623187134</v>
      </c>
      <c r="AY442" s="299">
        <f t="shared" si="82"/>
        <v>3738.7370226688276</v>
      </c>
      <c r="AZ442" s="538">
        <f t="shared" si="83"/>
        <v>72213.414645855955</v>
      </c>
      <c r="BA442" s="540">
        <f t="shared" si="84"/>
        <v>0</v>
      </c>
      <c r="BB442" s="541">
        <f t="shared" si="85"/>
        <v>72213.414645855955</v>
      </c>
    </row>
    <row r="443" spans="38:54" ht="15" hidden="1" x14ac:dyDescent="0.35">
      <c r="AL443" s="11">
        <v>221</v>
      </c>
      <c r="AM443" s="300">
        <f t="shared" si="76"/>
        <v>1237634.6319195956</v>
      </c>
      <c r="AN443" s="300">
        <f t="shared" si="77"/>
        <v>63504.262131527503</v>
      </c>
      <c r="AO443" s="301">
        <f t="shared" si="73"/>
        <v>3298.0256689490275</v>
      </c>
      <c r="AP443" s="300">
        <f t="shared" si="74"/>
        <v>66802.287800476537</v>
      </c>
      <c r="AQ443" s="10">
        <f t="shared" si="86"/>
        <v>0</v>
      </c>
      <c r="AR443" s="436">
        <f t="shared" si="78"/>
        <v>66802.287800476537</v>
      </c>
      <c r="AS443" s="436">
        <f t="shared" si="79"/>
        <v>66802.287800476537</v>
      </c>
      <c r="AT443" s="488">
        <f t="shared" si="75"/>
        <v>66802.287800476537</v>
      </c>
      <c r="AU443" s="301"/>
      <c r="AV443" s="11">
        <v>221</v>
      </c>
      <c r="AW443" s="538">
        <f t="shared" si="80"/>
        <v>1337885.6592729269</v>
      </c>
      <c r="AX443" s="606">
        <f t="shared" si="81"/>
        <v>68648.24191021813</v>
      </c>
      <c r="AY443" s="299">
        <f t="shared" si="82"/>
        <v>3565.1727356378324</v>
      </c>
      <c r="AZ443" s="538">
        <f t="shared" si="83"/>
        <v>72213.414645855955</v>
      </c>
      <c r="BA443" s="540">
        <f t="shared" si="84"/>
        <v>0</v>
      </c>
      <c r="BB443" s="541">
        <f t="shared" si="85"/>
        <v>72213.414645855955</v>
      </c>
    </row>
    <row r="444" spans="38:54" ht="15" hidden="1" x14ac:dyDescent="0.35">
      <c r="AL444" s="11">
        <v>222</v>
      </c>
      <c r="AM444" s="300">
        <f t="shared" si="76"/>
        <v>1173969.4041236376</v>
      </c>
      <c r="AN444" s="300">
        <f t="shared" si="77"/>
        <v>63665.227795958112</v>
      </c>
      <c r="AO444" s="301">
        <f t="shared" si="73"/>
        <v>3137.0600045184192</v>
      </c>
      <c r="AP444" s="300">
        <f t="shared" si="74"/>
        <v>66802.287800476537</v>
      </c>
      <c r="AQ444" s="10">
        <f t="shared" si="86"/>
        <v>0</v>
      </c>
      <c r="AR444" s="436">
        <f t="shared" si="78"/>
        <v>66802.287800476537</v>
      </c>
      <c r="AS444" s="436">
        <f t="shared" si="79"/>
        <v>66802.287800476537</v>
      </c>
      <c r="AT444" s="488">
        <f t="shared" si="75"/>
        <v>66802.287800476537</v>
      </c>
      <c r="AU444" s="301"/>
      <c r="AV444" s="11">
        <v>222</v>
      </c>
      <c r="AW444" s="538">
        <f t="shared" si="80"/>
        <v>1269063.4131384224</v>
      </c>
      <c r="AX444" s="606">
        <f t="shared" si="81"/>
        <v>68822.246134504458</v>
      </c>
      <c r="AY444" s="299">
        <f t="shared" si="82"/>
        <v>3391.1685113515159</v>
      </c>
      <c r="AZ444" s="538">
        <f t="shared" si="83"/>
        <v>72213.41464585597</v>
      </c>
      <c r="BA444" s="540">
        <f t="shared" si="84"/>
        <v>0</v>
      </c>
      <c r="BB444" s="541">
        <f t="shared" si="85"/>
        <v>72213.41464585597</v>
      </c>
    </row>
    <row r="445" spans="38:54" ht="15" hidden="1" x14ac:dyDescent="0.35">
      <c r="AL445" s="11">
        <v>223</v>
      </c>
      <c r="AM445" s="300">
        <f t="shared" si="76"/>
        <v>1110142.8026600021</v>
      </c>
      <c r="AN445" s="300">
        <f t="shared" si="77"/>
        <v>63826.601463635365</v>
      </c>
      <c r="AO445" s="301">
        <f t="shared" si="73"/>
        <v>2975.686336841165</v>
      </c>
      <c r="AP445" s="300">
        <f t="shared" si="74"/>
        <v>66802.287800476537</v>
      </c>
      <c r="AQ445" s="10">
        <f t="shared" si="86"/>
        <v>0</v>
      </c>
      <c r="AR445" s="436">
        <f t="shared" si="78"/>
        <v>66802.287800476537</v>
      </c>
      <c r="AS445" s="436">
        <f t="shared" si="79"/>
        <v>66802.287800476537</v>
      </c>
      <c r="AT445" s="488">
        <f t="shared" si="75"/>
        <v>66802.287800476537</v>
      </c>
      <c r="AU445" s="301"/>
      <c r="AV445" s="11">
        <v>223</v>
      </c>
      <c r="AW445" s="538">
        <f t="shared" si="80"/>
        <v>1200066.7217272576</v>
      </c>
      <c r="AX445" s="606">
        <f t="shared" si="81"/>
        <v>68996.691411164822</v>
      </c>
      <c r="AY445" s="299">
        <f t="shared" si="82"/>
        <v>3216.7232346911401</v>
      </c>
      <c r="AZ445" s="538">
        <f t="shared" si="83"/>
        <v>72213.414645855955</v>
      </c>
      <c r="BA445" s="540">
        <f t="shared" si="84"/>
        <v>0</v>
      </c>
      <c r="BB445" s="541">
        <f t="shared" si="85"/>
        <v>72213.414645855955</v>
      </c>
    </row>
    <row r="446" spans="38:54" ht="15" hidden="1" x14ac:dyDescent="0.35">
      <c r="AL446" s="11">
        <v>224</v>
      </c>
      <c r="AM446" s="300">
        <f t="shared" si="76"/>
        <v>1046154.4184912679</v>
      </c>
      <c r="AN446" s="300">
        <f t="shared" si="77"/>
        <v>63988.38416873417</v>
      </c>
      <c r="AO446" s="301">
        <f t="shared" si="73"/>
        <v>2813.9036317423665</v>
      </c>
      <c r="AP446" s="300">
        <f t="shared" si="74"/>
        <v>66802.287800476537</v>
      </c>
      <c r="AQ446" s="10">
        <f t="shared" si="86"/>
        <v>0</v>
      </c>
      <c r="AR446" s="436">
        <f t="shared" si="78"/>
        <v>66802.287800476537</v>
      </c>
      <c r="AS446" s="436">
        <f t="shared" si="79"/>
        <v>66802.287800476537</v>
      </c>
      <c r="AT446" s="488">
        <f t="shared" si="75"/>
        <v>66802.287800476537</v>
      </c>
      <c r="AU446" s="301"/>
      <c r="AV446" s="11">
        <v>224</v>
      </c>
      <c r="AW446" s="538">
        <f t="shared" si="80"/>
        <v>1130895.142869113</v>
      </c>
      <c r="AX446" s="606">
        <f t="shared" si="81"/>
        <v>69171.578858144509</v>
      </c>
      <c r="AY446" s="299">
        <f t="shared" si="82"/>
        <v>3041.8357877114518</v>
      </c>
      <c r="AZ446" s="538">
        <f t="shared" si="83"/>
        <v>72213.414645855955</v>
      </c>
      <c r="BA446" s="540">
        <f t="shared" si="84"/>
        <v>0</v>
      </c>
      <c r="BB446" s="541">
        <f t="shared" si="85"/>
        <v>72213.414645855955</v>
      </c>
    </row>
    <row r="447" spans="38:54" ht="15" hidden="1" x14ac:dyDescent="0.35">
      <c r="AL447" s="11">
        <v>225</v>
      </c>
      <c r="AM447" s="300">
        <f t="shared" si="76"/>
        <v>982003.84154321719</v>
      </c>
      <c r="AN447" s="300">
        <f t="shared" si="77"/>
        <v>64150.576948050752</v>
      </c>
      <c r="AO447" s="301">
        <f t="shared" si="73"/>
        <v>2651.7108524257833</v>
      </c>
      <c r="AP447" s="300">
        <f t="shared" si="74"/>
        <v>66802.287800476537</v>
      </c>
      <c r="AQ447" s="10">
        <f t="shared" si="86"/>
        <v>0</v>
      </c>
      <c r="AR447" s="436">
        <f t="shared" si="78"/>
        <v>66802.287800476537</v>
      </c>
      <c r="AS447" s="436">
        <f t="shared" si="79"/>
        <v>66802.287800476537</v>
      </c>
      <c r="AT447" s="488">
        <f t="shared" si="75"/>
        <v>66802.287800476537</v>
      </c>
      <c r="AU447" s="301"/>
      <c r="AV447" s="11">
        <v>225</v>
      </c>
      <c r="AW447" s="538">
        <f t="shared" si="80"/>
        <v>1061548.2332728906</v>
      </c>
      <c r="AX447" s="606">
        <f t="shared" si="81"/>
        <v>69346.909596222453</v>
      </c>
      <c r="AY447" s="299">
        <f t="shared" si="82"/>
        <v>2866.5050496335152</v>
      </c>
      <c r="AZ447" s="538">
        <f t="shared" si="83"/>
        <v>72213.41464585597</v>
      </c>
      <c r="BA447" s="540">
        <f t="shared" si="84"/>
        <v>0</v>
      </c>
      <c r="BB447" s="541">
        <f t="shared" si="85"/>
        <v>72213.41464585597</v>
      </c>
    </row>
    <row r="448" spans="38:54" ht="15" hidden="1" x14ac:dyDescent="0.35">
      <c r="AL448" s="11">
        <v>226</v>
      </c>
      <c r="AM448" s="300">
        <f t="shared" si="76"/>
        <v>917690.66070220782</v>
      </c>
      <c r="AN448" s="300">
        <f t="shared" ref="AN448:AN462" si="87">PPMT($AN$32/360*(365/12),AL448,$AN$24,-$AN$23)</f>
        <v>64313.180841009351</v>
      </c>
      <c r="AO448" s="301">
        <f t="shared" si="73"/>
        <v>2489.1069594671822</v>
      </c>
      <c r="AP448" s="300">
        <f t="shared" si="74"/>
        <v>66802.287800476537</v>
      </c>
      <c r="AQ448" s="10">
        <f t="shared" si="86"/>
        <v>0</v>
      </c>
      <c r="AR448" s="436">
        <f t="shared" si="78"/>
        <v>66802.287800476537</v>
      </c>
      <c r="AS448" s="436">
        <f t="shared" si="79"/>
        <v>66802.287800476537</v>
      </c>
      <c r="AT448" s="488">
        <f t="shared" si="75"/>
        <v>66802.287800476537</v>
      </c>
      <c r="AU448" s="301"/>
      <c r="AV448" s="11">
        <v>226</v>
      </c>
      <c r="AW448" s="538">
        <f t="shared" si="80"/>
        <v>992025.54852387216</v>
      </c>
      <c r="AX448" s="606">
        <f t="shared" si="81"/>
        <v>69522.68474901843</v>
      </c>
      <c r="AY448" s="299">
        <f t="shared" si="82"/>
        <v>2690.7298968375349</v>
      </c>
      <c r="AZ448" s="538">
        <f t="shared" si="83"/>
        <v>72213.41464585597</v>
      </c>
      <c r="BA448" s="540">
        <f t="shared" si="84"/>
        <v>0</v>
      </c>
      <c r="BB448" s="541">
        <f t="shared" si="85"/>
        <v>72213.41464585597</v>
      </c>
    </row>
    <row r="449" spans="38:54" ht="15" hidden="1" x14ac:dyDescent="0.35">
      <c r="AL449" s="11">
        <v>227</v>
      </c>
      <c r="AM449" s="300">
        <f t="shared" si="76"/>
        <v>853214.463812539</v>
      </c>
      <c r="AN449" s="300">
        <f t="shared" si="87"/>
        <v>64476.196889668856</v>
      </c>
      <c r="AO449" s="301">
        <f t="shared" si="73"/>
        <v>2326.0909108076794</v>
      </c>
      <c r="AP449" s="300">
        <f t="shared" si="74"/>
        <v>66802.287800476537</v>
      </c>
      <c r="AQ449" s="10">
        <f t="shared" si="86"/>
        <v>0</v>
      </c>
      <c r="AR449" s="436">
        <f t="shared" si="78"/>
        <v>66802.287800476537</v>
      </c>
      <c r="AS449" s="436">
        <f t="shared" si="79"/>
        <v>66802.287800476537</v>
      </c>
      <c r="AT449" s="488">
        <f t="shared" si="75"/>
        <v>66802.287800476537</v>
      </c>
      <c r="AU449" s="301"/>
      <c r="AV449" s="11">
        <v>227</v>
      </c>
      <c r="AW449" s="538">
        <f t="shared" si="80"/>
        <v>922326.64308087179</v>
      </c>
      <c r="AX449" s="606">
        <f t="shared" si="81"/>
        <v>69698.905443000316</v>
      </c>
      <c r="AY449" s="299">
        <f t="shared" si="82"/>
        <v>2514.5092028556478</v>
      </c>
      <c r="AZ449" s="538">
        <f t="shared" si="83"/>
        <v>72213.41464585597</v>
      </c>
      <c r="BA449" s="540">
        <f t="shared" si="84"/>
        <v>0</v>
      </c>
      <c r="BB449" s="541">
        <f t="shared" si="85"/>
        <v>72213.41464585597</v>
      </c>
    </row>
    <row r="450" spans="38:54" ht="15" hidden="1" x14ac:dyDescent="0.35">
      <c r="AL450" s="11">
        <v>228</v>
      </c>
      <c r="AM450" s="300">
        <f t="shared" si="76"/>
        <v>788574.8376738095</v>
      </c>
      <c r="AN450" s="300">
        <f t="shared" si="87"/>
        <v>64639.626138729465</v>
      </c>
      <c r="AO450" s="301">
        <f t="shared" si="73"/>
        <v>2162.6616617470604</v>
      </c>
      <c r="AP450" s="300">
        <f t="shared" si="74"/>
        <v>66802.287800476523</v>
      </c>
      <c r="AQ450" s="10">
        <f t="shared" si="86"/>
        <v>0</v>
      </c>
      <c r="AR450" s="436">
        <f t="shared" si="78"/>
        <v>66802.287800476523</v>
      </c>
      <c r="AS450" s="436">
        <f t="shared" si="79"/>
        <v>66802.287800476523</v>
      </c>
      <c r="AT450" s="488">
        <f t="shared" si="75"/>
        <v>66802.287800476523</v>
      </c>
      <c r="AU450" s="301"/>
      <c r="AV450" s="11">
        <v>228</v>
      </c>
      <c r="AW450" s="538">
        <f t="shared" si="80"/>
        <v>852451.07027338049</v>
      </c>
      <c r="AX450" s="606">
        <f t="shared" si="81"/>
        <v>69875.572807491248</v>
      </c>
      <c r="AY450" s="299">
        <f t="shared" si="82"/>
        <v>2337.8418383647095</v>
      </c>
      <c r="AZ450" s="538">
        <f t="shared" si="83"/>
        <v>72213.414645855955</v>
      </c>
      <c r="BA450" s="540">
        <f t="shared" si="84"/>
        <v>0</v>
      </c>
      <c r="BB450" s="541">
        <f t="shared" si="85"/>
        <v>72213.414645855955</v>
      </c>
    </row>
    <row r="451" spans="38:54" ht="15" hidden="1" x14ac:dyDescent="0.35">
      <c r="AL451" s="11">
        <v>229</v>
      </c>
      <c r="AM451" s="300">
        <f t="shared" si="76"/>
        <v>723771.36803827004</v>
      </c>
      <c r="AN451" s="300">
        <f t="shared" si="87"/>
        <v>64803.469635539448</v>
      </c>
      <c r="AO451" s="301">
        <f t="shared" si="73"/>
        <v>1998.8181649370867</v>
      </c>
      <c r="AP451" s="300">
        <f t="shared" si="74"/>
        <v>66802.287800476537</v>
      </c>
      <c r="AQ451" s="10">
        <f t="shared" si="86"/>
        <v>0</v>
      </c>
      <c r="AR451" s="436">
        <f t="shared" si="78"/>
        <v>66802.287800476537</v>
      </c>
      <c r="AS451" s="436">
        <f t="shared" si="79"/>
        <v>66802.287800476537</v>
      </c>
      <c r="AT451" s="488">
        <f t="shared" si="75"/>
        <v>66802.287800476537</v>
      </c>
      <c r="AU451" s="301"/>
      <c r="AV451" s="11">
        <v>229</v>
      </c>
      <c r="AW451" s="538">
        <f t="shared" si="80"/>
        <v>782398.38229870354</v>
      </c>
      <c r="AX451" s="606">
        <f t="shared" si="81"/>
        <v>70052.687974676912</v>
      </c>
      <c r="AY451" s="299">
        <f t="shared" si="82"/>
        <v>2160.7266711790548</v>
      </c>
      <c r="AZ451" s="538">
        <f t="shared" si="83"/>
        <v>72213.41464585597</v>
      </c>
      <c r="BA451" s="540">
        <f t="shared" si="84"/>
        <v>0</v>
      </c>
      <c r="BB451" s="541">
        <f t="shared" si="85"/>
        <v>72213.41464585597</v>
      </c>
    </row>
    <row r="452" spans="38:54" ht="15" hidden="1" x14ac:dyDescent="0.35">
      <c r="AL452" s="11">
        <v>230</v>
      </c>
      <c r="AM452" s="300">
        <f t="shared" si="76"/>
        <v>658803.63960816828</v>
      </c>
      <c r="AN452" s="300">
        <f t="shared" si="87"/>
        <v>64967.72843010175</v>
      </c>
      <c r="AO452" s="301">
        <f t="shared" si="73"/>
        <v>1834.5593703747816</v>
      </c>
      <c r="AP452" s="300">
        <f t="shared" si="74"/>
        <v>66802.287800476537</v>
      </c>
      <c r="AQ452" s="10">
        <f t="shared" si="86"/>
        <v>0</v>
      </c>
      <c r="AR452" s="436">
        <f t="shared" si="78"/>
        <v>66802.287800476537</v>
      </c>
      <c r="AS452" s="436">
        <f t="shared" si="79"/>
        <v>66802.287800476537</v>
      </c>
      <c r="AT452" s="488">
        <f t="shared" si="75"/>
        <v>66802.287800476537</v>
      </c>
      <c r="AU452" s="301"/>
      <c r="AV452" s="11">
        <v>230</v>
      </c>
      <c r="AW452" s="538">
        <f t="shared" si="80"/>
        <v>712168.13021909085</v>
      </c>
      <c r="AX452" s="606">
        <f t="shared" si="81"/>
        <v>70230.252079612721</v>
      </c>
      <c r="AY452" s="299">
        <f t="shared" si="82"/>
        <v>1983.1625662432418</v>
      </c>
      <c r="AZ452" s="538">
        <f t="shared" si="83"/>
        <v>72213.41464585597</v>
      </c>
      <c r="BA452" s="540">
        <f t="shared" si="84"/>
        <v>0</v>
      </c>
      <c r="BB452" s="541">
        <f t="shared" si="85"/>
        <v>72213.41464585597</v>
      </c>
    </row>
    <row r="453" spans="38:54" ht="15" hidden="1" x14ac:dyDescent="0.35">
      <c r="AL453" s="11">
        <v>231</v>
      </c>
      <c r="AM453" s="300">
        <f t="shared" si="76"/>
        <v>593671.23603308748</v>
      </c>
      <c r="AN453" s="300">
        <f t="shared" si="87"/>
        <v>65132.403575080833</v>
      </c>
      <c r="AO453" s="301">
        <f t="shared" si="73"/>
        <v>1669.8842253957043</v>
      </c>
      <c r="AP453" s="300">
        <f t="shared" si="74"/>
        <v>66802.287800476537</v>
      </c>
      <c r="AQ453" s="10">
        <f t="shared" si="86"/>
        <v>0</v>
      </c>
      <c r="AR453" s="436">
        <f t="shared" si="78"/>
        <v>66802.287800476537</v>
      </c>
      <c r="AS453" s="436">
        <f t="shared" si="79"/>
        <v>66802.287800476537</v>
      </c>
      <c r="AT453" s="488">
        <f t="shared" si="75"/>
        <v>66802.287800476537</v>
      </c>
      <c r="AU453" s="301"/>
      <c r="AV453" s="11">
        <v>231</v>
      </c>
      <c r="AW453" s="538">
        <f t="shared" si="80"/>
        <v>641759.8639588597</v>
      </c>
      <c r="AX453" s="606">
        <f t="shared" si="81"/>
        <v>70408.266260231176</v>
      </c>
      <c r="AY453" s="299">
        <f t="shared" si="82"/>
        <v>1805.1483856247789</v>
      </c>
      <c r="AZ453" s="538">
        <f t="shared" si="83"/>
        <v>72213.414645855955</v>
      </c>
      <c r="BA453" s="540">
        <f t="shared" si="84"/>
        <v>0</v>
      </c>
      <c r="BB453" s="541">
        <f t="shared" si="85"/>
        <v>72213.414645855955</v>
      </c>
    </row>
    <row r="454" spans="38:54" ht="15" hidden="1" x14ac:dyDescent="0.35">
      <c r="AL454" s="11">
        <v>232</v>
      </c>
      <c r="AM454" s="300">
        <f t="shared" si="76"/>
        <v>528373.7399072781</v>
      </c>
      <c r="AN454" s="300">
        <f t="shared" si="87"/>
        <v>65297.496125809339</v>
      </c>
      <c r="AO454" s="301">
        <f t="shared" si="73"/>
        <v>1504.7916746672008</v>
      </c>
      <c r="AP454" s="300">
        <f t="shared" si="74"/>
        <v>66802.287800476537</v>
      </c>
      <c r="AQ454" s="10">
        <f t="shared" si="86"/>
        <v>0</v>
      </c>
      <c r="AR454" s="436">
        <f t="shared" si="78"/>
        <v>66802.287800476537</v>
      </c>
      <c r="AS454" s="436">
        <f t="shared" si="79"/>
        <v>66802.287800476537</v>
      </c>
      <c r="AT454" s="488">
        <f t="shared" si="75"/>
        <v>66802.287800476537</v>
      </c>
      <c r="AU454" s="301"/>
      <c r="AV454" s="11">
        <v>232</v>
      </c>
      <c r="AW454" s="538">
        <f t="shared" si="80"/>
        <v>571173.13230151054</v>
      </c>
      <c r="AX454" s="606">
        <f t="shared" si="81"/>
        <v>70586.731657349126</v>
      </c>
      <c r="AY454" s="299">
        <f t="shared" si="82"/>
        <v>1626.6829885068319</v>
      </c>
      <c r="AZ454" s="538">
        <f t="shared" si="83"/>
        <v>72213.414645855955</v>
      </c>
      <c r="BA454" s="540">
        <f t="shared" si="84"/>
        <v>0</v>
      </c>
      <c r="BB454" s="541">
        <f t="shared" si="85"/>
        <v>72213.414645855955</v>
      </c>
    </row>
    <row r="455" spans="38:54" ht="15" hidden="1" x14ac:dyDescent="0.35">
      <c r="AL455" s="11">
        <v>233</v>
      </c>
      <c r="AM455" s="300">
        <f t="shared" si="76"/>
        <v>462910.73276698322</v>
      </c>
      <c r="AN455" s="300">
        <f t="shared" si="87"/>
        <v>65463.007140294896</v>
      </c>
      <c r="AO455" s="301">
        <f t="shared" si="73"/>
        <v>1339.2806601816426</v>
      </c>
      <c r="AP455" s="300">
        <f t="shared" si="74"/>
        <v>66802.287800476537</v>
      </c>
      <c r="AQ455" s="10">
        <f t="shared" si="86"/>
        <v>0</v>
      </c>
      <c r="AR455" s="436">
        <f t="shared" si="78"/>
        <v>66802.287800476537</v>
      </c>
      <c r="AS455" s="436">
        <f t="shared" si="79"/>
        <v>66802.287800476537</v>
      </c>
      <c r="AT455" s="488">
        <f t="shared" si="75"/>
        <v>66802.287800476537</v>
      </c>
      <c r="AU455" s="301"/>
      <c r="AV455" s="11">
        <v>233</v>
      </c>
      <c r="AW455" s="538">
        <f t="shared" si="80"/>
        <v>500407.48288683547</v>
      </c>
      <c r="AX455" s="606">
        <f t="shared" si="81"/>
        <v>70765.649414675048</v>
      </c>
      <c r="AY455" s="299">
        <f t="shared" si="82"/>
        <v>1447.7652311809122</v>
      </c>
      <c r="AZ455" s="538">
        <f t="shared" si="83"/>
        <v>72213.414645855955</v>
      </c>
      <c r="BA455" s="540">
        <f t="shared" si="84"/>
        <v>0</v>
      </c>
      <c r="BB455" s="541">
        <f t="shared" si="85"/>
        <v>72213.414645855955</v>
      </c>
    </row>
    <row r="456" spans="38:54" ht="15" x14ac:dyDescent="0.35">
      <c r="AL456" s="11">
        <v>234</v>
      </c>
      <c r="AM456" s="300">
        <f t="shared" si="76"/>
        <v>397281.79508775636</v>
      </c>
      <c r="AN456" s="300">
        <f t="shared" si="87"/>
        <v>65628.937679226889</v>
      </c>
      <c r="AO456" s="301">
        <f t="shared" si="73"/>
        <v>1173.3501212496451</v>
      </c>
      <c r="AP456" s="300">
        <f t="shared" si="74"/>
        <v>66802.287800476537</v>
      </c>
      <c r="AQ456" s="10">
        <f t="shared" si="86"/>
        <v>0</v>
      </c>
      <c r="AR456" s="436">
        <f t="shared" si="78"/>
        <v>66802.287800476537</v>
      </c>
      <c r="AS456" s="436">
        <f t="shared" si="79"/>
        <v>66802.287800476537</v>
      </c>
      <c r="AT456" s="488">
        <f t="shared" si="75"/>
        <v>66802.287800476537</v>
      </c>
      <c r="AU456" s="301"/>
      <c r="AV456" s="11">
        <v>234</v>
      </c>
      <c r="AW456" s="538">
        <f t="shared" si="80"/>
        <v>429462.46220801905</v>
      </c>
      <c r="AX456" s="606">
        <f t="shared" si="81"/>
        <v>70945.020678816407</v>
      </c>
      <c r="AY456" s="299">
        <f t="shared" si="82"/>
        <v>1268.3939670395484</v>
      </c>
      <c r="AZ456" s="538">
        <f t="shared" si="83"/>
        <v>72213.414645855955</v>
      </c>
      <c r="BA456" s="540">
        <f t="shared" si="84"/>
        <v>0</v>
      </c>
      <c r="BB456" s="541">
        <f t="shared" si="85"/>
        <v>72213.414645855955</v>
      </c>
    </row>
    <row r="457" spans="38:54" ht="15" x14ac:dyDescent="0.35">
      <c r="AL457" s="11">
        <v>235</v>
      </c>
      <c r="AM457" s="300">
        <f t="shared" si="76"/>
        <v>331486.50628177309</v>
      </c>
      <c r="AN457" s="300">
        <f t="shared" si="87"/>
        <v>65795.288805983262</v>
      </c>
      <c r="AO457" s="301">
        <f t="shared" si="73"/>
        <v>1006.9989944932713</v>
      </c>
      <c r="AP457" s="300">
        <f t="shared" si="74"/>
        <v>66802.287800476537</v>
      </c>
      <c r="AQ457" s="10">
        <f t="shared" si="86"/>
        <v>0</v>
      </c>
      <c r="AR457" s="436">
        <f t="shared" si="78"/>
        <v>66802.287800476537</v>
      </c>
      <c r="AS457" s="436">
        <f t="shared" si="79"/>
        <v>66802.287800476537</v>
      </c>
      <c r="AT457" s="488">
        <f t="shared" si="75"/>
        <v>66802.287800476537</v>
      </c>
      <c r="AU457" s="301"/>
      <c r="AV457" s="11">
        <v>235</v>
      </c>
      <c r="AW457" s="538">
        <f t="shared" si="80"/>
        <v>358337.61560873198</v>
      </c>
      <c r="AX457" s="606">
        <f t="shared" si="81"/>
        <v>71124.846599287033</v>
      </c>
      <c r="AY457" s="299">
        <f t="shared" si="82"/>
        <v>1088.5680465689372</v>
      </c>
      <c r="AZ457" s="538">
        <f t="shared" si="83"/>
        <v>72213.41464585597</v>
      </c>
      <c r="BA457" s="540">
        <f t="shared" si="84"/>
        <v>0</v>
      </c>
      <c r="BB457" s="541">
        <f t="shared" si="85"/>
        <v>72213.41464585597</v>
      </c>
    </row>
    <row r="458" spans="38:54" ht="15" x14ac:dyDescent="0.35">
      <c r="AL458" s="11">
        <v>236</v>
      </c>
      <c r="AM458" s="300">
        <f t="shared" si="76"/>
        <v>265524.44469513575</v>
      </c>
      <c r="AN458" s="300">
        <f t="shared" si="87"/>
        <v>65962.061586637326</v>
      </c>
      <c r="AO458" s="301">
        <f t="shared" si="73"/>
        <v>840.2262138392166</v>
      </c>
      <c r="AP458" s="300">
        <f t="shared" si="74"/>
        <v>66802.287800476537</v>
      </c>
      <c r="AQ458" s="10">
        <f t="shared" si="86"/>
        <v>0</v>
      </c>
      <c r="AR458" s="436">
        <f t="shared" si="78"/>
        <v>66802.287800476537</v>
      </c>
      <c r="AS458" s="436">
        <f t="shared" si="79"/>
        <v>66802.287800476537</v>
      </c>
      <c r="AT458" s="488">
        <f t="shared" si="75"/>
        <v>66802.287800476537</v>
      </c>
      <c r="AU458" s="301"/>
      <c r="AV458" s="11">
        <v>236</v>
      </c>
      <c r="AW458" s="538">
        <f t="shared" si="80"/>
        <v>287032.48728021758</v>
      </c>
      <c r="AX458" s="606">
        <f t="shared" si="81"/>
        <v>71305.128328514387</v>
      </c>
      <c r="AY458" s="299">
        <f t="shared" si="82"/>
        <v>908.2863173415775</v>
      </c>
      <c r="AZ458" s="538">
        <f t="shared" si="83"/>
        <v>72213.41464585597</v>
      </c>
      <c r="BA458" s="540">
        <f t="shared" si="84"/>
        <v>0</v>
      </c>
      <c r="BB458" s="541">
        <f t="shared" si="85"/>
        <v>72213.41464585597</v>
      </c>
    </row>
    <row r="459" spans="38:54" ht="15" x14ac:dyDescent="0.35">
      <c r="AL459" s="11">
        <v>237</v>
      </c>
      <c r="AM459" s="300">
        <f t="shared" si="76"/>
        <v>199395.18760517117</v>
      </c>
      <c r="AN459" s="300">
        <f t="shared" si="87"/>
        <v>66129.257089964565</v>
      </c>
      <c r="AO459" s="301">
        <f t="shared" si="73"/>
        <v>673.03071051197605</v>
      </c>
      <c r="AP459" s="300">
        <f t="shared" si="74"/>
        <v>66802.287800476537</v>
      </c>
      <c r="AQ459" s="10">
        <f t="shared" si="86"/>
        <v>0</v>
      </c>
      <c r="AR459" s="436">
        <f t="shared" si="78"/>
        <v>66802.287800476537</v>
      </c>
      <c r="AS459" s="436">
        <f t="shared" si="79"/>
        <v>66802.287800476537</v>
      </c>
      <c r="AT459" s="488">
        <f t="shared" si="75"/>
        <v>66802.287800476537</v>
      </c>
      <c r="AU459" s="301"/>
      <c r="AV459" s="11">
        <v>237</v>
      </c>
      <c r="AW459" s="538">
        <f t="shared" si="80"/>
        <v>215546.6202583705</v>
      </c>
      <c r="AX459" s="606">
        <f t="shared" si="81"/>
        <v>71485.86702184708</v>
      </c>
      <c r="AY459" s="299">
        <f t="shared" si="82"/>
        <v>727.5476240088849</v>
      </c>
      <c r="AZ459" s="538">
        <f t="shared" si="83"/>
        <v>72213.41464585597</v>
      </c>
      <c r="BA459" s="540">
        <f t="shared" si="84"/>
        <v>0</v>
      </c>
      <c r="BB459" s="541">
        <f t="shared" si="85"/>
        <v>72213.41464585597</v>
      </c>
    </row>
    <row r="460" spans="38:54" ht="15" x14ac:dyDescent="0.35">
      <c r="AL460" s="11">
        <v>238</v>
      </c>
      <c r="AM460" s="300">
        <f t="shared" si="76"/>
        <v>133098.31121772164</v>
      </c>
      <c r="AN460" s="300">
        <f t="shared" si="87"/>
        <v>66296.876387449534</v>
      </c>
      <c r="AO460" s="301">
        <f t="shared" si="73"/>
        <v>505.4114130269964</v>
      </c>
      <c r="AP460" s="300">
        <f t="shared" si="74"/>
        <v>66802.287800476537</v>
      </c>
      <c r="AQ460" s="10">
        <f t="shared" si="86"/>
        <v>0</v>
      </c>
      <c r="AR460" s="436">
        <f t="shared" si="78"/>
        <v>66802.287800476537</v>
      </c>
      <c r="AS460" s="436">
        <f t="shared" si="79"/>
        <v>66802.287800476537</v>
      </c>
      <c r="AT460" s="488">
        <f t="shared" si="75"/>
        <v>66802.287800476537</v>
      </c>
      <c r="AU460" s="301"/>
      <c r="AV460" s="11">
        <v>238</v>
      </c>
      <c r="AW460" s="538">
        <f t="shared" si="80"/>
        <v>143879.55642080834</v>
      </c>
      <c r="AX460" s="606">
        <f t="shared" si="81"/>
        <v>71667.063837562164</v>
      </c>
      <c r="AY460" s="299">
        <f t="shared" si="82"/>
        <v>546.35080829378626</v>
      </c>
      <c r="AZ460" s="538">
        <f t="shared" si="83"/>
        <v>72213.414645855955</v>
      </c>
      <c r="BA460" s="540">
        <f t="shared" si="84"/>
        <v>0</v>
      </c>
      <c r="BB460" s="541">
        <f t="shared" si="85"/>
        <v>72213.414645855955</v>
      </c>
    </row>
    <row r="461" spans="38:54" ht="15" x14ac:dyDescent="0.35">
      <c r="AL461" s="11">
        <v>239</v>
      </c>
      <c r="AM461" s="300">
        <f t="shared" si="76"/>
        <v>66633.390664428909</v>
      </c>
      <c r="AN461" s="300">
        <f t="shared" si="87"/>
        <v>66464.92055329273</v>
      </c>
      <c r="AO461" s="301">
        <f t="shared" si="73"/>
        <v>337.36724718380833</v>
      </c>
      <c r="AP461" s="300">
        <f t="shared" si="74"/>
        <v>66802.287800476537</v>
      </c>
      <c r="AQ461" s="10">
        <f t="shared" si="86"/>
        <v>0</v>
      </c>
      <c r="AR461" s="436">
        <f t="shared" si="78"/>
        <v>66802.287800476537</v>
      </c>
      <c r="AS461" s="436">
        <f t="shared" si="79"/>
        <v>66802.287800476537</v>
      </c>
      <c r="AT461" s="488">
        <f t="shared" si="75"/>
        <v>66802.287800476537</v>
      </c>
      <c r="AU461" s="301"/>
      <c r="AV461" s="11">
        <v>239</v>
      </c>
      <c r="AW461" s="538">
        <f t="shared" si="80"/>
        <v>72030.836483935665</v>
      </c>
      <c r="AX461" s="606">
        <f t="shared" si="81"/>
        <v>71848.719936872672</v>
      </c>
      <c r="AY461" s="299">
        <f t="shared" si="82"/>
        <v>364.69470898329888</v>
      </c>
      <c r="AZ461" s="538">
        <f t="shared" si="83"/>
        <v>72213.41464585597</v>
      </c>
      <c r="BA461" s="540">
        <f t="shared" si="84"/>
        <v>0</v>
      </c>
      <c r="BB461" s="541">
        <f t="shared" si="85"/>
        <v>72213.41464585597</v>
      </c>
    </row>
    <row r="462" spans="38:54" ht="15" x14ac:dyDescent="0.35">
      <c r="AL462" s="11">
        <v>240</v>
      </c>
      <c r="AM462" s="300">
        <f t="shared" si="76"/>
        <v>1.151056494563818E-8</v>
      </c>
      <c r="AN462" s="300">
        <f t="shared" si="87"/>
        <v>66633.390664417399</v>
      </c>
      <c r="AO462" s="301">
        <f t="shared" si="73"/>
        <v>168.89713605914272</v>
      </c>
      <c r="AP462" s="300">
        <f t="shared" si="74"/>
        <v>66802.287800476537</v>
      </c>
      <c r="AQ462" s="10">
        <f t="shared" si="86"/>
        <v>0</v>
      </c>
      <c r="AR462" s="436">
        <f t="shared" si="78"/>
        <v>66802.287800476537</v>
      </c>
      <c r="AS462" s="436">
        <f t="shared" si="79"/>
        <v>66802.287800476537</v>
      </c>
      <c r="AT462" s="488">
        <f t="shared" si="75"/>
        <v>66802.287800476537</v>
      </c>
      <c r="AU462" s="301"/>
      <c r="AV462" s="11">
        <v>240</v>
      </c>
      <c r="AW462" s="538">
        <f t="shared" si="80"/>
        <v>8.0035533756017685E-10</v>
      </c>
      <c r="AX462" s="606">
        <f t="shared" si="81"/>
        <v>72030.836483934865</v>
      </c>
      <c r="AY462" s="299">
        <f t="shared" si="82"/>
        <v>182.57816192108692</v>
      </c>
      <c r="AZ462" s="538">
        <f t="shared" si="83"/>
        <v>72213.414645855955</v>
      </c>
      <c r="BA462" s="540">
        <f t="shared" si="84"/>
        <v>0</v>
      </c>
      <c r="BB462" s="541">
        <f t="shared" si="85"/>
        <v>72213.414645855955</v>
      </c>
    </row>
    <row r="463" spans="38:54" ht="15" x14ac:dyDescent="0.35">
      <c r="AL463" s="11"/>
      <c r="AM463" s="11"/>
      <c r="AN463" s="354"/>
      <c r="AO463" s="354"/>
      <c r="AP463" s="354"/>
      <c r="AQ463" s="301"/>
      <c r="AR463" s="302"/>
      <c r="AS463" s="302"/>
      <c r="AT463" s="301"/>
      <c r="AU463" s="301"/>
      <c r="AV463" s="10"/>
      <c r="AW463" s="302"/>
    </row>
    <row r="464" spans="38:54" ht="15" x14ac:dyDescent="0.35">
      <c r="AL464" s="11"/>
      <c r="AM464" s="11"/>
      <c r="AN464" s="354"/>
      <c r="AO464" s="354"/>
      <c r="AP464" s="354"/>
      <c r="AQ464" s="301"/>
      <c r="AR464" s="302"/>
      <c r="AS464" s="302"/>
      <c r="AT464" s="301"/>
      <c r="AU464" s="301"/>
      <c r="AV464" s="10"/>
      <c r="AW464" s="302"/>
    </row>
    <row r="465" spans="38:49" ht="15" x14ac:dyDescent="0.35">
      <c r="AL465" s="11"/>
      <c r="AM465" s="11"/>
      <c r="AN465" s="354"/>
      <c r="AO465" s="354"/>
      <c r="AP465" s="354"/>
      <c r="AQ465" s="301"/>
      <c r="AR465" s="302"/>
      <c r="AS465" s="302"/>
      <c r="AT465" s="301"/>
      <c r="AU465" s="301"/>
      <c r="AV465" s="10"/>
      <c r="AW465" s="302"/>
    </row>
    <row r="466" spans="38:49" ht="15" x14ac:dyDescent="0.35">
      <c r="AL466" s="11"/>
      <c r="AM466" s="11"/>
      <c r="AN466" s="354"/>
      <c r="AO466" s="354"/>
      <c r="AP466" s="354"/>
      <c r="AQ466" s="301"/>
      <c r="AR466" s="302"/>
      <c r="AS466" s="302"/>
      <c r="AT466" s="301"/>
      <c r="AU466" s="301"/>
      <c r="AV466" s="10"/>
      <c r="AW466" s="302"/>
    </row>
    <row r="467" spans="38:49" ht="15" x14ac:dyDescent="0.35">
      <c r="AL467" s="11"/>
      <c r="AM467" s="11"/>
      <c r="AN467" s="354"/>
      <c r="AO467" s="354"/>
      <c r="AP467" s="354"/>
      <c r="AQ467" s="301"/>
      <c r="AR467" s="302"/>
      <c r="AS467" s="302"/>
      <c r="AT467" s="301"/>
      <c r="AU467" s="301"/>
      <c r="AV467" s="10"/>
      <c r="AW467" s="302"/>
    </row>
    <row r="468" spans="38:49" ht="15" x14ac:dyDescent="0.35">
      <c r="AL468" s="11"/>
      <c r="AM468" s="11"/>
      <c r="AN468" s="354"/>
      <c r="AO468" s="354"/>
      <c r="AP468" s="354"/>
      <c r="AQ468" s="301"/>
      <c r="AR468" s="302"/>
      <c r="AS468" s="302"/>
      <c r="AT468" s="301"/>
      <c r="AU468" s="301"/>
      <c r="AV468" s="10"/>
      <c r="AW468" s="302"/>
    </row>
    <row r="469" spans="38:49" ht="15" x14ac:dyDescent="0.35">
      <c r="AL469" s="11"/>
      <c r="AM469" s="11"/>
      <c r="AN469" s="354"/>
      <c r="AO469" s="354"/>
      <c r="AP469" s="354"/>
      <c r="AQ469" s="301"/>
      <c r="AR469" s="302"/>
      <c r="AS469" s="302"/>
      <c r="AT469" s="301"/>
      <c r="AU469" s="301"/>
      <c r="AV469" s="10"/>
      <c r="AW469" s="302"/>
    </row>
    <row r="470" spans="38:49" ht="15" x14ac:dyDescent="0.35">
      <c r="AL470" s="11"/>
      <c r="AM470" s="11"/>
      <c r="AN470" s="354"/>
      <c r="AO470" s="354"/>
      <c r="AP470" s="354"/>
      <c r="AQ470" s="301"/>
      <c r="AR470" s="302"/>
      <c r="AS470" s="302"/>
      <c r="AT470" s="301"/>
      <c r="AU470" s="301"/>
      <c r="AV470" s="10"/>
      <c r="AW470" s="302"/>
    </row>
    <row r="471" spans="38:49" ht="15" x14ac:dyDescent="0.35">
      <c r="AL471" s="11"/>
      <c r="AM471" s="11"/>
      <c r="AN471" s="354"/>
      <c r="AO471" s="354"/>
      <c r="AP471" s="354"/>
      <c r="AQ471" s="301"/>
      <c r="AR471" s="302"/>
      <c r="AS471" s="302"/>
      <c r="AT471" s="301"/>
      <c r="AU471" s="301"/>
      <c r="AV471" s="10"/>
      <c r="AW471" s="302"/>
    </row>
    <row r="472" spans="38:49" ht="15" x14ac:dyDescent="0.35">
      <c r="AL472" s="11"/>
      <c r="AM472" s="11"/>
      <c r="AN472" s="354"/>
      <c r="AO472" s="354"/>
      <c r="AP472" s="354"/>
      <c r="AQ472" s="301"/>
      <c r="AR472" s="302"/>
      <c r="AS472" s="302"/>
      <c r="AT472" s="301"/>
      <c r="AU472" s="301"/>
      <c r="AV472" s="10"/>
      <c r="AW472" s="302"/>
    </row>
    <row r="473" spans="38:49" ht="15" x14ac:dyDescent="0.35">
      <c r="AL473" s="11"/>
      <c r="AM473" s="11"/>
      <c r="AN473" s="354"/>
      <c r="AO473" s="354"/>
      <c r="AP473" s="354"/>
      <c r="AQ473" s="301"/>
      <c r="AR473" s="302"/>
      <c r="AS473" s="302"/>
      <c r="AT473" s="301"/>
      <c r="AU473" s="301"/>
      <c r="AV473" s="10"/>
      <c r="AW473" s="302"/>
    </row>
    <row r="474" spans="38:49" ht="15" x14ac:dyDescent="0.35">
      <c r="AL474" s="11"/>
      <c r="AM474" s="11"/>
      <c r="AN474" s="354"/>
      <c r="AO474" s="354"/>
      <c r="AP474" s="354"/>
      <c r="AQ474" s="301"/>
      <c r="AR474" s="302"/>
      <c r="AS474" s="302"/>
      <c r="AT474" s="301"/>
      <c r="AU474" s="301"/>
      <c r="AV474" s="10"/>
      <c r="AW474" s="302"/>
    </row>
    <row r="475" spans="38:49" ht="15" x14ac:dyDescent="0.35">
      <c r="AL475" s="11"/>
      <c r="AM475" s="11"/>
      <c r="AN475" s="354"/>
      <c r="AO475" s="354"/>
      <c r="AP475" s="354"/>
      <c r="AQ475" s="301"/>
      <c r="AR475" s="302"/>
      <c r="AS475" s="302"/>
      <c r="AT475" s="301"/>
      <c r="AU475" s="301"/>
      <c r="AV475" s="10"/>
      <c r="AW475" s="302"/>
    </row>
    <row r="476" spans="38:49" ht="15" x14ac:dyDescent="0.35">
      <c r="AL476" s="11"/>
      <c r="AM476" s="11"/>
      <c r="AN476" s="354"/>
      <c r="AO476" s="354"/>
      <c r="AP476" s="354"/>
      <c r="AQ476" s="301"/>
      <c r="AR476" s="302"/>
      <c r="AS476" s="302"/>
      <c r="AT476" s="301"/>
      <c r="AU476" s="301"/>
      <c r="AV476" s="10"/>
      <c r="AW476" s="302"/>
    </row>
    <row r="477" spans="38:49" ht="15" x14ac:dyDescent="0.35">
      <c r="AL477" s="11"/>
      <c r="AM477" s="11"/>
      <c r="AN477" s="354"/>
      <c r="AO477" s="354"/>
      <c r="AP477" s="354"/>
      <c r="AQ477" s="301"/>
      <c r="AR477" s="302"/>
      <c r="AS477" s="302"/>
      <c r="AT477" s="301"/>
      <c r="AU477" s="301"/>
      <c r="AV477" s="10"/>
      <c r="AW477" s="302"/>
    </row>
    <row r="478" spans="38:49" ht="15" x14ac:dyDescent="0.35">
      <c r="AL478" s="11"/>
      <c r="AM478" s="11"/>
      <c r="AN478" s="354"/>
      <c r="AO478" s="354"/>
      <c r="AP478" s="354"/>
      <c r="AQ478" s="301"/>
      <c r="AR478" s="302"/>
      <c r="AS478" s="302"/>
      <c r="AT478" s="301"/>
      <c r="AU478" s="301"/>
      <c r="AV478" s="10"/>
      <c r="AW478" s="302"/>
    </row>
    <row r="479" spans="38:49" ht="15" x14ac:dyDescent="0.35">
      <c r="AL479" s="11"/>
      <c r="AM479" s="11"/>
      <c r="AN479" s="354"/>
      <c r="AO479" s="354"/>
      <c r="AP479" s="354"/>
      <c r="AQ479" s="301"/>
      <c r="AR479" s="302"/>
      <c r="AS479" s="302"/>
      <c r="AT479" s="301"/>
      <c r="AU479" s="301"/>
      <c r="AV479" s="10"/>
      <c r="AW479" s="302"/>
    </row>
    <row r="480" spans="38:49" ht="15" x14ac:dyDescent="0.35">
      <c r="AL480" s="11"/>
      <c r="AM480" s="11"/>
      <c r="AN480" s="354"/>
      <c r="AO480" s="354"/>
      <c r="AP480" s="354"/>
      <c r="AQ480" s="301"/>
      <c r="AR480" s="302"/>
      <c r="AS480" s="302"/>
      <c r="AT480" s="301"/>
      <c r="AU480" s="301"/>
      <c r="AV480" s="10"/>
      <c r="AW480" s="302"/>
    </row>
    <row r="481" spans="38:49" ht="15" x14ac:dyDescent="0.35">
      <c r="AL481" s="11"/>
      <c r="AM481" s="11"/>
      <c r="AN481" s="354"/>
      <c r="AO481" s="354"/>
      <c r="AP481" s="354"/>
      <c r="AQ481" s="301"/>
      <c r="AR481" s="302"/>
      <c r="AS481" s="302"/>
      <c r="AT481" s="301"/>
      <c r="AU481" s="301"/>
      <c r="AV481" s="10"/>
      <c r="AW481" s="302"/>
    </row>
    <row r="482" spans="38:49" ht="15" x14ac:dyDescent="0.35">
      <c r="AL482" s="11"/>
      <c r="AM482" s="11"/>
      <c r="AN482" s="354"/>
      <c r="AO482" s="354"/>
      <c r="AP482" s="354"/>
      <c r="AQ482" s="301"/>
      <c r="AR482" s="302"/>
      <c r="AS482" s="302"/>
      <c r="AT482" s="301"/>
      <c r="AU482" s="301"/>
      <c r="AV482" s="10"/>
      <c r="AW482" s="302"/>
    </row>
    <row r="483" spans="38:49" ht="15" x14ac:dyDescent="0.35">
      <c r="AL483" s="11"/>
      <c r="AM483" s="11"/>
      <c r="AN483" s="354"/>
      <c r="AO483" s="354"/>
      <c r="AP483" s="354"/>
      <c r="AQ483" s="301"/>
      <c r="AR483" s="302"/>
      <c r="AS483" s="302"/>
      <c r="AT483" s="301"/>
      <c r="AU483" s="301"/>
      <c r="AV483" s="10"/>
      <c r="AW483" s="302"/>
    </row>
    <row r="484" spans="38:49" ht="15" x14ac:dyDescent="0.35">
      <c r="AL484" s="11"/>
      <c r="AM484" s="11"/>
      <c r="AN484" s="354"/>
      <c r="AO484" s="354"/>
      <c r="AP484" s="354"/>
      <c r="AQ484" s="301"/>
      <c r="AR484" s="302"/>
      <c r="AS484" s="302"/>
      <c r="AT484" s="301"/>
      <c r="AU484" s="301"/>
      <c r="AV484" s="10"/>
      <c r="AW484" s="302"/>
    </row>
    <row r="485" spans="38:49" ht="15" x14ac:dyDescent="0.35">
      <c r="AL485" s="11"/>
      <c r="AM485" s="11"/>
      <c r="AN485" s="354"/>
      <c r="AO485" s="354"/>
      <c r="AP485" s="354"/>
      <c r="AQ485" s="301"/>
      <c r="AR485" s="302"/>
      <c r="AS485" s="302"/>
      <c r="AT485" s="301"/>
      <c r="AU485" s="301"/>
      <c r="AV485" s="10"/>
      <c r="AW485" s="302"/>
    </row>
    <row r="486" spans="38:49" ht="15" x14ac:dyDescent="0.35">
      <c r="AL486" s="11"/>
      <c r="AM486" s="11"/>
      <c r="AN486" s="354"/>
      <c r="AO486" s="354"/>
      <c r="AP486" s="354"/>
      <c r="AQ486" s="301"/>
      <c r="AR486" s="302"/>
      <c r="AS486" s="302"/>
      <c r="AT486" s="301"/>
      <c r="AU486" s="301"/>
      <c r="AV486" s="10"/>
      <c r="AW486" s="302"/>
    </row>
    <row r="487" spans="38:49" ht="15" x14ac:dyDescent="0.35">
      <c r="AL487" s="11"/>
      <c r="AM487" s="11"/>
      <c r="AN487" s="354"/>
      <c r="AO487" s="354"/>
      <c r="AP487" s="354"/>
      <c r="AQ487" s="301"/>
      <c r="AR487" s="302"/>
      <c r="AS487" s="302"/>
      <c r="AT487" s="301"/>
      <c r="AU487" s="301"/>
      <c r="AV487" s="10"/>
      <c r="AW487" s="302"/>
    </row>
    <row r="488" spans="38:49" ht="15" x14ac:dyDescent="0.35">
      <c r="AL488" s="11"/>
      <c r="AM488" s="11"/>
      <c r="AN488" s="354"/>
      <c r="AO488" s="354"/>
      <c r="AP488" s="354"/>
      <c r="AQ488" s="301"/>
      <c r="AR488" s="302"/>
      <c r="AS488" s="302"/>
      <c r="AT488" s="301"/>
      <c r="AU488" s="301"/>
      <c r="AV488" s="10"/>
      <c r="AW488" s="302"/>
    </row>
    <row r="489" spans="38:49" ht="15" x14ac:dyDescent="0.35">
      <c r="AL489" s="11"/>
      <c r="AM489" s="11"/>
      <c r="AN489" s="354"/>
      <c r="AO489" s="354"/>
      <c r="AP489" s="354"/>
      <c r="AQ489" s="301"/>
      <c r="AR489" s="302"/>
      <c r="AS489" s="302"/>
      <c r="AT489" s="301"/>
      <c r="AU489" s="301"/>
      <c r="AV489" s="10"/>
      <c r="AW489" s="302"/>
    </row>
    <row r="490" spans="38:49" ht="15" x14ac:dyDescent="0.35">
      <c r="AL490" s="11"/>
      <c r="AM490" s="11"/>
      <c r="AN490" s="354"/>
      <c r="AO490" s="354"/>
      <c r="AP490" s="354"/>
      <c r="AQ490" s="301"/>
      <c r="AR490" s="302"/>
      <c r="AS490" s="302"/>
      <c r="AT490" s="301"/>
      <c r="AU490" s="301"/>
      <c r="AV490" s="10"/>
      <c r="AW490" s="302"/>
    </row>
    <row r="491" spans="38:49" ht="15" x14ac:dyDescent="0.35">
      <c r="AL491" s="11"/>
      <c r="AM491" s="11"/>
      <c r="AN491" s="354"/>
      <c r="AO491" s="354"/>
      <c r="AP491" s="354"/>
      <c r="AQ491" s="301"/>
      <c r="AR491" s="302"/>
      <c r="AS491" s="302"/>
      <c r="AT491" s="301"/>
      <c r="AU491" s="301"/>
      <c r="AV491" s="10"/>
      <c r="AW491" s="302"/>
    </row>
    <row r="492" spans="38:49" ht="15" x14ac:dyDescent="0.35">
      <c r="AL492" s="11"/>
      <c r="AM492" s="11"/>
      <c r="AN492" s="354"/>
      <c r="AO492" s="354"/>
      <c r="AP492" s="354"/>
      <c r="AQ492" s="301"/>
      <c r="AR492" s="302"/>
      <c r="AS492" s="302"/>
      <c r="AT492" s="301"/>
      <c r="AU492" s="301"/>
      <c r="AV492" s="10"/>
      <c r="AW492" s="302"/>
    </row>
    <row r="493" spans="38:49" ht="15" x14ac:dyDescent="0.35">
      <c r="AL493" s="11"/>
      <c r="AM493" s="11"/>
      <c r="AN493" s="354"/>
      <c r="AO493" s="354"/>
      <c r="AP493" s="354"/>
      <c r="AQ493" s="301"/>
      <c r="AR493" s="302"/>
      <c r="AS493" s="302"/>
      <c r="AT493" s="301"/>
      <c r="AU493" s="301"/>
      <c r="AV493" s="10"/>
      <c r="AW493" s="302"/>
    </row>
    <row r="494" spans="38:49" ht="15" x14ac:dyDescent="0.35">
      <c r="AL494" s="11"/>
      <c r="AM494" s="11"/>
      <c r="AN494" s="354"/>
      <c r="AO494" s="354"/>
      <c r="AP494" s="354"/>
      <c r="AQ494" s="301"/>
      <c r="AR494" s="302"/>
      <c r="AS494" s="302"/>
      <c r="AT494" s="301"/>
      <c r="AU494" s="301"/>
      <c r="AV494" s="10"/>
      <c r="AW494" s="302"/>
    </row>
    <row r="495" spans="38:49" ht="15" x14ac:dyDescent="0.35">
      <c r="AL495" s="11"/>
      <c r="AM495" s="11"/>
      <c r="AN495" s="354"/>
      <c r="AO495" s="354"/>
      <c r="AP495" s="354"/>
      <c r="AQ495" s="301"/>
      <c r="AR495" s="302"/>
      <c r="AS495" s="302"/>
      <c r="AT495" s="301"/>
      <c r="AU495" s="301"/>
      <c r="AV495" s="10"/>
      <c r="AW495" s="302"/>
    </row>
    <row r="496" spans="38:49" ht="15" x14ac:dyDescent="0.35">
      <c r="AL496" s="11"/>
      <c r="AM496" s="11"/>
      <c r="AN496" s="354"/>
      <c r="AO496" s="354"/>
      <c r="AP496" s="354"/>
      <c r="AQ496" s="301"/>
      <c r="AR496" s="302"/>
      <c r="AS496" s="302"/>
      <c r="AT496" s="301"/>
      <c r="AU496" s="301"/>
      <c r="AV496" s="10"/>
      <c r="AW496" s="302"/>
    </row>
    <row r="497" spans="38:49" ht="15" x14ac:dyDescent="0.35">
      <c r="AL497" s="11"/>
      <c r="AM497" s="11"/>
      <c r="AN497" s="354"/>
      <c r="AO497" s="354"/>
      <c r="AP497" s="354"/>
      <c r="AQ497" s="301"/>
      <c r="AR497" s="302"/>
      <c r="AS497" s="302"/>
      <c r="AT497" s="301"/>
      <c r="AU497" s="301"/>
      <c r="AV497" s="10"/>
      <c r="AW497" s="302"/>
    </row>
    <row r="498" spans="38:49" ht="15" x14ac:dyDescent="0.35">
      <c r="AL498" s="11"/>
      <c r="AM498" s="11"/>
      <c r="AN498" s="354"/>
      <c r="AO498" s="354"/>
      <c r="AP498" s="354"/>
      <c r="AQ498" s="301"/>
      <c r="AR498" s="302"/>
      <c r="AS498" s="302"/>
      <c r="AT498" s="301"/>
      <c r="AU498" s="301"/>
      <c r="AV498" s="10"/>
      <c r="AW498" s="302"/>
    </row>
    <row r="499" spans="38:49" ht="15" x14ac:dyDescent="0.35">
      <c r="AL499" s="11"/>
      <c r="AM499" s="11"/>
      <c r="AN499" s="354"/>
      <c r="AO499" s="354"/>
      <c r="AP499" s="354"/>
      <c r="AQ499" s="301"/>
      <c r="AR499" s="302"/>
      <c r="AS499" s="302"/>
      <c r="AT499" s="301"/>
      <c r="AU499" s="301"/>
      <c r="AV499" s="10"/>
      <c r="AW499" s="302"/>
    </row>
    <row r="500" spans="38:49" ht="15" x14ac:dyDescent="0.35">
      <c r="AL500" s="11"/>
      <c r="AM500" s="11"/>
      <c r="AN500" s="354"/>
      <c r="AO500" s="354"/>
      <c r="AP500" s="354"/>
      <c r="AQ500" s="301"/>
      <c r="AR500" s="302"/>
      <c r="AS500" s="302"/>
      <c r="AT500" s="301"/>
      <c r="AU500" s="301"/>
      <c r="AV500" s="10"/>
      <c r="AW500" s="302"/>
    </row>
    <row r="501" spans="38:49" ht="15" x14ac:dyDescent="0.35">
      <c r="AL501" s="11"/>
      <c r="AM501" s="11"/>
      <c r="AN501" s="354"/>
      <c r="AO501" s="354"/>
      <c r="AP501" s="354"/>
      <c r="AQ501" s="301"/>
      <c r="AR501" s="302"/>
      <c r="AS501" s="302"/>
      <c r="AT501" s="301"/>
      <c r="AU501" s="301"/>
      <c r="AV501" s="10"/>
      <c r="AW501" s="302"/>
    </row>
    <row r="502" spans="38:49" ht="15" x14ac:dyDescent="0.35">
      <c r="AL502" s="11"/>
      <c r="AM502" s="11"/>
      <c r="AN502" s="354"/>
      <c r="AO502" s="354"/>
      <c r="AP502" s="354"/>
      <c r="AQ502" s="301"/>
      <c r="AR502" s="302"/>
      <c r="AS502" s="302"/>
      <c r="AT502" s="301"/>
      <c r="AU502" s="301"/>
      <c r="AV502" s="10"/>
      <c r="AW502" s="302"/>
    </row>
    <row r="503" spans="38:49" ht="15" x14ac:dyDescent="0.35">
      <c r="AL503" s="11"/>
      <c r="AM503" s="11"/>
      <c r="AN503" s="354"/>
      <c r="AO503" s="354"/>
      <c r="AP503" s="354"/>
      <c r="AQ503" s="301"/>
      <c r="AR503" s="302"/>
      <c r="AS503" s="302"/>
      <c r="AT503" s="301"/>
      <c r="AU503" s="301"/>
      <c r="AV503" s="10"/>
      <c r="AW503" s="302"/>
    </row>
    <row r="504" spans="38:49" ht="15" x14ac:dyDescent="0.35">
      <c r="AL504" s="11"/>
      <c r="AM504" s="11"/>
      <c r="AN504" s="354"/>
      <c r="AO504" s="354"/>
      <c r="AP504" s="354"/>
      <c r="AQ504" s="301"/>
      <c r="AR504" s="302"/>
      <c r="AS504" s="302"/>
      <c r="AT504" s="301"/>
      <c r="AU504" s="301"/>
      <c r="AV504" s="10"/>
      <c r="AW504" s="302"/>
    </row>
    <row r="505" spans="38:49" ht="15" x14ac:dyDescent="0.35">
      <c r="AL505" s="11"/>
      <c r="AM505" s="11"/>
      <c r="AN505" s="354"/>
      <c r="AO505" s="354"/>
      <c r="AP505" s="354"/>
      <c r="AQ505" s="301"/>
      <c r="AR505" s="302"/>
      <c r="AS505" s="302"/>
      <c r="AT505" s="301"/>
      <c r="AU505" s="301"/>
      <c r="AV505" s="10"/>
      <c r="AW505" s="302"/>
    </row>
    <row r="506" spans="38:49" ht="15" x14ac:dyDescent="0.35">
      <c r="AL506" s="11"/>
      <c r="AM506" s="11"/>
      <c r="AN506" s="354"/>
      <c r="AO506" s="354"/>
      <c r="AP506" s="354"/>
      <c r="AQ506" s="301"/>
      <c r="AR506" s="302"/>
      <c r="AS506" s="302"/>
      <c r="AT506" s="301"/>
      <c r="AU506" s="301"/>
      <c r="AV506" s="10"/>
      <c r="AW506" s="302"/>
    </row>
    <row r="507" spans="38:49" ht="15" x14ac:dyDescent="0.35">
      <c r="AL507" s="11"/>
      <c r="AM507" s="11"/>
      <c r="AN507" s="354"/>
      <c r="AO507" s="354"/>
      <c r="AP507" s="354"/>
      <c r="AQ507" s="301"/>
      <c r="AR507" s="302"/>
      <c r="AS507" s="302"/>
      <c r="AT507" s="301"/>
      <c r="AU507" s="301"/>
      <c r="AV507" s="10"/>
      <c r="AW507" s="302"/>
    </row>
    <row r="508" spans="38:49" ht="15" x14ac:dyDescent="0.35">
      <c r="AL508" s="11"/>
      <c r="AM508" s="11"/>
      <c r="AN508" s="354"/>
      <c r="AO508" s="354"/>
      <c r="AP508" s="354"/>
      <c r="AQ508" s="301"/>
      <c r="AR508" s="302"/>
      <c r="AS508" s="302"/>
      <c r="AT508" s="301"/>
      <c r="AU508" s="301"/>
      <c r="AV508" s="10"/>
      <c r="AW508" s="302"/>
    </row>
    <row r="509" spans="38:49" ht="15" x14ac:dyDescent="0.35">
      <c r="AL509" s="11"/>
      <c r="AM509" s="11"/>
      <c r="AN509" s="354"/>
      <c r="AO509" s="354"/>
      <c r="AP509" s="354"/>
      <c r="AQ509" s="301"/>
      <c r="AR509" s="302"/>
      <c r="AS509" s="302"/>
      <c r="AT509" s="301"/>
      <c r="AU509" s="301"/>
      <c r="AV509" s="10"/>
      <c r="AW509" s="302"/>
    </row>
    <row r="510" spans="38:49" ht="15" x14ac:dyDescent="0.35">
      <c r="AL510" s="11"/>
      <c r="AM510" s="11"/>
      <c r="AN510" s="354"/>
      <c r="AO510" s="354"/>
      <c r="AP510" s="354"/>
      <c r="AQ510" s="301"/>
      <c r="AR510" s="302"/>
      <c r="AS510" s="302"/>
      <c r="AT510" s="301"/>
      <c r="AU510" s="301"/>
      <c r="AV510" s="10"/>
      <c r="AW510" s="302"/>
    </row>
    <row r="511" spans="38:49" ht="15" x14ac:dyDescent="0.35">
      <c r="AL511" s="11"/>
      <c r="AM511" s="11"/>
      <c r="AN511" s="354"/>
      <c r="AO511" s="354"/>
      <c r="AP511" s="354"/>
      <c r="AQ511" s="301"/>
      <c r="AR511" s="302"/>
      <c r="AS511" s="302"/>
      <c r="AT511" s="301"/>
      <c r="AU511" s="301"/>
      <c r="AV511" s="10"/>
      <c r="AW511" s="302"/>
    </row>
    <row r="512" spans="38:49" ht="15" x14ac:dyDescent="0.35">
      <c r="AL512" s="11"/>
      <c r="AM512" s="11"/>
      <c r="AN512" s="354"/>
      <c r="AO512" s="354"/>
      <c r="AP512" s="354"/>
      <c r="AQ512" s="301"/>
      <c r="AR512" s="302"/>
      <c r="AS512" s="302"/>
      <c r="AT512" s="301"/>
      <c r="AU512" s="301"/>
      <c r="AV512" s="10"/>
      <c r="AW512" s="302"/>
    </row>
    <row r="513" spans="38:49" ht="15" x14ac:dyDescent="0.35">
      <c r="AL513" s="11"/>
      <c r="AM513" s="11"/>
      <c r="AN513" s="354"/>
      <c r="AO513" s="354"/>
      <c r="AP513" s="354"/>
      <c r="AQ513" s="301"/>
      <c r="AR513" s="302"/>
      <c r="AS513" s="302"/>
      <c r="AT513" s="301"/>
      <c r="AU513" s="301"/>
      <c r="AV513" s="10"/>
      <c r="AW513" s="302"/>
    </row>
    <row r="514" spans="38:49" ht="15" x14ac:dyDescent="0.35">
      <c r="AL514" s="11"/>
      <c r="AM514" s="11"/>
      <c r="AN514" s="354"/>
      <c r="AO514" s="354"/>
      <c r="AP514" s="354"/>
      <c r="AQ514" s="301"/>
      <c r="AR514" s="302"/>
      <c r="AS514" s="302"/>
      <c r="AT514" s="301"/>
      <c r="AU514" s="301"/>
      <c r="AV514" s="10"/>
      <c r="AW514" s="302"/>
    </row>
    <row r="515" spans="38:49" ht="15" x14ac:dyDescent="0.35">
      <c r="AL515" s="11"/>
      <c r="AM515" s="11"/>
      <c r="AN515" s="354"/>
      <c r="AO515" s="354"/>
      <c r="AP515" s="354"/>
      <c r="AQ515" s="301"/>
      <c r="AR515" s="302"/>
      <c r="AS515" s="302"/>
      <c r="AT515" s="301"/>
      <c r="AU515" s="301"/>
      <c r="AV515" s="10"/>
      <c r="AW515" s="302"/>
    </row>
    <row r="516" spans="38:49" ht="15" x14ac:dyDescent="0.35">
      <c r="AL516" s="11"/>
      <c r="AM516" s="11"/>
      <c r="AN516" s="354"/>
      <c r="AO516" s="354"/>
      <c r="AP516" s="354"/>
      <c r="AQ516" s="301"/>
      <c r="AR516" s="302"/>
      <c r="AS516" s="302"/>
      <c r="AT516" s="301"/>
      <c r="AU516" s="301"/>
      <c r="AV516" s="10"/>
      <c r="AW516" s="302"/>
    </row>
    <row r="517" spans="38:49" ht="15" x14ac:dyDescent="0.35">
      <c r="AL517" s="11"/>
      <c r="AM517" s="11"/>
      <c r="AN517" s="354"/>
      <c r="AO517" s="354"/>
      <c r="AP517" s="354"/>
      <c r="AQ517" s="301"/>
      <c r="AR517" s="302"/>
      <c r="AS517" s="302"/>
      <c r="AT517" s="301"/>
      <c r="AU517" s="301"/>
      <c r="AV517" s="10"/>
      <c r="AW517" s="302"/>
    </row>
    <row r="518" spans="38:49" ht="15" x14ac:dyDescent="0.35">
      <c r="AL518" s="11"/>
      <c r="AM518" s="11"/>
      <c r="AN518" s="354"/>
      <c r="AO518" s="354"/>
      <c r="AP518" s="354"/>
      <c r="AQ518" s="301"/>
      <c r="AR518" s="302"/>
      <c r="AS518" s="302"/>
      <c r="AT518" s="301"/>
      <c r="AU518" s="301"/>
      <c r="AV518" s="10"/>
      <c r="AW518" s="302"/>
    </row>
    <row r="519" spans="38:49" ht="15" x14ac:dyDescent="0.35">
      <c r="AL519" s="11"/>
      <c r="AM519" s="11"/>
      <c r="AN519" s="354"/>
      <c r="AO519" s="354"/>
      <c r="AP519" s="354"/>
      <c r="AQ519" s="301"/>
      <c r="AR519" s="302"/>
      <c r="AS519" s="302"/>
      <c r="AT519" s="301"/>
      <c r="AU519" s="301"/>
      <c r="AV519" s="10"/>
      <c r="AW519" s="302"/>
    </row>
    <row r="520" spans="38:49" ht="15" x14ac:dyDescent="0.35">
      <c r="AL520" s="11"/>
      <c r="AM520" s="11"/>
      <c r="AN520" s="354"/>
      <c r="AO520" s="354"/>
      <c r="AP520" s="354"/>
      <c r="AQ520" s="301"/>
      <c r="AR520" s="302"/>
      <c r="AS520" s="302"/>
      <c r="AT520" s="301"/>
      <c r="AU520" s="301"/>
      <c r="AV520" s="10"/>
      <c r="AW520" s="302"/>
    </row>
    <row r="521" spans="38:49" ht="15" x14ac:dyDescent="0.35">
      <c r="AL521" s="11"/>
      <c r="AM521" s="11"/>
      <c r="AN521" s="354"/>
      <c r="AO521" s="354"/>
      <c r="AP521" s="354"/>
      <c r="AQ521" s="301"/>
      <c r="AR521" s="302"/>
      <c r="AS521" s="302"/>
      <c r="AT521" s="301"/>
      <c r="AU521" s="301"/>
      <c r="AV521" s="10"/>
      <c r="AW521" s="302"/>
    </row>
    <row r="522" spans="38:49" ht="15" x14ac:dyDescent="0.35">
      <c r="AL522" s="11"/>
      <c r="AM522" s="11"/>
      <c r="AN522" s="354"/>
      <c r="AO522" s="354"/>
      <c r="AP522" s="354"/>
      <c r="AQ522" s="301"/>
      <c r="AR522" s="302"/>
      <c r="AS522" s="302"/>
      <c r="AT522" s="301"/>
      <c r="AU522" s="301"/>
      <c r="AV522" s="10"/>
      <c r="AW522" s="302"/>
    </row>
    <row r="523" spans="38:49" ht="15" x14ac:dyDescent="0.35">
      <c r="AL523" s="11"/>
      <c r="AM523" s="11"/>
      <c r="AN523" s="354"/>
      <c r="AO523" s="354"/>
      <c r="AP523" s="354"/>
      <c r="AQ523" s="301"/>
      <c r="AR523" s="302"/>
      <c r="AS523" s="302"/>
      <c r="AT523" s="301"/>
      <c r="AU523" s="301"/>
      <c r="AV523" s="10"/>
      <c r="AW523" s="302"/>
    </row>
    <row r="524" spans="38:49" ht="15" x14ac:dyDescent="0.35">
      <c r="AL524" s="11"/>
      <c r="AM524" s="11"/>
      <c r="AN524" s="354"/>
      <c r="AO524" s="354"/>
      <c r="AP524" s="354"/>
      <c r="AQ524" s="301"/>
      <c r="AR524" s="302"/>
      <c r="AS524" s="302"/>
      <c r="AT524" s="301"/>
      <c r="AU524" s="301"/>
      <c r="AV524" s="10"/>
      <c r="AW524" s="302"/>
    </row>
    <row r="525" spans="38:49" ht="15" x14ac:dyDescent="0.35">
      <c r="AL525" s="11"/>
      <c r="AM525" s="11"/>
      <c r="AN525" s="354"/>
      <c r="AO525" s="354"/>
      <c r="AP525" s="354"/>
      <c r="AQ525" s="301"/>
      <c r="AR525" s="302"/>
      <c r="AS525" s="302"/>
      <c r="AT525" s="301"/>
      <c r="AU525" s="301"/>
      <c r="AV525" s="10"/>
      <c r="AW525" s="302"/>
    </row>
    <row r="526" spans="38:49" ht="15" x14ac:dyDescent="0.35">
      <c r="AL526" s="11"/>
      <c r="AM526" s="11"/>
      <c r="AN526" s="354"/>
      <c r="AO526" s="354"/>
      <c r="AP526" s="354"/>
      <c r="AQ526" s="301"/>
      <c r="AR526" s="302"/>
      <c r="AS526" s="302"/>
      <c r="AT526" s="301"/>
      <c r="AU526" s="301"/>
      <c r="AV526" s="10"/>
      <c r="AW526" s="302"/>
    </row>
    <row r="527" spans="38:49" ht="15" x14ac:dyDescent="0.35">
      <c r="AL527" s="11"/>
      <c r="AM527" s="11"/>
      <c r="AN527" s="354"/>
      <c r="AO527" s="354"/>
      <c r="AP527" s="354"/>
      <c r="AQ527" s="301"/>
      <c r="AR527" s="302"/>
      <c r="AS527" s="302"/>
      <c r="AT527" s="301"/>
      <c r="AU527" s="301"/>
      <c r="AV527" s="10"/>
      <c r="AW527" s="302"/>
    </row>
    <row r="528" spans="38:49" ht="15" x14ac:dyDescent="0.35">
      <c r="AL528" s="11"/>
      <c r="AM528" s="11"/>
      <c r="AN528" s="354"/>
      <c r="AO528" s="354"/>
      <c r="AP528" s="354"/>
      <c r="AQ528" s="301"/>
      <c r="AR528" s="302"/>
      <c r="AS528" s="302"/>
      <c r="AT528" s="301"/>
      <c r="AU528" s="301"/>
      <c r="AV528" s="10"/>
      <c r="AW528" s="302"/>
    </row>
    <row r="529" spans="38:49" ht="15" x14ac:dyDescent="0.35">
      <c r="AL529" s="11"/>
      <c r="AM529" s="11"/>
      <c r="AN529" s="354"/>
      <c r="AO529" s="354"/>
      <c r="AP529" s="354"/>
      <c r="AQ529" s="301"/>
      <c r="AR529" s="302"/>
      <c r="AS529" s="302"/>
      <c r="AT529" s="301"/>
      <c r="AU529" s="301"/>
      <c r="AV529" s="10"/>
      <c r="AW529" s="302"/>
    </row>
    <row r="530" spans="38:49" ht="15" x14ac:dyDescent="0.35">
      <c r="AL530" s="11"/>
      <c r="AM530" s="11"/>
      <c r="AN530" s="354"/>
      <c r="AO530" s="354"/>
      <c r="AP530" s="354"/>
      <c r="AQ530" s="301"/>
      <c r="AR530" s="302"/>
      <c r="AS530" s="302"/>
      <c r="AT530" s="301"/>
      <c r="AU530" s="301"/>
      <c r="AV530" s="10"/>
      <c r="AW530" s="302"/>
    </row>
    <row r="531" spans="38:49" ht="15" x14ac:dyDescent="0.35">
      <c r="AL531" s="11"/>
      <c r="AM531" s="11"/>
      <c r="AN531" s="354"/>
      <c r="AO531" s="354"/>
      <c r="AP531" s="354"/>
      <c r="AQ531" s="301"/>
      <c r="AR531" s="302"/>
      <c r="AS531" s="302"/>
      <c r="AT531" s="301"/>
      <c r="AU531" s="301"/>
      <c r="AV531" s="10"/>
      <c r="AW531" s="302"/>
    </row>
    <row r="532" spans="38:49" ht="15" x14ac:dyDescent="0.35">
      <c r="AL532" s="11"/>
      <c r="AM532" s="11"/>
      <c r="AN532" s="354"/>
      <c r="AO532" s="354"/>
      <c r="AP532" s="354"/>
      <c r="AQ532" s="301"/>
      <c r="AR532" s="302"/>
      <c r="AS532" s="302"/>
      <c r="AT532" s="301"/>
      <c r="AU532" s="301"/>
      <c r="AV532" s="10"/>
      <c r="AW532" s="302"/>
    </row>
    <row r="533" spans="38:49" ht="15" x14ac:dyDescent="0.35">
      <c r="AL533" s="11"/>
      <c r="AM533" s="11"/>
      <c r="AN533" s="354"/>
      <c r="AO533" s="354"/>
      <c r="AP533" s="354"/>
      <c r="AQ533" s="301"/>
      <c r="AR533" s="302"/>
      <c r="AS533" s="302"/>
      <c r="AT533" s="301"/>
      <c r="AU533" s="301"/>
      <c r="AV533" s="10"/>
      <c r="AW533" s="302"/>
    </row>
    <row r="534" spans="38:49" ht="15" x14ac:dyDescent="0.35">
      <c r="AL534" s="11"/>
      <c r="AM534" s="11"/>
      <c r="AN534" s="354"/>
      <c r="AO534" s="354"/>
      <c r="AP534" s="354"/>
      <c r="AQ534" s="301"/>
      <c r="AR534" s="302"/>
      <c r="AS534" s="302"/>
      <c r="AT534" s="301"/>
      <c r="AU534" s="301"/>
      <c r="AV534" s="10"/>
      <c r="AW534" s="302"/>
    </row>
    <row r="535" spans="38:49" ht="15" x14ac:dyDescent="0.35">
      <c r="AL535" s="11"/>
      <c r="AM535" s="11"/>
      <c r="AN535" s="354"/>
      <c r="AO535" s="354"/>
      <c r="AP535" s="354"/>
      <c r="AQ535" s="301"/>
      <c r="AR535" s="302"/>
      <c r="AS535" s="302"/>
      <c r="AT535" s="301"/>
      <c r="AU535" s="301"/>
      <c r="AV535" s="10"/>
      <c r="AW535" s="302"/>
    </row>
    <row r="536" spans="38:49" ht="15" x14ac:dyDescent="0.35">
      <c r="AL536" s="11"/>
      <c r="AM536" s="11"/>
      <c r="AN536" s="354"/>
      <c r="AO536" s="354"/>
      <c r="AP536" s="354"/>
      <c r="AQ536" s="301"/>
      <c r="AR536" s="302"/>
      <c r="AS536" s="302"/>
      <c r="AT536" s="301"/>
      <c r="AU536" s="301"/>
      <c r="AV536" s="10"/>
      <c r="AW536" s="302"/>
    </row>
    <row r="537" spans="38:49" ht="15" x14ac:dyDescent="0.35">
      <c r="AL537" s="11"/>
      <c r="AM537" s="11"/>
      <c r="AN537" s="354"/>
      <c r="AO537" s="354"/>
      <c r="AP537" s="354"/>
      <c r="AQ537" s="301"/>
      <c r="AR537" s="302"/>
      <c r="AS537" s="302"/>
      <c r="AT537" s="301"/>
      <c r="AU537" s="301"/>
      <c r="AV537" s="10"/>
      <c r="AW537" s="302"/>
    </row>
    <row r="538" spans="38:49" ht="15" x14ac:dyDescent="0.35">
      <c r="AL538" s="11"/>
      <c r="AM538" s="11"/>
      <c r="AN538" s="354"/>
      <c r="AO538" s="354"/>
      <c r="AP538" s="354"/>
      <c r="AQ538" s="301"/>
      <c r="AR538" s="302"/>
      <c r="AS538" s="302"/>
      <c r="AT538" s="301"/>
      <c r="AU538" s="301"/>
      <c r="AV538" s="10"/>
      <c r="AW538" s="302"/>
    </row>
    <row r="539" spans="38:49" ht="15" x14ac:dyDescent="0.35">
      <c r="AL539" s="11"/>
      <c r="AM539" s="11"/>
      <c r="AN539" s="354"/>
      <c r="AO539" s="354"/>
      <c r="AP539" s="354"/>
      <c r="AQ539" s="301"/>
      <c r="AR539" s="302"/>
      <c r="AS539" s="302"/>
      <c r="AT539" s="301"/>
      <c r="AU539" s="301"/>
      <c r="AV539" s="10"/>
      <c r="AW539" s="302"/>
    </row>
    <row r="540" spans="38:49" ht="15" x14ac:dyDescent="0.35">
      <c r="AL540" s="11"/>
      <c r="AM540" s="11"/>
      <c r="AN540" s="354"/>
      <c r="AO540" s="354"/>
      <c r="AP540" s="354"/>
      <c r="AQ540" s="301"/>
      <c r="AR540" s="302"/>
      <c r="AS540" s="302"/>
      <c r="AT540" s="301"/>
      <c r="AU540" s="301"/>
      <c r="AV540" s="10"/>
      <c r="AW540" s="302"/>
    </row>
    <row r="541" spans="38:49" ht="15" x14ac:dyDescent="0.35">
      <c r="AL541" s="11"/>
      <c r="AM541" s="11"/>
      <c r="AN541" s="354"/>
      <c r="AO541" s="354"/>
      <c r="AP541" s="354"/>
      <c r="AQ541" s="301"/>
      <c r="AR541" s="302"/>
      <c r="AS541" s="302"/>
      <c r="AT541" s="301"/>
      <c r="AU541" s="301"/>
      <c r="AV541" s="10"/>
      <c r="AW541" s="302"/>
    </row>
    <row r="542" spans="38:49" ht="15" x14ac:dyDescent="0.35">
      <c r="AL542" s="11"/>
      <c r="AM542" s="11"/>
      <c r="AN542" s="354"/>
      <c r="AO542" s="354"/>
      <c r="AP542" s="354"/>
      <c r="AQ542" s="301"/>
      <c r="AR542" s="302"/>
      <c r="AS542" s="302"/>
      <c r="AT542" s="301"/>
      <c r="AU542" s="301"/>
      <c r="AV542" s="10"/>
      <c r="AW542" s="302"/>
    </row>
    <row r="543" spans="38:49" ht="15" x14ac:dyDescent="0.35">
      <c r="AL543" s="11"/>
      <c r="AM543" s="11"/>
      <c r="AN543" s="354"/>
      <c r="AO543" s="354"/>
      <c r="AP543" s="354"/>
      <c r="AQ543" s="301"/>
      <c r="AR543" s="302"/>
      <c r="AS543" s="302"/>
      <c r="AT543" s="301"/>
      <c r="AU543" s="301"/>
      <c r="AV543" s="10"/>
      <c r="AW543" s="302"/>
    </row>
    <row r="544" spans="38:49" ht="15" x14ac:dyDescent="0.35">
      <c r="AL544" s="11"/>
      <c r="AM544" s="11"/>
      <c r="AN544" s="354"/>
      <c r="AO544" s="354"/>
      <c r="AP544" s="354"/>
      <c r="AQ544" s="301"/>
      <c r="AR544" s="302"/>
      <c r="AS544" s="302"/>
      <c r="AT544" s="301"/>
      <c r="AU544" s="301"/>
      <c r="AV544" s="10"/>
      <c r="AW544" s="302"/>
    </row>
    <row r="545" spans="38:49" ht="15" x14ac:dyDescent="0.35">
      <c r="AL545" s="11"/>
      <c r="AM545" s="11"/>
      <c r="AN545" s="354"/>
      <c r="AO545" s="354"/>
      <c r="AP545" s="354"/>
      <c r="AQ545" s="301"/>
      <c r="AR545" s="302"/>
      <c r="AS545" s="302"/>
      <c r="AT545" s="301"/>
      <c r="AU545" s="301"/>
      <c r="AV545" s="10"/>
      <c r="AW545" s="302"/>
    </row>
    <row r="546" spans="38:49" ht="15" x14ac:dyDescent="0.35">
      <c r="AL546" s="11"/>
      <c r="AM546" s="11"/>
      <c r="AN546" s="354"/>
      <c r="AO546" s="354"/>
      <c r="AP546" s="354"/>
      <c r="AQ546" s="301"/>
      <c r="AR546" s="302"/>
      <c r="AS546" s="302"/>
      <c r="AT546" s="301"/>
      <c r="AU546" s="301"/>
      <c r="AV546" s="10"/>
      <c r="AW546" s="302"/>
    </row>
    <row r="547" spans="38:49" ht="15" x14ac:dyDescent="0.35">
      <c r="AL547" s="11"/>
      <c r="AM547" s="11"/>
      <c r="AN547" s="354"/>
      <c r="AO547" s="354"/>
      <c r="AP547" s="354"/>
      <c r="AQ547" s="301"/>
      <c r="AR547" s="302"/>
      <c r="AS547" s="302"/>
      <c r="AT547" s="301"/>
      <c r="AU547" s="301"/>
      <c r="AV547" s="10"/>
      <c r="AW547" s="302"/>
    </row>
    <row r="548" spans="38:49" ht="15" x14ac:dyDescent="0.35">
      <c r="AL548" s="11"/>
      <c r="AM548" s="11"/>
      <c r="AN548" s="354"/>
      <c r="AO548" s="354"/>
      <c r="AP548" s="354"/>
      <c r="AQ548" s="301"/>
      <c r="AR548" s="302"/>
      <c r="AS548" s="302"/>
      <c r="AT548" s="301"/>
      <c r="AU548" s="301"/>
      <c r="AV548" s="10"/>
      <c r="AW548" s="302"/>
    </row>
    <row r="549" spans="38:49" ht="15" x14ac:dyDescent="0.35">
      <c r="AL549" s="11"/>
      <c r="AM549" s="11"/>
      <c r="AN549" s="354"/>
      <c r="AO549" s="354"/>
      <c r="AP549" s="354"/>
      <c r="AQ549" s="301"/>
      <c r="AR549" s="302"/>
      <c r="AS549" s="302"/>
      <c r="AT549" s="301"/>
      <c r="AU549" s="301"/>
      <c r="AV549" s="10"/>
      <c r="AW549" s="302"/>
    </row>
    <row r="550" spans="38:49" ht="15" x14ac:dyDescent="0.35">
      <c r="AL550" s="11"/>
      <c r="AM550" s="11"/>
      <c r="AN550" s="354"/>
      <c r="AO550" s="354"/>
      <c r="AP550" s="354"/>
      <c r="AQ550" s="301"/>
      <c r="AR550" s="302"/>
      <c r="AS550" s="302"/>
      <c r="AT550" s="301"/>
      <c r="AU550" s="301"/>
      <c r="AV550" s="10"/>
      <c r="AW550" s="302"/>
    </row>
    <row r="551" spans="38:49" ht="15" x14ac:dyDescent="0.35">
      <c r="AL551" s="11"/>
      <c r="AM551" s="11"/>
      <c r="AN551" s="354"/>
      <c r="AO551" s="354"/>
      <c r="AP551" s="354"/>
      <c r="AQ551" s="301"/>
      <c r="AR551" s="302"/>
      <c r="AS551" s="302"/>
      <c r="AT551" s="301"/>
      <c r="AU551" s="301"/>
      <c r="AV551" s="10"/>
      <c r="AW551" s="302"/>
    </row>
    <row r="552" spans="38:49" ht="15" x14ac:dyDescent="0.35">
      <c r="AL552" s="11"/>
      <c r="AM552" s="11"/>
      <c r="AN552" s="354"/>
      <c r="AO552" s="354"/>
      <c r="AP552" s="354"/>
      <c r="AQ552" s="301"/>
      <c r="AR552" s="302"/>
      <c r="AS552" s="302"/>
      <c r="AT552" s="301"/>
      <c r="AU552" s="301"/>
      <c r="AV552" s="10"/>
      <c r="AW552" s="302"/>
    </row>
    <row r="553" spans="38:49" ht="15" x14ac:dyDescent="0.35">
      <c r="AL553" s="11"/>
      <c r="AM553" s="11"/>
      <c r="AN553" s="354"/>
      <c r="AO553" s="354"/>
      <c r="AP553" s="354"/>
      <c r="AQ553" s="301"/>
      <c r="AR553" s="302"/>
      <c r="AS553" s="302"/>
      <c r="AT553" s="301"/>
      <c r="AU553" s="301"/>
      <c r="AV553" s="10"/>
      <c r="AW553" s="302"/>
    </row>
    <row r="554" spans="38:49" ht="15" x14ac:dyDescent="0.35">
      <c r="AL554" s="11"/>
      <c r="AM554" s="11"/>
      <c r="AN554" s="354"/>
      <c r="AO554" s="354"/>
      <c r="AP554" s="354"/>
      <c r="AQ554" s="301"/>
      <c r="AR554" s="302"/>
      <c r="AS554" s="302"/>
      <c r="AT554" s="301"/>
      <c r="AU554" s="301"/>
      <c r="AV554" s="10"/>
      <c r="AW554" s="302"/>
    </row>
    <row r="555" spans="38:49" ht="15" x14ac:dyDescent="0.35">
      <c r="AL555" s="11"/>
      <c r="AM555" s="11"/>
      <c r="AN555" s="354"/>
      <c r="AO555" s="354"/>
      <c r="AP555" s="354"/>
      <c r="AQ555" s="301"/>
      <c r="AR555" s="302"/>
      <c r="AS555" s="302"/>
      <c r="AT555" s="301"/>
      <c r="AU555" s="301"/>
      <c r="AV555" s="10"/>
      <c r="AW555" s="302"/>
    </row>
    <row r="556" spans="38:49" ht="15" x14ac:dyDescent="0.35">
      <c r="AL556" s="11"/>
      <c r="AM556" s="11"/>
      <c r="AN556" s="354"/>
      <c r="AO556" s="354"/>
      <c r="AP556" s="354"/>
      <c r="AQ556" s="301"/>
      <c r="AR556" s="302"/>
      <c r="AS556" s="302"/>
      <c r="AT556" s="301"/>
      <c r="AU556" s="301"/>
      <c r="AV556" s="10"/>
      <c r="AW556" s="302"/>
    </row>
    <row r="557" spans="38:49" ht="15" x14ac:dyDescent="0.35">
      <c r="AL557" s="11"/>
      <c r="AM557" s="11"/>
      <c r="AN557" s="354"/>
      <c r="AO557" s="354"/>
      <c r="AP557" s="354"/>
      <c r="AQ557" s="301"/>
      <c r="AR557" s="302"/>
      <c r="AS557" s="302"/>
      <c r="AT557" s="301"/>
      <c r="AU557" s="301"/>
      <c r="AV557" s="10"/>
      <c r="AW557" s="302"/>
    </row>
    <row r="558" spans="38:49" ht="15" x14ac:dyDescent="0.35">
      <c r="AL558" s="11"/>
      <c r="AM558" s="11"/>
      <c r="AN558" s="354"/>
      <c r="AO558" s="354"/>
      <c r="AP558" s="354"/>
      <c r="AQ558" s="301"/>
      <c r="AR558" s="302"/>
      <c r="AS558" s="302"/>
      <c r="AT558" s="301"/>
      <c r="AU558" s="301"/>
      <c r="AV558" s="10"/>
      <c r="AW558" s="302"/>
    </row>
    <row r="559" spans="38:49" ht="15" x14ac:dyDescent="0.35">
      <c r="AL559" s="11"/>
      <c r="AM559" s="11"/>
      <c r="AN559" s="354"/>
      <c r="AO559" s="354"/>
      <c r="AP559" s="354"/>
      <c r="AQ559" s="301"/>
      <c r="AR559" s="302"/>
      <c r="AS559" s="302"/>
      <c r="AT559" s="301"/>
      <c r="AU559" s="301"/>
      <c r="AV559" s="10"/>
      <c r="AW559" s="302"/>
    </row>
    <row r="560" spans="38:49" ht="15" x14ac:dyDescent="0.35">
      <c r="AL560" s="11"/>
      <c r="AM560" s="11"/>
      <c r="AN560" s="354"/>
      <c r="AO560" s="354"/>
      <c r="AP560" s="354"/>
      <c r="AQ560" s="301"/>
      <c r="AR560" s="302"/>
      <c r="AS560" s="302"/>
      <c r="AT560" s="301"/>
      <c r="AU560" s="301"/>
      <c r="AV560" s="10"/>
      <c r="AW560" s="302"/>
    </row>
    <row r="561" spans="38:49" ht="15" x14ac:dyDescent="0.35">
      <c r="AL561" s="11"/>
      <c r="AM561" s="11"/>
      <c r="AN561" s="354"/>
      <c r="AO561" s="354"/>
      <c r="AP561" s="354"/>
      <c r="AQ561" s="301"/>
      <c r="AR561" s="302"/>
      <c r="AS561" s="302"/>
      <c r="AT561" s="301"/>
      <c r="AU561" s="301"/>
      <c r="AV561" s="10"/>
      <c r="AW561" s="302"/>
    </row>
    <row r="562" spans="38:49" ht="15" x14ac:dyDescent="0.35">
      <c r="AL562" s="11"/>
      <c r="AM562" s="11"/>
      <c r="AN562" s="354"/>
      <c r="AO562" s="354"/>
      <c r="AP562" s="354"/>
      <c r="AQ562" s="301"/>
      <c r="AR562" s="302"/>
      <c r="AS562" s="302"/>
      <c r="AT562" s="301"/>
      <c r="AU562" s="301"/>
      <c r="AV562" s="10"/>
      <c r="AW562" s="302"/>
    </row>
    <row r="563" spans="38:49" ht="15" x14ac:dyDescent="0.35">
      <c r="AL563" s="11"/>
      <c r="AM563" s="11"/>
      <c r="AN563" s="354"/>
      <c r="AO563" s="354"/>
      <c r="AP563" s="354"/>
      <c r="AQ563" s="301"/>
      <c r="AR563" s="302"/>
      <c r="AS563" s="302"/>
      <c r="AT563" s="301"/>
      <c r="AU563" s="301"/>
      <c r="AV563" s="10"/>
      <c r="AW563" s="302"/>
    </row>
    <row r="564" spans="38:49" ht="15" x14ac:dyDescent="0.35">
      <c r="AL564" s="11"/>
      <c r="AM564" s="11"/>
      <c r="AN564" s="354"/>
      <c r="AO564" s="354"/>
      <c r="AP564" s="354"/>
      <c r="AQ564" s="301"/>
      <c r="AR564" s="302"/>
      <c r="AS564" s="302"/>
      <c r="AT564" s="301"/>
      <c r="AU564" s="301"/>
      <c r="AV564" s="10"/>
      <c r="AW564" s="302"/>
    </row>
    <row r="565" spans="38:49" ht="15" x14ac:dyDescent="0.35">
      <c r="AL565" s="11"/>
      <c r="AM565" s="11"/>
      <c r="AN565" s="354"/>
      <c r="AO565" s="354"/>
      <c r="AP565" s="354"/>
      <c r="AQ565" s="301"/>
      <c r="AR565" s="302"/>
      <c r="AS565" s="302"/>
      <c r="AT565" s="301"/>
      <c r="AU565" s="301"/>
      <c r="AV565" s="10"/>
      <c r="AW565" s="302"/>
    </row>
    <row r="566" spans="38:49" ht="15" x14ac:dyDescent="0.35">
      <c r="AL566" s="11"/>
      <c r="AM566" s="11"/>
      <c r="AN566" s="354"/>
      <c r="AO566" s="354"/>
      <c r="AP566" s="354"/>
      <c r="AQ566" s="301"/>
      <c r="AR566" s="302"/>
      <c r="AS566" s="302"/>
      <c r="AT566" s="301"/>
      <c r="AU566" s="301"/>
      <c r="AV566" s="10"/>
      <c r="AW566" s="302"/>
    </row>
    <row r="567" spans="38:49" ht="15" x14ac:dyDescent="0.35">
      <c r="AL567" s="11"/>
      <c r="AM567" s="11"/>
      <c r="AN567" s="354"/>
      <c r="AO567" s="354"/>
      <c r="AP567" s="354"/>
      <c r="AQ567" s="301"/>
      <c r="AR567" s="302"/>
      <c r="AS567" s="302"/>
      <c r="AT567" s="301"/>
      <c r="AU567" s="301"/>
      <c r="AV567" s="10"/>
      <c r="AW567" s="302"/>
    </row>
    <row r="568" spans="38:49" ht="15" x14ac:dyDescent="0.35">
      <c r="AL568" s="11"/>
      <c r="AM568" s="11"/>
      <c r="AN568" s="354"/>
      <c r="AO568" s="354"/>
      <c r="AP568" s="354"/>
      <c r="AQ568" s="301"/>
      <c r="AR568" s="302"/>
      <c r="AS568" s="302"/>
      <c r="AT568" s="301"/>
      <c r="AU568" s="301"/>
      <c r="AV568" s="10"/>
      <c r="AW568" s="302"/>
    </row>
    <row r="569" spans="38:49" ht="15" x14ac:dyDescent="0.35">
      <c r="AL569" s="11"/>
      <c r="AM569" s="11"/>
      <c r="AN569" s="354"/>
      <c r="AO569" s="354"/>
      <c r="AP569" s="354"/>
      <c r="AQ569" s="301"/>
      <c r="AR569" s="302"/>
      <c r="AS569" s="302"/>
      <c r="AT569" s="301"/>
      <c r="AU569" s="301"/>
      <c r="AV569" s="10"/>
      <c r="AW569" s="302"/>
    </row>
    <row r="570" spans="38:49" ht="15" x14ac:dyDescent="0.35">
      <c r="AL570" s="11"/>
      <c r="AM570" s="11"/>
      <c r="AN570" s="354"/>
      <c r="AO570" s="354"/>
      <c r="AP570" s="354"/>
      <c r="AQ570" s="301"/>
      <c r="AR570" s="302"/>
      <c r="AS570" s="302"/>
      <c r="AT570" s="301"/>
      <c r="AU570" s="301"/>
      <c r="AV570" s="10"/>
      <c r="AW570" s="302"/>
    </row>
    <row r="571" spans="38:49" ht="15" x14ac:dyDescent="0.35">
      <c r="AL571" s="11"/>
      <c r="AM571" s="11"/>
      <c r="AN571" s="354"/>
      <c r="AO571" s="354"/>
      <c r="AP571" s="354"/>
      <c r="AQ571" s="301"/>
      <c r="AR571" s="302"/>
      <c r="AS571" s="302"/>
      <c r="AT571" s="301"/>
      <c r="AU571" s="301"/>
      <c r="AV571" s="10"/>
      <c r="AW571" s="302"/>
    </row>
    <row r="572" spans="38:49" ht="15" x14ac:dyDescent="0.35">
      <c r="AL572" s="11"/>
      <c r="AM572" s="11"/>
      <c r="AN572" s="354"/>
      <c r="AO572" s="354"/>
      <c r="AP572" s="354"/>
      <c r="AQ572" s="301"/>
      <c r="AR572" s="302"/>
      <c r="AS572" s="302"/>
      <c r="AT572" s="301"/>
      <c r="AU572" s="301"/>
      <c r="AV572" s="10"/>
      <c r="AW572" s="302"/>
    </row>
    <row r="573" spans="38:49" ht="15" x14ac:dyDescent="0.35">
      <c r="AL573" s="11"/>
      <c r="AM573" s="11"/>
      <c r="AN573" s="354"/>
      <c r="AO573" s="354"/>
      <c r="AP573" s="354"/>
      <c r="AQ573" s="301"/>
      <c r="AR573" s="302"/>
      <c r="AS573" s="302"/>
      <c r="AT573" s="301"/>
      <c r="AU573" s="301"/>
      <c r="AV573" s="10"/>
      <c r="AW573" s="302"/>
    </row>
    <row r="574" spans="38:49" ht="15" x14ac:dyDescent="0.35">
      <c r="AL574" s="11"/>
      <c r="AM574" s="11"/>
      <c r="AN574" s="354"/>
      <c r="AO574" s="354"/>
      <c r="AP574" s="354"/>
      <c r="AQ574" s="301"/>
      <c r="AR574" s="302"/>
      <c r="AS574" s="302"/>
      <c r="AT574" s="301"/>
      <c r="AU574" s="301"/>
      <c r="AV574" s="10"/>
      <c r="AW574" s="302"/>
    </row>
    <row r="575" spans="38:49" ht="15" x14ac:dyDescent="0.35">
      <c r="AL575" s="11"/>
      <c r="AM575" s="11"/>
      <c r="AN575" s="354"/>
      <c r="AO575" s="354"/>
      <c r="AP575" s="354"/>
      <c r="AQ575" s="301"/>
      <c r="AR575" s="302"/>
      <c r="AS575" s="302"/>
      <c r="AT575" s="301"/>
      <c r="AU575" s="301"/>
      <c r="AV575" s="10"/>
      <c r="AW575" s="302"/>
    </row>
    <row r="576" spans="38:49" ht="15" x14ac:dyDescent="0.35">
      <c r="AL576" s="11"/>
      <c r="AM576" s="11"/>
      <c r="AN576" s="354"/>
      <c r="AO576" s="354"/>
      <c r="AP576" s="354"/>
      <c r="AQ576" s="301"/>
      <c r="AR576" s="302"/>
      <c r="AS576" s="302"/>
      <c r="AT576" s="301"/>
      <c r="AU576" s="301"/>
      <c r="AV576" s="10"/>
      <c r="AW576" s="302"/>
    </row>
    <row r="577" spans="38:49" ht="15" x14ac:dyDescent="0.35">
      <c r="AL577" s="11"/>
      <c r="AM577" s="11"/>
      <c r="AN577" s="354"/>
      <c r="AO577" s="354"/>
      <c r="AP577" s="354"/>
      <c r="AQ577" s="301"/>
      <c r="AR577" s="302"/>
      <c r="AS577" s="302"/>
      <c r="AT577" s="301"/>
      <c r="AU577" s="301"/>
      <c r="AV577" s="10"/>
      <c r="AW577" s="302"/>
    </row>
    <row r="578" spans="38:49" ht="15" x14ac:dyDescent="0.35">
      <c r="AL578" s="11"/>
      <c r="AM578" s="11"/>
      <c r="AN578" s="354"/>
      <c r="AO578" s="354"/>
      <c r="AP578" s="354"/>
      <c r="AQ578" s="301"/>
      <c r="AR578" s="302"/>
      <c r="AS578" s="302"/>
      <c r="AT578" s="301"/>
      <c r="AU578" s="301"/>
      <c r="AV578" s="10"/>
      <c r="AW578" s="302"/>
    </row>
    <row r="579" spans="38:49" ht="15" x14ac:dyDescent="0.35">
      <c r="AL579" s="11"/>
      <c r="AM579" s="11"/>
      <c r="AN579" s="354"/>
      <c r="AO579" s="354"/>
      <c r="AP579" s="354"/>
      <c r="AQ579" s="301"/>
      <c r="AR579" s="302"/>
      <c r="AS579" s="302"/>
      <c r="AT579" s="301"/>
      <c r="AU579" s="301"/>
      <c r="AV579" s="10"/>
      <c r="AW579" s="302"/>
    </row>
    <row r="580" spans="38:49" ht="15" x14ac:dyDescent="0.35">
      <c r="AL580" s="11"/>
      <c r="AM580" s="11"/>
      <c r="AN580" s="354"/>
      <c r="AO580" s="354"/>
      <c r="AP580" s="354"/>
      <c r="AQ580" s="301"/>
      <c r="AR580" s="302"/>
      <c r="AS580" s="302"/>
      <c r="AT580" s="301"/>
      <c r="AU580" s="301"/>
      <c r="AV580" s="10"/>
      <c r="AW580" s="302"/>
    </row>
    <row r="581" spans="38:49" ht="15" x14ac:dyDescent="0.35">
      <c r="AL581" s="11"/>
      <c r="AM581" s="11"/>
      <c r="AN581" s="354"/>
      <c r="AO581" s="354"/>
      <c r="AP581" s="354"/>
      <c r="AQ581" s="301"/>
      <c r="AR581" s="302"/>
      <c r="AS581" s="302"/>
      <c r="AT581" s="301"/>
      <c r="AU581" s="301"/>
      <c r="AV581" s="10"/>
      <c r="AW581" s="302"/>
    </row>
    <row r="582" spans="38:49" ht="15" x14ac:dyDescent="0.35">
      <c r="AL582" s="11"/>
      <c r="AM582" s="11"/>
      <c r="AN582" s="354"/>
      <c r="AO582" s="354"/>
      <c r="AP582" s="354"/>
      <c r="AQ582" s="301"/>
      <c r="AR582" s="302"/>
      <c r="AS582" s="302"/>
      <c r="AT582" s="301"/>
      <c r="AU582" s="301"/>
      <c r="AV582" s="10"/>
      <c r="AW582" s="302"/>
    </row>
    <row r="583" spans="38:49" ht="15" x14ac:dyDescent="0.35">
      <c r="AL583" s="11"/>
      <c r="AM583" s="11"/>
      <c r="AN583" s="354"/>
      <c r="AO583" s="354"/>
      <c r="AP583" s="354"/>
      <c r="AQ583" s="301"/>
      <c r="AR583" s="302"/>
      <c r="AS583" s="302"/>
      <c r="AT583" s="301"/>
      <c r="AU583" s="301"/>
      <c r="AV583" s="10"/>
      <c r="AW583" s="302"/>
    </row>
    <row r="584" spans="38:49" ht="15" x14ac:dyDescent="0.35">
      <c r="AL584" s="11"/>
      <c r="AM584" s="11"/>
      <c r="AN584" s="354"/>
      <c r="AO584" s="354"/>
      <c r="AP584" s="354"/>
      <c r="AQ584" s="301"/>
      <c r="AR584" s="302"/>
      <c r="AS584" s="302"/>
      <c r="AT584" s="301"/>
      <c r="AU584" s="301"/>
      <c r="AV584" s="10"/>
      <c r="AW584" s="302"/>
    </row>
    <row r="585" spans="38:49" ht="15" x14ac:dyDescent="0.35">
      <c r="AL585" s="11"/>
      <c r="AM585" s="11"/>
      <c r="AN585" s="354"/>
      <c r="AO585" s="354"/>
      <c r="AP585" s="354"/>
      <c r="AQ585" s="301"/>
      <c r="AR585" s="302"/>
      <c r="AS585" s="302"/>
      <c r="AT585" s="301"/>
      <c r="AU585" s="301"/>
      <c r="AV585" s="10"/>
      <c r="AW585" s="302"/>
    </row>
    <row r="586" spans="38:49" ht="15" x14ac:dyDescent="0.35">
      <c r="AL586" s="11"/>
      <c r="AM586" s="11"/>
      <c r="AN586" s="354"/>
      <c r="AO586" s="354"/>
      <c r="AP586" s="354"/>
      <c r="AQ586" s="301"/>
      <c r="AR586" s="302"/>
      <c r="AS586" s="302"/>
      <c r="AT586" s="301"/>
      <c r="AU586" s="301"/>
      <c r="AV586" s="10"/>
      <c r="AW586" s="302"/>
    </row>
    <row r="587" spans="38:49" ht="15" x14ac:dyDescent="0.35">
      <c r="AL587" s="11"/>
      <c r="AM587" s="11"/>
      <c r="AN587" s="354"/>
      <c r="AO587" s="354"/>
      <c r="AP587" s="354"/>
      <c r="AQ587" s="301"/>
      <c r="AR587" s="302"/>
      <c r="AS587" s="302"/>
      <c r="AT587" s="301"/>
      <c r="AU587" s="301"/>
      <c r="AV587" s="10"/>
      <c r="AW587" s="302"/>
    </row>
    <row r="588" spans="38:49" ht="15" x14ac:dyDescent="0.35">
      <c r="AL588" s="11"/>
      <c r="AM588" s="11"/>
      <c r="AN588" s="354"/>
      <c r="AO588" s="354"/>
      <c r="AP588" s="354"/>
      <c r="AQ588" s="301"/>
      <c r="AR588" s="302"/>
      <c r="AS588" s="302"/>
      <c r="AT588" s="301"/>
      <c r="AU588" s="301"/>
      <c r="AV588" s="10"/>
      <c r="AW588" s="302"/>
    </row>
    <row r="589" spans="38:49" ht="15" x14ac:dyDescent="0.35">
      <c r="AL589" s="11"/>
      <c r="AM589" s="11"/>
      <c r="AN589" s="354"/>
      <c r="AO589" s="354"/>
      <c r="AP589" s="354"/>
      <c r="AQ589" s="301"/>
      <c r="AR589" s="302"/>
      <c r="AS589" s="302"/>
      <c r="AT589" s="301"/>
      <c r="AU589" s="301"/>
      <c r="AV589" s="10"/>
      <c r="AW589" s="302"/>
    </row>
    <row r="590" spans="38:49" ht="15" x14ac:dyDescent="0.35">
      <c r="AL590" s="11"/>
      <c r="AM590" s="11"/>
      <c r="AN590" s="354"/>
      <c r="AO590" s="354"/>
      <c r="AP590" s="354"/>
      <c r="AQ590" s="301"/>
      <c r="AR590" s="302"/>
      <c r="AS590" s="302"/>
      <c r="AT590" s="301"/>
      <c r="AU590" s="301"/>
      <c r="AV590" s="10"/>
      <c r="AW590" s="302"/>
    </row>
    <row r="591" spans="38:49" ht="15" x14ac:dyDescent="0.35">
      <c r="AL591" s="11"/>
      <c r="AM591" s="11"/>
      <c r="AN591" s="354"/>
      <c r="AO591" s="354"/>
      <c r="AP591" s="354"/>
      <c r="AQ591" s="301"/>
      <c r="AR591" s="302"/>
      <c r="AS591" s="302"/>
      <c r="AT591" s="301"/>
      <c r="AU591" s="301"/>
      <c r="AV591" s="10"/>
      <c r="AW591" s="302"/>
    </row>
    <row r="592" spans="38:49" ht="15" x14ac:dyDescent="0.35">
      <c r="AL592" s="11"/>
      <c r="AM592" s="11"/>
      <c r="AN592" s="354"/>
      <c r="AO592" s="354"/>
      <c r="AP592" s="354"/>
      <c r="AQ592" s="301"/>
      <c r="AR592" s="302"/>
      <c r="AS592" s="302"/>
      <c r="AT592" s="301"/>
      <c r="AU592" s="301"/>
      <c r="AV592" s="10"/>
      <c r="AW592" s="302"/>
    </row>
    <row r="593" spans="38:49" ht="15" x14ac:dyDescent="0.35">
      <c r="AL593" s="11"/>
      <c r="AM593" s="11"/>
      <c r="AN593" s="354"/>
      <c r="AO593" s="354"/>
      <c r="AP593" s="354"/>
      <c r="AQ593" s="301"/>
      <c r="AR593" s="302"/>
      <c r="AS593" s="302"/>
      <c r="AT593" s="301"/>
      <c r="AU593" s="301"/>
      <c r="AV593" s="10"/>
      <c r="AW593" s="302"/>
    </row>
    <row r="594" spans="38:49" ht="15" x14ac:dyDescent="0.35">
      <c r="AL594" s="11"/>
      <c r="AM594" s="11"/>
      <c r="AN594" s="354"/>
      <c r="AO594" s="354"/>
      <c r="AP594" s="354"/>
      <c r="AQ594" s="301"/>
      <c r="AR594" s="302"/>
      <c r="AS594" s="302"/>
      <c r="AT594" s="301"/>
      <c r="AU594" s="301"/>
      <c r="AV594" s="10"/>
      <c r="AW594" s="302"/>
    </row>
    <row r="595" spans="38:49" ht="15" x14ac:dyDescent="0.35">
      <c r="AL595" s="11"/>
      <c r="AM595" s="11"/>
      <c r="AN595" s="354"/>
      <c r="AO595" s="354"/>
      <c r="AP595" s="354"/>
      <c r="AQ595" s="301"/>
      <c r="AR595" s="302"/>
      <c r="AS595" s="302"/>
      <c r="AT595" s="301"/>
      <c r="AU595" s="301"/>
      <c r="AV595" s="10"/>
      <c r="AW595" s="302"/>
    </row>
    <row r="596" spans="38:49" ht="15" x14ac:dyDescent="0.35">
      <c r="AL596" s="11"/>
      <c r="AM596" s="11"/>
      <c r="AN596" s="354"/>
      <c r="AO596" s="354"/>
      <c r="AP596" s="354"/>
      <c r="AQ596" s="301"/>
      <c r="AR596" s="302"/>
      <c r="AS596" s="302"/>
      <c r="AT596" s="301"/>
      <c r="AU596" s="301"/>
      <c r="AV596" s="10"/>
      <c r="AW596" s="302"/>
    </row>
    <row r="597" spans="38:49" ht="15" x14ac:dyDescent="0.35">
      <c r="AL597" s="11"/>
      <c r="AM597" s="11"/>
      <c r="AN597" s="354"/>
      <c r="AO597" s="354"/>
      <c r="AP597" s="354"/>
      <c r="AQ597" s="301"/>
      <c r="AR597" s="302"/>
      <c r="AS597" s="302"/>
      <c r="AT597" s="301"/>
      <c r="AU597" s="301"/>
      <c r="AV597" s="10"/>
      <c r="AW597" s="302"/>
    </row>
    <row r="598" spans="38:49" ht="15" x14ac:dyDescent="0.35">
      <c r="AL598" s="11"/>
      <c r="AM598" s="11"/>
      <c r="AN598" s="354"/>
      <c r="AO598" s="354"/>
      <c r="AP598" s="354"/>
      <c r="AQ598" s="301"/>
      <c r="AR598" s="302"/>
      <c r="AS598" s="302"/>
      <c r="AT598" s="301"/>
      <c r="AU598" s="301"/>
      <c r="AV598" s="10"/>
      <c r="AW598" s="302"/>
    </row>
    <row r="599" spans="38:49" ht="15" x14ac:dyDescent="0.35">
      <c r="AL599" s="11"/>
      <c r="AM599" s="11"/>
      <c r="AN599" s="354"/>
      <c r="AO599" s="354"/>
      <c r="AP599" s="354"/>
      <c r="AQ599" s="301"/>
      <c r="AR599" s="302"/>
      <c r="AS599" s="302"/>
      <c r="AT599" s="301"/>
      <c r="AU599" s="301"/>
      <c r="AV599" s="10"/>
      <c r="AW599" s="302"/>
    </row>
    <row r="600" spans="38:49" ht="15" x14ac:dyDescent="0.35">
      <c r="AL600" s="11"/>
      <c r="AM600" s="11"/>
      <c r="AN600" s="354"/>
      <c r="AO600" s="354"/>
      <c r="AP600" s="354"/>
      <c r="AQ600" s="301"/>
      <c r="AR600" s="302"/>
      <c r="AS600" s="302"/>
      <c r="AT600" s="301"/>
      <c r="AU600" s="301"/>
      <c r="AV600" s="10"/>
      <c r="AW600" s="302"/>
    </row>
    <row r="601" spans="38:49" ht="15" x14ac:dyDescent="0.35">
      <c r="AL601" s="11"/>
      <c r="AM601" s="11"/>
      <c r="AN601" s="354"/>
      <c r="AO601" s="354"/>
      <c r="AP601" s="354"/>
      <c r="AQ601" s="301"/>
      <c r="AR601" s="302"/>
      <c r="AS601" s="302"/>
      <c r="AT601" s="301"/>
      <c r="AU601" s="301"/>
      <c r="AV601" s="10"/>
      <c r="AW601" s="302"/>
    </row>
    <row r="602" spans="38:49" ht="15" x14ac:dyDescent="0.35">
      <c r="AL602" s="11"/>
      <c r="AM602" s="11"/>
      <c r="AN602" s="354"/>
      <c r="AO602" s="354"/>
      <c r="AP602" s="354"/>
      <c r="AQ602" s="301"/>
      <c r="AR602" s="302"/>
      <c r="AS602" s="302"/>
      <c r="AT602" s="301"/>
      <c r="AU602" s="301"/>
      <c r="AV602" s="10"/>
      <c r="AW602" s="302"/>
    </row>
    <row r="603" spans="38:49" ht="15" x14ac:dyDescent="0.35">
      <c r="AL603" s="11"/>
      <c r="AM603" s="11"/>
      <c r="AN603" s="354"/>
      <c r="AO603" s="354"/>
      <c r="AP603" s="354"/>
      <c r="AQ603" s="301"/>
      <c r="AR603" s="302"/>
      <c r="AS603" s="302"/>
      <c r="AT603" s="301"/>
      <c r="AU603" s="301"/>
      <c r="AV603" s="10"/>
      <c r="AW603" s="302"/>
    </row>
    <row r="604" spans="38:49" ht="15" x14ac:dyDescent="0.35">
      <c r="AL604" s="11"/>
      <c r="AM604" s="11"/>
      <c r="AN604" s="354"/>
      <c r="AO604" s="354"/>
      <c r="AP604" s="354"/>
      <c r="AQ604" s="301"/>
      <c r="AR604" s="302"/>
      <c r="AS604" s="302"/>
      <c r="AT604" s="301"/>
      <c r="AU604" s="301"/>
      <c r="AV604" s="10"/>
      <c r="AW604" s="302"/>
    </row>
    <row r="605" spans="38:49" ht="15" x14ac:dyDescent="0.35">
      <c r="AL605" s="11"/>
      <c r="AM605" s="11"/>
      <c r="AN605" s="354"/>
      <c r="AO605" s="354"/>
      <c r="AP605" s="354"/>
      <c r="AQ605" s="301"/>
      <c r="AR605" s="302"/>
      <c r="AS605" s="302"/>
      <c r="AT605" s="301"/>
      <c r="AU605" s="301"/>
      <c r="AV605" s="10"/>
      <c r="AW605" s="302"/>
    </row>
    <row r="606" spans="38:49" ht="15" x14ac:dyDescent="0.35">
      <c r="AL606" s="11"/>
      <c r="AM606" s="11"/>
      <c r="AN606" s="354"/>
      <c r="AO606" s="354"/>
      <c r="AP606" s="354"/>
      <c r="AQ606" s="301"/>
      <c r="AR606" s="302"/>
      <c r="AS606" s="302"/>
      <c r="AT606" s="301"/>
      <c r="AU606" s="301"/>
      <c r="AV606" s="10"/>
      <c r="AW606" s="302"/>
    </row>
    <row r="607" spans="38:49" ht="15" x14ac:dyDescent="0.35">
      <c r="AL607" s="11"/>
      <c r="AM607" s="11"/>
      <c r="AN607" s="354"/>
      <c r="AO607" s="354"/>
      <c r="AP607" s="354"/>
      <c r="AQ607" s="301"/>
      <c r="AR607" s="302"/>
      <c r="AS607" s="302"/>
      <c r="AT607" s="301"/>
      <c r="AU607" s="301"/>
      <c r="AV607" s="10"/>
      <c r="AW607" s="302"/>
    </row>
    <row r="608" spans="38:49" ht="15" x14ac:dyDescent="0.35">
      <c r="AL608" s="11"/>
      <c r="AM608" s="11"/>
      <c r="AN608" s="354"/>
      <c r="AO608" s="354"/>
      <c r="AP608" s="354"/>
      <c r="AQ608" s="301"/>
      <c r="AR608" s="302"/>
      <c r="AS608" s="302"/>
      <c r="AT608" s="301"/>
      <c r="AU608" s="301"/>
      <c r="AV608" s="10"/>
      <c r="AW608" s="302"/>
    </row>
    <row r="609" spans="38:49" ht="15" x14ac:dyDescent="0.35">
      <c r="AL609" s="11"/>
      <c r="AM609" s="11"/>
      <c r="AN609" s="354"/>
      <c r="AO609" s="354"/>
      <c r="AP609" s="354"/>
      <c r="AQ609" s="301"/>
      <c r="AR609" s="302"/>
      <c r="AS609" s="302"/>
      <c r="AT609" s="301"/>
      <c r="AU609" s="301"/>
      <c r="AV609" s="10"/>
      <c r="AW609" s="302"/>
    </row>
    <row r="610" spans="38:49" ht="15" x14ac:dyDescent="0.35">
      <c r="AL610" s="11"/>
      <c r="AM610" s="11"/>
      <c r="AN610" s="354"/>
      <c r="AO610" s="354"/>
      <c r="AP610" s="354"/>
      <c r="AQ610" s="301"/>
      <c r="AR610" s="302"/>
      <c r="AS610" s="302"/>
      <c r="AT610" s="301"/>
      <c r="AU610" s="301"/>
      <c r="AV610" s="10"/>
      <c r="AW610" s="302"/>
    </row>
    <row r="611" spans="38:49" ht="15" x14ac:dyDescent="0.35">
      <c r="AL611" s="11"/>
      <c r="AM611" s="11"/>
      <c r="AN611" s="354"/>
      <c r="AO611" s="354"/>
      <c r="AP611" s="354"/>
      <c r="AQ611" s="301"/>
      <c r="AR611" s="302"/>
      <c r="AS611" s="302"/>
      <c r="AT611" s="301"/>
      <c r="AU611" s="301"/>
      <c r="AV611" s="10"/>
      <c r="AW611" s="302"/>
    </row>
    <row r="612" spans="38:49" ht="15" x14ac:dyDescent="0.35">
      <c r="AL612" s="11"/>
      <c r="AM612" s="11"/>
      <c r="AN612" s="354"/>
      <c r="AO612" s="354"/>
      <c r="AP612" s="354"/>
      <c r="AQ612" s="301"/>
      <c r="AR612" s="302"/>
      <c r="AS612" s="302"/>
      <c r="AT612" s="301"/>
      <c r="AU612" s="301"/>
      <c r="AV612" s="10"/>
      <c r="AW612" s="302"/>
    </row>
    <row r="613" spans="38:49" ht="15" x14ac:dyDescent="0.35">
      <c r="AL613" s="11"/>
      <c r="AM613" s="11"/>
      <c r="AN613" s="354"/>
      <c r="AO613" s="354"/>
      <c r="AP613" s="354"/>
      <c r="AQ613" s="301"/>
      <c r="AR613" s="302"/>
      <c r="AS613" s="302"/>
      <c r="AT613" s="301"/>
      <c r="AU613" s="301"/>
      <c r="AV613" s="10"/>
      <c r="AW613" s="302"/>
    </row>
    <row r="614" spans="38:49" ht="15" x14ac:dyDescent="0.35">
      <c r="AL614" s="11"/>
      <c r="AM614" s="11"/>
      <c r="AN614" s="354"/>
      <c r="AO614" s="354"/>
      <c r="AP614" s="354"/>
      <c r="AQ614" s="301"/>
      <c r="AR614" s="302"/>
      <c r="AS614" s="302"/>
      <c r="AT614" s="301"/>
      <c r="AU614" s="301"/>
      <c r="AV614" s="10"/>
      <c r="AW614" s="302"/>
    </row>
    <row r="615" spans="38:49" ht="15" x14ac:dyDescent="0.35">
      <c r="AL615" s="11"/>
      <c r="AM615" s="11"/>
      <c r="AN615" s="354"/>
      <c r="AO615" s="354"/>
      <c r="AP615" s="354"/>
      <c r="AQ615" s="301"/>
      <c r="AR615" s="302"/>
      <c r="AS615" s="302"/>
      <c r="AT615" s="301"/>
      <c r="AU615" s="301"/>
      <c r="AV615" s="10"/>
      <c r="AW615" s="302"/>
    </row>
    <row r="616" spans="38:49" ht="15" x14ac:dyDescent="0.35">
      <c r="AL616" s="11"/>
      <c r="AM616" s="11"/>
      <c r="AN616" s="354"/>
      <c r="AO616" s="354"/>
      <c r="AP616" s="354"/>
      <c r="AQ616" s="301"/>
      <c r="AR616" s="302"/>
      <c r="AS616" s="302"/>
      <c r="AT616" s="301"/>
      <c r="AU616" s="301"/>
      <c r="AV616" s="10"/>
      <c r="AW616" s="302"/>
    </row>
    <row r="617" spans="38:49" ht="15" x14ac:dyDescent="0.35">
      <c r="AL617" s="11"/>
      <c r="AM617" s="11"/>
      <c r="AN617" s="354"/>
      <c r="AO617" s="354"/>
      <c r="AP617" s="354"/>
      <c r="AQ617" s="301"/>
      <c r="AR617" s="302"/>
      <c r="AS617" s="302"/>
      <c r="AT617" s="301"/>
      <c r="AU617" s="301"/>
      <c r="AV617" s="10"/>
      <c r="AW617" s="302"/>
    </row>
    <row r="618" spans="38:49" ht="15" x14ac:dyDescent="0.35">
      <c r="AL618" s="11"/>
      <c r="AM618" s="11"/>
      <c r="AN618" s="354"/>
      <c r="AO618" s="354"/>
      <c r="AP618" s="354"/>
      <c r="AQ618" s="301"/>
      <c r="AR618" s="302"/>
      <c r="AS618" s="302"/>
      <c r="AT618" s="301"/>
      <c r="AU618" s="301"/>
      <c r="AV618" s="10"/>
      <c r="AW618" s="302"/>
    </row>
    <row r="619" spans="38:49" ht="15" x14ac:dyDescent="0.35">
      <c r="AL619" s="11"/>
      <c r="AM619" s="11"/>
      <c r="AN619" s="354"/>
      <c r="AO619" s="354"/>
      <c r="AP619" s="354"/>
      <c r="AQ619" s="301"/>
      <c r="AR619" s="302"/>
      <c r="AS619" s="302"/>
      <c r="AT619" s="301"/>
      <c r="AU619" s="301"/>
      <c r="AV619" s="10"/>
      <c r="AW619" s="302"/>
    </row>
    <row r="620" spans="38:49" ht="15" x14ac:dyDescent="0.35">
      <c r="AL620" s="11"/>
      <c r="AM620" s="11"/>
      <c r="AN620" s="354"/>
      <c r="AO620" s="354"/>
      <c r="AP620" s="354"/>
      <c r="AQ620" s="301"/>
      <c r="AR620" s="302"/>
      <c r="AS620" s="302"/>
      <c r="AT620" s="301"/>
      <c r="AU620" s="301"/>
      <c r="AV620" s="10"/>
      <c r="AW620" s="302"/>
    </row>
    <row r="621" spans="38:49" ht="15" x14ac:dyDescent="0.35">
      <c r="AL621" s="11"/>
      <c r="AM621" s="11"/>
      <c r="AN621" s="354"/>
      <c r="AO621" s="354"/>
      <c r="AP621" s="354"/>
      <c r="AQ621" s="301"/>
      <c r="AR621" s="302"/>
      <c r="AS621" s="302"/>
      <c r="AT621" s="301"/>
      <c r="AU621" s="301"/>
      <c r="AV621" s="10"/>
      <c r="AW621" s="302"/>
    </row>
    <row r="622" spans="38:49" ht="15" x14ac:dyDescent="0.35">
      <c r="AL622" s="11"/>
      <c r="AM622" s="11"/>
      <c r="AN622" s="354"/>
      <c r="AO622" s="354"/>
      <c r="AP622" s="354"/>
      <c r="AQ622" s="301"/>
      <c r="AR622" s="302"/>
      <c r="AS622" s="302"/>
      <c r="AT622" s="301"/>
      <c r="AU622" s="301"/>
      <c r="AV622" s="10"/>
      <c r="AW622" s="302"/>
    </row>
    <row r="623" spans="38:49" ht="15" x14ac:dyDescent="0.35">
      <c r="AL623" s="11"/>
      <c r="AM623" s="11"/>
      <c r="AN623" s="354"/>
      <c r="AO623" s="354"/>
      <c r="AP623" s="354"/>
      <c r="AQ623" s="301"/>
      <c r="AR623" s="302"/>
      <c r="AS623" s="302"/>
      <c r="AT623" s="301"/>
      <c r="AU623" s="301"/>
      <c r="AV623" s="10"/>
      <c r="AW623" s="302"/>
    </row>
    <row r="624" spans="38:49" ht="15" x14ac:dyDescent="0.35">
      <c r="AL624" s="11"/>
      <c r="AM624" s="11"/>
      <c r="AN624" s="354"/>
      <c r="AO624" s="354"/>
      <c r="AP624" s="354"/>
      <c r="AQ624" s="301"/>
      <c r="AR624" s="302"/>
      <c r="AS624" s="302"/>
      <c r="AT624" s="301"/>
      <c r="AU624" s="301"/>
      <c r="AV624" s="10"/>
      <c r="AW624" s="302"/>
    </row>
    <row r="625" spans="38:49" ht="15" x14ac:dyDescent="0.35">
      <c r="AL625" s="11"/>
      <c r="AM625" s="11"/>
      <c r="AN625" s="354"/>
      <c r="AO625" s="354"/>
      <c r="AP625" s="354"/>
      <c r="AQ625" s="301"/>
      <c r="AR625" s="302"/>
      <c r="AS625" s="302"/>
      <c r="AT625" s="301"/>
      <c r="AU625" s="301"/>
      <c r="AV625" s="10"/>
      <c r="AW625" s="302"/>
    </row>
    <row r="626" spans="38:49" ht="15" x14ac:dyDescent="0.35">
      <c r="AL626" s="11"/>
      <c r="AM626" s="11"/>
      <c r="AN626" s="354"/>
      <c r="AO626" s="354"/>
      <c r="AP626" s="354"/>
      <c r="AQ626" s="301"/>
      <c r="AR626" s="302"/>
      <c r="AS626" s="302"/>
      <c r="AT626" s="301"/>
      <c r="AU626" s="301"/>
      <c r="AV626" s="10"/>
      <c r="AW626" s="302"/>
    </row>
    <row r="627" spans="38:49" ht="15" x14ac:dyDescent="0.35">
      <c r="AL627" s="11"/>
      <c r="AM627" s="11"/>
      <c r="AN627" s="354"/>
      <c r="AO627" s="354"/>
      <c r="AP627" s="354"/>
      <c r="AQ627" s="301"/>
      <c r="AR627" s="302"/>
      <c r="AS627" s="302"/>
      <c r="AT627" s="301"/>
      <c r="AU627" s="301"/>
      <c r="AV627" s="10"/>
      <c r="AW627" s="302"/>
    </row>
    <row r="628" spans="38:49" ht="15" x14ac:dyDescent="0.35">
      <c r="AL628" s="11"/>
      <c r="AM628" s="11"/>
      <c r="AN628" s="354"/>
      <c r="AO628" s="354"/>
      <c r="AP628" s="354"/>
      <c r="AQ628" s="301"/>
      <c r="AR628" s="302"/>
      <c r="AS628" s="302"/>
      <c r="AT628" s="301"/>
      <c r="AU628" s="301"/>
      <c r="AV628" s="10"/>
      <c r="AW628" s="302"/>
    </row>
    <row r="629" spans="38:49" ht="15" x14ac:dyDescent="0.35">
      <c r="AL629" s="11"/>
      <c r="AM629" s="11"/>
      <c r="AN629" s="354"/>
      <c r="AO629" s="354"/>
      <c r="AP629" s="354"/>
      <c r="AQ629" s="301"/>
      <c r="AR629" s="302"/>
      <c r="AS629" s="302"/>
      <c r="AT629" s="301"/>
      <c r="AU629" s="301"/>
      <c r="AV629" s="10"/>
      <c r="AW629" s="302"/>
    </row>
    <row r="630" spans="38:49" ht="15" x14ac:dyDescent="0.35">
      <c r="AL630" s="11"/>
      <c r="AM630" s="11"/>
      <c r="AN630" s="354"/>
      <c r="AO630" s="354"/>
      <c r="AP630" s="354"/>
      <c r="AQ630" s="301"/>
      <c r="AR630" s="302"/>
      <c r="AS630" s="302"/>
      <c r="AT630" s="301"/>
      <c r="AU630" s="301"/>
      <c r="AV630" s="10"/>
      <c r="AW630" s="302"/>
    </row>
    <row r="631" spans="38:49" ht="15" x14ac:dyDescent="0.35">
      <c r="AL631" s="11"/>
      <c r="AM631" s="11"/>
      <c r="AN631" s="354"/>
      <c r="AO631" s="354"/>
      <c r="AP631" s="354"/>
      <c r="AQ631" s="301"/>
      <c r="AR631" s="302"/>
      <c r="AS631" s="302"/>
      <c r="AT631" s="301"/>
      <c r="AU631" s="301"/>
      <c r="AV631" s="10"/>
      <c r="AW631" s="302"/>
    </row>
    <row r="632" spans="38:49" ht="15" x14ac:dyDescent="0.35">
      <c r="AL632" s="11"/>
      <c r="AM632" s="11"/>
      <c r="AN632" s="354"/>
      <c r="AO632" s="354"/>
      <c r="AP632" s="354"/>
      <c r="AQ632" s="301"/>
      <c r="AR632" s="302"/>
      <c r="AS632" s="302"/>
      <c r="AT632" s="301"/>
      <c r="AU632" s="301"/>
      <c r="AV632" s="10"/>
      <c r="AW632" s="302"/>
    </row>
    <row r="633" spans="38:49" ht="15" x14ac:dyDescent="0.35">
      <c r="AL633" s="11"/>
      <c r="AM633" s="11"/>
      <c r="AN633" s="354"/>
      <c r="AO633" s="354"/>
      <c r="AP633" s="354"/>
      <c r="AQ633" s="301"/>
      <c r="AR633" s="302"/>
      <c r="AS633" s="302"/>
      <c r="AT633" s="301"/>
      <c r="AU633" s="301"/>
      <c r="AV633" s="10"/>
      <c r="AW633" s="302"/>
    </row>
    <row r="634" spans="38:49" ht="15" x14ac:dyDescent="0.35">
      <c r="AL634" s="11"/>
      <c r="AM634" s="11"/>
      <c r="AN634" s="354"/>
      <c r="AO634" s="354"/>
      <c r="AP634" s="354"/>
      <c r="AQ634" s="301"/>
      <c r="AR634" s="302"/>
      <c r="AS634" s="302"/>
      <c r="AT634" s="301"/>
      <c r="AU634" s="301"/>
      <c r="AV634" s="10"/>
      <c r="AW634" s="302"/>
    </row>
    <row r="635" spans="38:49" ht="15" x14ac:dyDescent="0.35">
      <c r="AL635" s="11"/>
      <c r="AM635" s="11"/>
      <c r="AN635" s="354"/>
      <c r="AO635" s="354"/>
      <c r="AP635" s="354"/>
      <c r="AQ635" s="301"/>
      <c r="AR635" s="302"/>
      <c r="AS635" s="302"/>
      <c r="AT635" s="301"/>
      <c r="AU635" s="301"/>
      <c r="AV635" s="10"/>
      <c r="AW635" s="302"/>
    </row>
    <row r="636" spans="38:49" ht="15" x14ac:dyDescent="0.35">
      <c r="AL636" s="11"/>
      <c r="AM636" s="11"/>
      <c r="AN636" s="354"/>
      <c r="AO636" s="354"/>
      <c r="AP636" s="354"/>
      <c r="AQ636" s="301"/>
      <c r="AR636" s="302"/>
      <c r="AS636" s="302"/>
      <c r="AT636" s="301"/>
      <c r="AU636" s="301"/>
      <c r="AV636" s="10"/>
      <c r="AW636" s="302"/>
    </row>
    <row r="637" spans="38:49" ht="15" x14ac:dyDescent="0.35">
      <c r="AL637" s="11"/>
      <c r="AM637" s="11"/>
      <c r="AN637" s="354"/>
      <c r="AO637" s="354"/>
      <c r="AP637" s="354"/>
      <c r="AQ637" s="301"/>
      <c r="AR637" s="302"/>
      <c r="AS637" s="302"/>
      <c r="AT637" s="301"/>
      <c r="AU637" s="301"/>
      <c r="AV637" s="10"/>
      <c r="AW637" s="302"/>
    </row>
    <row r="638" spans="38:49" ht="15" x14ac:dyDescent="0.35">
      <c r="AL638" s="11"/>
      <c r="AM638" s="11"/>
      <c r="AN638" s="354"/>
      <c r="AO638" s="354"/>
      <c r="AP638" s="354"/>
      <c r="AQ638" s="301"/>
      <c r="AR638" s="302"/>
      <c r="AS638" s="302"/>
      <c r="AT638" s="301"/>
      <c r="AU638" s="301"/>
      <c r="AV638" s="10"/>
      <c r="AW638" s="302"/>
    </row>
    <row r="639" spans="38:49" ht="15" x14ac:dyDescent="0.35">
      <c r="AL639" s="11"/>
      <c r="AM639" s="11"/>
      <c r="AN639" s="354"/>
      <c r="AO639" s="354"/>
      <c r="AP639" s="354"/>
      <c r="AQ639" s="301"/>
      <c r="AR639" s="302"/>
      <c r="AS639" s="302"/>
      <c r="AT639" s="301"/>
      <c r="AU639" s="301"/>
      <c r="AV639" s="10"/>
      <c r="AW639" s="302"/>
    </row>
    <row r="640" spans="38:49" ht="15" x14ac:dyDescent="0.35">
      <c r="AL640" s="11"/>
      <c r="AM640" s="11"/>
      <c r="AN640" s="354"/>
      <c r="AO640" s="354"/>
      <c r="AP640" s="354"/>
      <c r="AQ640" s="301"/>
      <c r="AR640" s="302"/>
      <c r="AS640" s="302"/>
      <c r="AT640" s="301"/>
      <c r="AU640" s="301"/>
      <c r="AV640" s="10"/>
      <c r="AW640" s="302"/>
    </row>
    <row r="641" spans="38:49" ht="15" x14ac:dyDescent="0.35">
      <c r="AL641" s="11"/>
      <c r="AM641" s="11"/>
      <c r="AN641" s="354"/>
      <c r="AO641" s="354"/>
      <c r="AP641" s="354"/>
      <c r="AQ641" s="301"/>
      <c r="AR641" s="302"/>
      <c r="AS641" s="302"/>
      <c r="AT641" s="301"/>
      <c r="AU641" s="301"/>
      <c r="AV641" s="10"/>
      <c r="AW641" s="302"/>
    </row>
    <row r="642" spans="38:49" ht="15" x14ac:dyDescent="0.35">
      <c r="AL642" s="11"/>
      <c r="AM642" s="11"/>
      <c r="AN642" s="354"/>
      <c r="AO642" s="354"/>
      <c r="AP642" s="354"/>
      <c r="AQ642" s="301"/>
      <c r="AR642" s="302"/>
      <c r="AS642" s="302"/>
      <c r="AT642" s="301"/>
      <c r="AU642" s="301"/>
      <c r="AV642" s="10"/>
      <c r="AW642" s="302"/>
    </row>
    <row r="643" spans="38:49" ht="15" x14ac:dyDescent="0.35">
      <c r="AL643" s="11"/>
      <c r="AM643" s="11"/>
      <c r="AN643" s="354"/>
      <c r="AO643" s="354"/>
      <c r="AP643" s="354"/>
      <c r="AQ643" s="301"/>
      <c r="AR643" s="302"/>
      <c r="AS643" s="302"/>
      <c r="AT643" s="301"/>
      <c r="AU643" s="301"/>
      <c r="AV643" s="10"/>
      <c r="AW643" s="302"/>
    </row>
    <row r="644" spans="38:49" ht="15" x14ac:dyDescent="0.35">
      <c r="AL644" s="11"/>
      <c r="AM644" s="11"/>
      <c r="AN644" s="354"/>
      <c r="AO644" s="354"/>
      <c r="AP644" s="354"/>
      <c r="AQ644" s="301"/>
      <c r="AR644" s="302"/>
      <c r="AS644" s="302"/>
      <c r="AT644" s="301"/>
      <c r="AU644" s="301"/>
      <c r="AV644" s="10"/>
      <c r="AW644" s="302"/>
    </row>
    <row r="645" spans="38:49" ht="15" x14ac:dyDescent="0.35">
      <c r="AL645" s="11"/>
      <c r="AM645" s="11"/>
      <c r="AN645" s="354"/>
      <c r="AO645" s="354"/>
      <c r="AP645" s="354"/>
      <c r="AQ645" s="301"/>
      <c r="AR645" s="302"/>
      <c r="AS645" s="302"/>
      <c r="AT645" s="301"/>
      <c r="AU645" s="301"/>
      <c r="AV645" s="10"/>
      <c r="AW645" s="302"/>
    </row>
    <row r="646" spans="38:49" ht="15" x14ac:dyDescent="0.35">
      <c r="AL646" s="11"/>
      <c r="AM646" s="11"/>
      <c r="AN646" s="354"/>
      <c r="AO646" s="354"/>
      <c r="AP646" s="354"/>
      <c r="AQ646" s="301"/>
      <c r="AR646" s="302"/>
      <c r="AS646" s="302"/>
      <c r="AT646" s="301"/>
      <c r="AU646" s="301"/>
      <c r="AV646" s="10"/>
      <c r="AW646" s="302"/>
    </row>
    <row r="647" spans="38:49" ht="15" x14ac:dyDescent="0.35">
      <c r="AL647" s="11"/>
      <c r="AM647" s="11"/>
      <c r="AN647" s="354"/>
      <c r="AO647" s="354"/>
      <c r="AP647" s="354"/>
      <c r="AQ647" s="301"/>
      <c r="AR647" s="302"/>
      <c r="AS647" s="302"/>
      <c r="AT647" s="301"/>
      <c r="AU647" s="301"/>
      <c r="AV647" s="10"/>
      <c r="AW647" s="302"/>
    </row>
    <row r="648" spans="38:49" ht="15" x14ac:dyDescent="0.35">
      <c r="AL648" s="11"/>
      <c r="AM648" s="11"/>
      <c r="AN648" s="354"/>
      <c r="AO648" s="354"/>
      <c r="AP648" s="354"/>
      <c r="AQ648" s="301"/>
      <c r="AR648" s="302"/>
      <c r="AS648" s="302"/>
      <c r="AT648" s="301"/>
      <c r="AU648" s="301"/>
      <c r="AV648" s="10"/>
      <c r="AW648" s="302"/>
    </row>
    <row r="649" spans="38:49" ht="15" x14ac:dyDescent="0.35">
      <c r="AL649" s="11"/>
      <c r="AM649" s="11"/>
      <c r="AN649" s="354"/>
      <c r="AO649" s="354"/>
      <c r="AP649" s="354"/>
      <c r="AQ649" s="301"/>
      <c r="AR649" s="302"/>
      <c r="AS649" s="302"/>
      <c r="AT649" s="301"/>
      <c r="AU649" s="301"/>
      <c r="AV649" s="10"/>
      <c r="AW649" s="302"/>
    </row>
    <row r="650" spans="38:49" ht="15" x14ac:dyDescent="0.35">
      <c r="AL650" s="11"/>
      <c r="AM650" s="11"/>
      <c r="AN650" s="354"/>
      <c r="AO650" s="354"/>
      <c r="AP650" s="354"/>
      <c r="AQ650" s="301"/>
      <c r="AR650" s="302"/>
      <c r="AS650" s="302"/>
      <c r="AT650" s="301"/>
      <c r="AU650" s="301"/>
      <c r="AV650" s="10"/>
      <c r="AW650" s="302"/>
    </row>
    <row r="651" spans="38:49" ht="15" x14ac:dyDescent="0.35">
      <c r="AL651" s="11"/>
      <c r="AM651" s="11"/>
      <c r="AN651" s="354"/>
      <c r="AO651" s="354"/>
      <c r="AP651" s="354"/>
      <c r="AQ651" s="301"/>
      <c r="AR651" s="302"/>
      <c r="AS651" s="302"/>
      <c r="AT651" s="301"/>
      <c r="AU651" s="301"/>
      <c r="AV651" s="10"/>
      <c r="AW651" s="302"/>
    </row>
    <row r="652" spans="38:49" ht="15" x14ac:dyDescent="0.35">
      <c r="AL652" s="11"/>
      <c r="AM652" s="11"/>
      <c r="AN652" s="354"/>
      <c r="AO652" s="354"/>
      <c r="AP652" s="354"/>
      <c r="AQ652" s="301"/>
      <c r="AR652" s="302"/>
      <c r="AS652" s="302"/>
      <c r="AT652" s="301"/>
      <c r="AU652" s="301"/>
      <c r="AV652" s="10"/>
      <c r="AW652" s="302"/>
    </row>
    <row r="653" spans="38:49" ht="15" x14ac:dyDescent="0.35">
      <c r="AL653" s="11"/>
      <c r="AM653" s="11"/>
      <c r="AN653" s="354"/>
      <c r="AO653" s="354"/>
      <c r="AP653" s="354"/>
      <c r="AQ653" s="301"/>
      <c r="AR653" s="302"/>
      <c r="AS653" s="302"/>
      <c r="AT653" s="301"/>
      <c r="AU653" s="301"/>
      <c r="AV653" s="10"/>
      <c r="AW653" s="302"/>
    </row>
    <row r="654" spans="38:49" ht="15" x14ac:dyDescent="0.35">
      <c r="AL654" s="11"/>
      <c r="AM654" s="11"/>
      <c r="AN654" s="354"/>
      <c r="AO654" s="354"/>
      <c r="AP654" s="354"/>
      <c r="AQ654" s="301"/>
      <c r="AR654" s="302"/>
      <c r="AS654" s="302"/>
      <c r="AT654" s="301"/>
      <c r="AU654" s="301"/>
      <c r="AV654" s="10"/>
      <c r="AW654" s="302"/>
    </row>
    <row r="655" spans="38:49" ht="15" x14ac:dyDescent="0.35">
      <c r="AL655" s="11"/>
      <c r="AM655" s="11"/>
      <c r="AN655" s="354"/>
      <c r="AO655" s="354"/>
      <c r="AP655" s="354"/>
      <c r="AQ655" s="301"/>
      <c r="AR655" s="302"/>
      <c r="AS655" s="302"/>
      <c r="AT655" s="301"/>
      <c r="AU655" s="301"/>
      <c r="AV655" s="10"/>
      <c r="AW655" s="302"/>
    </row>
    <row r="656" spans="38:49" ht="15" x14ac:dyDescent="0.35">
      <c r="AL656" s="11"/>
      <c r="AM656" s="11"/>
      <c r="AN656" s="354"/>
      <c r="AO656" s="354"/>
      <c r="AP656" s="354"/>
      <c r="AQ656" s="301"/>
      <c r="AR656" s="302"/>
      <c r="AS656" s="302"/>
      <c r="AT656" s="301"/>
      <c r="AU656" s="301"/>
      <c r="AV656" s="10"/>
      <c r="AW656" s="302"/>
    </row>
    <row r="657" spans="38:49" ht="15" x14ac:dyDescent="0.35">
      <c r="AL657" s="11"/>
      <c r="AM657" s="11"/>
      <c r="AN657" s="354"/>
      <c r="AO657" s="354"/>
      <c r="AP657" s="354"/>
      <c r="AQ657" s="301"/>
      <c r="AR657" s="302"/>
      <c r="AS657" s="302"/>
      <c r="AT657" s="301"/>
      <c r="AU657" s="301"/>
      <c r="AV657" s="10"/>
      <c r="AW657" s="302"/>
    </row>
    <row r="658" spans="38:49" ht="15" x14ac:dyDescent="0.35">
      <c r="AL658" s="11"/>
      <c r="AM658" s="11"/>
      <c r="AN658" s="354"/>
      <c r="AO658" s="354"/>
      <c r="AP658" s="354"/>
      <c r="AQ658" s="301"/>
      <c r="AR658" s="302"/>
      <c r="AS658" s="302"/>
      <c r="AT658" s="301"/>
      <c r="AU658" s="301"/>
      <c r="AV658" s="10"/>
      <c r="AW658" s="302"/>
    </row>
    <row r="659" spans="38:49" ht="15" x14ac:dyDescent="0.35">
      <c r="AL659" s="11"/>
      <c r="AM659" s="11"/>
      <c r="AN659" s="354"/>
      <c r="AO659" s="354"/>
      <c r="AP659" s="354"/>
      <c r="AQ659" s="301"/>
      <c r="AR659" s="302"/>
      <c r="AS659" s="302"/>
      <c r="AT659" s="301"/>
      <c r="AU659" s="301"/>
      <c r="AV659" s="10"/>
      <c r="AW659" s="302"/>
    </row>
    <row r="660" spans="38:49" ht="15" x14ac:dyDescent="0.35">
      <c r="AL660" s="11"/>
      <c r="AM660" s="11"/>
      <c r="AN660" s="354"/>
      <c r="AO660" s="354"/>
      <c r="AP660" s="354"/>
      <c r="AQ660" s="301"/>
      <c r="AR660" s="302"/>
      <c r="AS660" s="302"/>
      <c r="AT660" s="301"/>
      <c r="AU660" s="301"/>
      <c r="AV660" s="10"/>
      <c r="AW660" s="302"/>
    </row>
    <row r="661" spans="38:49" ht="15" x14ac:dyDescent="0.35">
      <c r="AL661" s="11"/>
      <c r="AM661" s="11"/>
      <c r="AN661" s="354"/>
      <c r="AO661" s="354"/>
      <c r="AP661" s="354"/>
      <c r="AQ661" s="301"/>
      <c r="AR661" s="302"/>
      <c r="AS661" s="302"/>
      <c r="AT661" s="301"/>
      <c r="AU661" s="301"/>
      <c r="AV661" s="10"/>
      <c r="AW661" s="302"/>
    </row>
    <row r="662" spans="38:49" ht="15" x14ac:dyDescent="0.35">
      <c r="AL662" s="11"/>
      <c r="AM662" s="11"/>
      <c r="AN662" s="354"/>
      <c r="AO662" s="354"/>
      <c r="AP662" s="354"/>
      <c r="AQ662" s="301"/>
      <c r="AR662" s="302"/>
      <c r="AS662" s="302"/>
      <c r="AT662" s="301"/>
      <c r="AU662" s="301"/>
      <c r="AV662" s="10"/>
      <c r="AW662" s="302"/>
    </row>
    <row r="663" spans="38:49" ht="15" x14ac:dyDescent="0.35">
      <c r="AL663" s="11"/>
      <c r="AM663" s="11"/>
      <c r="AN663" s="354"/>
      <c r="AO663" s="354"/>
      <c r="AP663" s="354"/>
      <c r="AQ663" s="301"/>
      <c r="AR663" s="302"/>
      <c r="AS663" s="302"/>
      <c r="AT663" s="301"/>
      <c r="AU663" s="301"/>
      <c r="AV663" s="10"/>
      <c r="AW663" s="302"/>
    </row>
    <row r="664" spans="38:49" ht="15" x14ac:dyDescent="0.35">
      <c r="AL664" s="11"/>
      <c r="AM664" s="11"/>
      <c r="AN664" s="354"/>
      <c r="AO664" s="354"/>
      <c r="AP664" s="354"/>
      <c r="AQ664" s="301"/>
      <c r="AR664" s="302"/>
      <c r="AS664" s="302"/>
      <c r="AT664" s="301"/>
      <c r="AU664" s="301"/>
      <c r="AV664" s="10"/>
      <c r="AW664" s="302"/>
    </row>
    <row r="665" spans="38:49" ht="15" x14ac:dyDescent="0.35">
      <c r="AL665" s="11"/>
      <c r="AM665" s="11"/>
      <c r="AN665" s="354"/>
      <c r="AO665" s="354"/>
      <c r="AP665" s="354"/>
      <c r="AQ665" s="301"/>
      <c r="AR665" s="302"/>
      <c r="AS665" s="302"/>
      <c r="AT665" s="301"/>
      <c r="AU665" s="301"/>
      <c r="AV665" s="10"/>
      <c r="AW665" s="302"/>
    </row>
    <row r="666" spans="38:49" ht="15" x14ac:dyDescent="0.35">
      <c r="AL666" s="11"/>
      <c r="AM666" s="11"/>
      <c r="AN666" s="354"/>
      <c r="AO666" s="354"/>
      <c r="AP666" s="354"/>
      <c r="AQ666" s="301"/>
      <c r="AR666" s="302"/>
      <c r="AS666" s="302"/>
      <c r="AT666" s="301"/>
      <c r="AU666" s="301"/>
      <c r="AV666" s="10"/>
      <c r="AW666" s="302"/>
    </row>
    <row r="667" spans="38:49" ht="15" x14ac:dyDescent="0.35">
      <c r="AL667" s="11"/>
      <c r="AM667" s="11"/>
      <c r="AN667" s="354"/>
      <c r="AO667" s="354"/>
      <c r="AP667" s="354"/>
      <c r="AQ667" s="301"/>
      <c r="AR667" s="302"/>
      <c r="AS667" s="302"/>
      <c r="AT667" s="301"/>
      <c r="AU667" s="301"/>
      <c r="AV667" s="10"/>
      <c r="AW667" s="302"/>
    </row>
    <row r="668" spans="38:49" ht="15" x14ac:dyDescent="0.35">
      <c r="AL668" s="11"/>
      <c r="AM668" s="11"/>
      <c r="AN668" s="354"/>
      <c r="AO668" s="354"/>
      <c r="AP668" s="354"/>
      <c r="AQ668" s="301"/>
      <c r="AR668" s="302"/>
      <c r="AS668" s="302"/>
      <c r="AT668" s="301"/>
      <c r="AU668" s="301"/>
      <c r="AV668" s="10"/>
      <c r="AW668" s="302"/>
    </row>
    <row r="669" spans="38:49" ht="15" x14ac:dyDescent="0.35">
      <c r="AL669" s="11"/>
      <c r="AM669" s="11"/>
      <c r="AN669" s="354"/>
      <c r="AO669" s="354"/>
      <c r="AP669" s="354"/>
      <c r="AQ669" s="301"/>
      <c r="AR669" s="302"/>
      <c r="AS669" s="302"/>
      <c r="AT669" s="301"/>
      <c r="AU669" s="301"/>
      <c r="AV669" s="10"/>
      <c r="AW669" s="302"/>
    </row>
    <row r="670" spans="38:49" ht="15" x14ac:dyDescent="0.35">
      <c r="AL670" s="11"/>
      <c r="AM670" s="11"/>
      <c r="AN670" s="354"/>
      <c r="AO670" s="354"/>
      <c r="AP670" s="354"/>
      <c r="AQ670" s="301"/>
      <c r="AR670" s="302"/>
      <c r="AS670" s="302"/>
      <c r="AT670" s="301"/>
      <c r="AU670" s="301"/>
      <c r="AV670" s="10"/>
      <c r="AW670" s="302"/>
    </row>
    <row r="671" spans="38:49" ht="15" x14ac:dyDescent="0.35">
      <c r="AL671" s="11"/>
      <c r="AM671" s="11"/>
      <c r="AN671" s="354"/>
      <c r="AO671" s="354"/>
      <c r="AP671" s="354"/>
      <c r="AQ671" s="301"/>
      <c r="AR671" s="302"/>
      <c r="AS671" s="302"/>
      <c r="AT671" s="301"/>
      <c r="AU671" s="301"/>
      <c r="AV671" s="10"/>
      <c r="AW671" s="302"/>
    </row>
    <row r="672" spans="38:49" ht="15" x14ac:dyDescent="0.35">
      <c r="AL672" s="11"/>
      <c r="AM672" s="11"/>
      <c r="AN672" s="354"/>
      <c r="AO672" s="354"/>
      <c r="AP672" s="354"/>
      <c r="AQ672" s="301"/>
      <c r="AR672" s="302"/>
      <c r="AS672" s="302"/>
      <c r="AT672" s="301"/>
      <c r="AU672" s="301"/>
      <c r="AV672" s="10"/>
      <c r="AW672" s="302"/>
    </row>
    <row r="673" spans="38:49" ht="15" x14ac:dyDescent="0.35">
      <c r="AL673" s="11"/>
      <c r="AM673" s="11"/>
      <c r="AN673" s="354"/>
      <c r="AO673" s="354"/>
      <c r="AP673" s="354"/>
      <c r="AQ673" s="301"/>
      <c r="AR673" s="302"/>
      <c r="AS673" s="302"/>
      <c r="AT673" s="301"/>
      <c r="AU673" s="301"/>
      <c r="AV673" s="10"/>
      <c r="AW673" s="302"/>
    </row>
    <row r="674" spans="38:49" ht="15" x14ac:dyDescent="0.35">
      <c r="AL674" s="11"/>
      <c r="AM674" s="11"/>
      <c r="AN674" s="354"/>
      <c r="AO674" s="354"/>
      <c r="AP674" s="354"/>
      <c r="AQ674" s="301"/>
      <c r="AR674" s="302"/>
      <c r="AS674" s="302"/>
      <c r="AT674" s="301"/>
      <c r="AU674" s="301"/>
      <c r="AV674" s="10"/>
      <c r="AW674" s="302"/>
    </row>
    <row r="675" spans="38:49" ht="15" x14ac:dyDescent="0.35">
      <c r="AL675" s="11"/>
      <c r="AM675" s="11"/>
      <c r="AN675" s="354"/>
      <c r="AO675" s="354"/>
      <c r="AP675" s="354"/>
      <c r="AQ675" s="301"/>
      <c r="AR675" s="302"/>
      <c r="AS675" s="302"/>
      <c r="AT675" s="301"/>
      <c r="AU675" s="301"/>
      <c r="AV675" s="10"/>
      <c r="AW675" s="302"/>
    </row>
    <row r="676" spans="38:49" ht="15" x14ac:dyDescent="0.35">
      <c r="AL676" s="11"/>
      <c r="AM676" s="11"/>
      <c r="AN676" s="354"/>
      <c r="AO676" s="354"/>
      <c r="AP676" s="354"/>
      <c r="AQ676" s="301"/>
      <c r="AR676" s="302"/>
      <c r="AS676" s="302"/>
      <c r="AT676" s="301"/>
      <c r="AU676" s="301"/>
      <c r="AV676" s="10"/>
      <c r="AW676" s="302"/>
    </row>
    <row r="677" spans="38:49" ht="15" x14ac:dyDescent="0.35">
      <c r="AL677" s="11"/>
      <c r="AM677" s="11"/>
      <c r="AN677" s="354"/>
      <c r="AO677" s="354"/>
      <c r="AP677" s="354"/>
      <c r="AQ677" s="301"/>
      <c r="AR677" s="302"/>
      <c r="AS677" s="302"/>
      <c r="AT677" s="301"/>
      <c r="AU677" s="301"/>
      <c r="AV677" s="10"/>
      <c r="AW677" s="302"/>
    </row>
    <row r="678" spans="38:49" ht="15" x14ac:dyDescent="0.35">
      <c r="AL678" s="11"/>
      <c r="AM678" s="11"/>
      <c r="AN678" s="354"/>
      <c r="AO678" s="354"/>
      <c r="AP678" s="354"/>
      <c r="AQ678" s="301"/>
      <c r="AR678" s="302"/>
      <c r="AS678" s="302"/>
      <c r="AT678" s="301"/>
      <c r="AU678" s="301"/>
      <c r="AV678" s="10"/>
      <c r="AW678" s="302"/>
    </row>
    <row r="679" spans="38:49" ht="15" x14ac:dyDescent="0.35">
      <c r="AL679" s="11"/>
      <c r="AM679" s="11"/>
      <c r="AN679" s="354"/>
      <c r="AO679" s="354"/>
      <c r="AP679" s="354"/>
      <c r="AQ679" s="301"/>
      <c r="AR679" s="302"/>
      <c r="AS679" s="302"/>
      <c r="AT679" s="301"/>
      <c r="AU679" s="301"/>
      <c r="AV679" s="10"/>
      <c r="AW679" s="302"/>
    </row>
    <row r="680" spans="38:49" ht="15" x14ac:dyDescent="0.35">
      <c r="AL680" s="11"/>
      <c r="AM680" s="11"/>
      <c r="AN680" s="354"/>
      <c r="AO680" s="354"/>
      <c r="AP680" s="354"/>
      <c r="AQ680" s="301"/>
      <c r="AR680" s="302"/>
      <c r="AS680" s="302"/>
      <c r="AT680" s="301"/>
      <c r="AU680" s="301"/>
      <c r="AV680" s="10"/>
      <c r="AW680" s="302"/>
    </row>
    <row r="681" spans="38:49" ht="15" x14ac:dyDescent="0.35">
      <c r="AL681" s="11"/>
      <c r="AM681" s="11"/>
      <c r="AN681" s="354"/>
      <c r="AO681" s="354"/>
      <c r="AP681" s="354"/>
      <c r="AQ681" s="301"/>
      <c r="AR681" s="302"/>
      <c r="AS681" s="302"/>
      <c r="AT681" s="301"/>
      <c r="AU681" s="301"/>
      <c r="AV681" s="10"/>
      <c r="AW681" s="302"/>
    </row>
    <row r="682" spans="38:49" ht="15" x14ac:dyDescent="0.35">
      <c r="AL682" s="11"/>
      <c r="AM682" s="11"/>
      <c r="AN682" s="354"/>
      <c r="AO682" s="354"/>
      <c r="AP682" s="354"/>
      <c r="AQ682" s="301"/>
      <c r="AR682" s="302"/>
      <c r="AS682" s="302"/>
      <c r="AT682" s="301"/>
      <c r="AU682" s="301"/>
      <c r="AV682" s="10"/>
      <c r="AW682" s="302"/>
    </row>
    <row r="683" spans="38:49" ht="15" x14ac:dyDescent="0.35">
      <c r="AL683" s="11"/>
      <c r="AM683" s="11"/>
      <c r="AN683" s="354"/>
      <c r="AO683" s="354"/>
      <c r="AP683" s="354"/>
      <c r="AQ683" s="301"/>
      <c r="AR683" s="302"/>
      <c r="AS683" s="302"/>
      <c r="AT683" s="301"/>
      <c r="AU683" s="301"/>
      <c r="AV683" s="10"/>
      <c r="AW683" s="302"/>
    </row>
    <row r="684" spans="38:49" ht="15" x14ac:dyDescent="0.35">
      <c r="AL684" s="11"/>
      <c r="AM684" s="11"/>
      <c r="AN684" s="354"/>
      <c r="AO684" s="354"/>
      <c r="AP684" s="354"/>
      <c r="AQ684" s="301"/>
      <c r="AR684" s="302"/>
      <c r="AS684" s="302"/>
      <c r="AT684" s="301"/>
      <c r="AU684" s="301"/>
      <c r="AV684" s="10"/>
      <c r="AW684" s="302"/>
    </row>
    <row r="685" spans="38:49" ht="15" x14ac:dyDescent="0.35">
      <c r="AL685" s="11"/>
      <c r="AM685" s="11"/>
      <c r="AN685" s="354"/>
      <c r="AO685" s="354"/>
      <c r="AP685" s="354"/>
      <c r="AQ685" s="301"/>
      <c r="AR685" s="302"/>
      <c r="AS685" s="302"/>
      <c r="AT685" s="301"/>
      <c r="AU685" s="301"/>
      <c r="AV685" s="10"/>
      <c r="AW685" s="302"/>
    </row>
    <row r="686" spans="38:49" ht="15" x14ac:dyDescent="0.35">
      <c r="AL686" s="11"/>
      <c r="AM686" s="11"/>
      <c r="AN686" s="354"/>
      <c r="AO686" s="354"/>
      <c r="AP686" s="354"/>
      <c r="AQ686" s="301"/>
      <c r="AR686" s="302"/>
      <c r="AS686" s="302"/>
      <c r="AT686" s="301"/>
      <c r="AU686" s="301"/>
      <c r="AV686" s="10"/>
      <c r="AW686" s="302"/>
    </row>
    <row r="687" spans="38:49" ht="15" x14ac:dyDescent="0.35">
      <c r="AL687" s="11"/>
      <c r="AM687" s="11"/>
      <c r="AN687" s="354"/>
      <c r="AO687" s="354"/>
      <c r="AP687" s="354"/>
      <c r="AQ687" s="301"/>
      <c r="AR687" s="302"/>
      <c r="AS687" s="302"/>
      <c r="AT687" s="301"/>
      <c r="AU687" s="301"/>
      <c r="AV687" s="10"/>
      <c r="AW687" s="302"/>
    </row>
    <row r="688" spans="38:49" ht="15" x14ac:dyDescent="0.35">
      <c r="AL688" s="11"/>
      <c r="AM688" s="11"/>
      <c r="AN688" s="354"/>
      <c r="AO688" s="354"/>
      <c r="AP688" s="354"/>
      <c r="AQ688" s="301"/>
      <c r="AR688" s="302"/>
      <c r="AS688" s="302"/>
      <c r="AT688" s="301"/>
      <c r="AU688" s="301"/>
      <c r="AV688" s="10"/>
      <c r="AW688" s="302"/>
    </row>
    <row r="689" spans="38:49" ht="15" x14ac:dyDescent="0.35">
      <c r="AL689" s="11"/>
      <c r="AM689" s="11"/>
      <c r="AN689" s="354"/>
      <c r="AO689" s="354"/>
      <c r="AP689" s="354"/>
      <c r="AQ689" s="301"/>
      <c r="AR689" s="302"/>
      <c r="AS689" s="302"/>
      <c r="AT689" s="301"/>
      <c r="AU689" s="301"/>
      <c r="AV689" s="10"/>
      <c r="AW689" s="302"/>
    </row>
    <row r="690" spans="38:49" ht="15" x14ac:dyDescent="0.35">
      <c r="AL690" s="11"/>
      <c r="AM690" s="11"/>
      <c r="AN690" s="354"/>
      <c r="AO690" s="354"/>
      <c r="AP690" s="354"/>
      <c r="AQ690" s="301"/>
      <c r="AR690" s="302"/>
      <c r="AS690" s="302"/>
      <c r="AT690" s="301"/>
      <c r="AU690" s="301"/>
      <c r="AV690" s="10"/>
      <c r="AW690" s="302"/>
    </row>
    <row r="691" spans="38:49" ht="15" x14ac:dyDescent="0.35">
      <c r="AL691" s="11"/>
      <c r="AM691" s="11"/>
      <c r="AN691" s="354"/>
      <c r="AO691" s="354"/>
      <c r="AP691" s="354"/>
      <c r="AQ691" s="301"/>
      <c r="AR691" s="302"/>
      <c r="AS691" s="302"/>
      <c r="AT691" s="301"/>
      <c r="AU691" s="301"/>
      <c r="AV691" s="10"/>
      <c r="AW691" s="302"/>
    </row>
    <row r="692" spans="38:49" ht="15" x14ac:dyDescent="0.35">
      <c r="AL692" s="11"/>
      <c r="AM692" s="11"/>
      <c r="AN692" s="354"/>
      <c r="AO692" s="354"/>
      <c r="AP692" s="354"/>
      <c r="AQ692" s="301"/>
      <c r="AR692" s="302"/>
      <c r="AS692" s="302"/>
      <c r="AT692" s="301"/>
      <c r="AU692" s="301"/>
      <c r="AV692" s="10"/>
      <c r="AW692" s="302"/>
    </row>
    <row r="693" spans="38:49" ht="15" x14ac:dyDescent="0.35">
      <c r="AL693" s="11"/>
      <c r="AM693" s="11"/>
      <c r="AN693" s="354"/>
      <c r="AO693" s="354"/>
      <c r="AP693" s="354"/>
      <c r="AQ693" s="301"/>
      <c r="AR693" s="302"/>
      <c r="AS693" s="302"/>
      <c r="AT693" s="301"/>
      <c r="AU693" s="301"/>
      <c r="AV693" s="10"/>
      <c r="AW693" s="302"/>
    </row>
    <row r="694" spans="38:49" ht="15" x14ac:dyDescent="0.35">
      <c r="AL694" s="11"/>
      <c r="AM694" s="11"/>
      <c r="AN694" s="354"/>
      <c r="AO694" s="354"/>
      <c r="AP694" s="354"/>
      <c r="AQ694" s="301"/>
      <c r="AR694" s="302"/>
      <c r="AS694" s="302"/>
      <c r="AT694" s="301"/>
      <c r="AU694" s="301"/>
      <c r="AV694" s="10"/>
      <c r="AW694" s="302"/>
    </row>
    <row r="695" spans="38:49" ht="15" x14ac:dyDescent="0.35">
      <c r="AL695" s="11"/>
      <c r="AM695" s="11"/>
      <c r="AN695" s="354"/>
      <c r="AO695" s="354"/>
      <c r="AP695" s="354"/>
      <c r="AQ695" s="301"/>
      <c r="AR695" s="302"/>
      <c r="AS695" s="302"/>
      <c r="AT695" s="301"/>
      <c r="AU695" s="301"/>
      <c r="AV695" s="10"/>
      <c r="AW695" s="302"/>
    </row>
    <row r="696" spans="38:49" ht="15" x14ac:dyDescent="0.35">
      <c r="AL696" s="11"/>
      <c r="AM696" s="11"/>
      <c r="AN696" s="354"/>
      <c r="AO696" s="354"/>
      <c r="AP696" s="354"/>
      <c r="AQ696" s="301"/>
      <c r="AR696" s="302"/>
      <c r="AS696" s="302"/>
      <c r="AT696" s="301"/>
      <c r="AU696" s="301"/>
      <c r="AV696" s="10"/>
      <c r="AW696" s="302"/>
    </row>
    <row r="697" spans="38:49" ht="15" x14ac:dyDescent="0.35">
      <c r="AL697" s="11"/>
      <c r="AM697" s="11"/>
      <c r="AN697" s="354"/>
      <c r="AO697" s="354"/>
      <c r="AP697" s="354"/>
      <c r="AQ697" s="301"/>
      <c r="AR697" s="302"/>
      <c r="AS697" s="302"/>
      <c r="AT697" s="301"/>
      <c r="AU697" s="301"/>
      <c r="AV697" s="10"/>
      <c r="AW697" s="302"/>
    </row>
    <row r="698" spans="38:49" ht="15" x14ac:dyDescent="0.35">
      <c r="AL698" s="11"/>
      <c r="AM698" s="11"/>
      <c r="AN698" s="354"/>
      <c r="AO698" s="354"/>
      <c r="AP698" s="354"/>
      <c r="AQ698" s="301"/>
      <c r="AR698" s="302"/>
      <c r="AS698" s="302"/>
      <c r="AT698" s="301"/>
      <c r="AU698" s="301"/>
      <c r="AV698" s="10"/>
      <c r="AW698" s="302"/>
    </row>
    <row r="699" spans="38:49" ht="15" x14ac:dyDescent="0.35">
      <c r="AL699" s="11"/>
      <c r="AM699" s="11"/>
      <c r="AN699" s="354"/>
      <c r="AO699" s="354"/>
      <c r="AP699" s="354"/>
      <c r="AQ699" s="301"/>
      <c r="AR699" s="302"/>
      <c r="AS699" s="302"/>
      <c r="AT699" s="301"/>
      <c r="AU699" s="301"/>
      <c r="AV699" s="10"/>
      <c r="AW699" s="302"/>
    </row>
    <row r="700" spans="38:49" ht="15" x14ac:dyDescent="0.35">
      <c r="AL700" s="11"/>
      <c r="AM700" s="11"/>
      <c r="AN700" s="354"/>
      <c r="AO700" s="354"/>
      <c r="AP700" s="354"/>
      <c r="AQ700" s="301"/>
      <c r="AR700" s="302"/>
      <c r="AS700" s="302"/>
      <c r="AT700" s="301"/>
      <c r="AU700" s="301"/>
      <c r="AV700" s="10"/>
      <c r="AW700" s="302"/>
    </row>
    <row r="701" spans="38:49" ht="15" x14ac:dyDescent="0.35">
      <c r="AL701" s="11"/>
      <c r="AM701" s="11"/>
      <c r="AN701" s="354"/>
      <c r="AO701" s="354"/>
      <c r="AP701" s="354"/>
      <c r="AQ701" s="301"/>
      <c r="AR701" s="302"/>
      <c r="AS701" s="302"/>
      <c r="AT701" s="301"/>
      <c r="AU701" s="301"/>
      <c r="AV701" s="10"/>
      <c r="AW701" s="302"/>
    </row>
    <row r="702" spans="38:49" ht="15" x14ac:dyDescent="0.35">
      <c r="AL702" s="11"/>
      <c r="AM702" s="11"/>
      <c r="AN702" s="354"/>
      <c r="AO702" s="354"/>
      <c r="AP702" s="354"/>
      <c r="AQ702" s="301"/>
      <c r="AR702" s="302"/>
      <c r="AS702" s="302"/>
      <c r="AT702" s="301"/>
      <c r="AU702" s="301"/>
      <c r="AV702" s="10"/>
      <c r="AW702" s="302"/>
    </row>
    <row r="703" spans="38:49" ht="15" x14ac:dyDescent="0.35">
      <c r="AL703" s="11"/>
      <c r="AM703" s="11"/>
      <c r="AN703" s="354"/>
      <c r="AO703" s="354"/>
      <c r="AP703" s="354"/>
      <c r="AQ703" s="301"/>
      <c r="AR703" s="302"/>
      <c r="AS703" s="302"/>
      <c r="AT703" s="301"/>
      <c r="AU703" s="301"/>
      <c r="AV703" s="10"/>
      <c r="AW703" s="302"/>
    </row>
    <row r="704" spans="38:49" ht="15" x14ac:dyDescent="0.35">
      <c r="AL704" s="11"/>
      <c r="AM704" s="11"/>
      <c r="AN704" s="354"/>
      <c r="AO704" s="354"/>
      <c r="AP704" s="354"/>
      <c r="AQ704" s="301"/>
      <c r="AR704" s="302"/>
      <c r="AS704" s="302"/>
      <c r="AT704" s="301"/>
      <c r="AU704" s="301"/>
      <c r="AV704" s="10"/>
      <c r="AW704" s="302"/>
    </row>
    <row r="705" spans="38:49" ht="15" x14ac:dyDescent="0.35">
      <c r="AL705" s="11"/>
      <c r="AM705" s="11"/>
      <c r="AN705" s="354"/>
      <c r="AO705" s="354"/>
      <c r="AP705" s="354"/>
      <c r="AQ705" s="301"/>
      <c r="AR705" s="302"/>
      <c r="AS705" s="302"/>
      <c r="AT705" s="301"/>
      <c r="AU705" s="301"/>
      <c r="AV705" s="10"/>
      <c r="AW705" s="302"/>
    </row>
    <row r="706" spans="38:49" ht="15" x14ac:dyDescent="0.35">
      <c r="AL706" s="11"/>
      <c r="AM706" s="11"/>
      <c r="AN706" s="354"/>
      <c r="AO706" s="354"/>
      <c r="AP706" s="354"/>
      <c r="AQ706" s="301"/>
      <c r="AR706" s="302"/>
      <c r="AS706" s="302"/>
      <c r="AT706" s="301"/>
      <c r="AU706" s="301"/>
      <c r="AV706" s="10"/>
      <c r="AW706" s="302"/>
    </row>
    <row r="707" spans="38:49" ht="15" x14ac:dyDescent="0.35">
      <c r="AL707" s="11"/>
      <c r="AM707" s="11"/>
      <c r="AN707" s="354"/>
      <c r="AO707" s="354"/>
      <c r="AP707" s="354"/>
      <c r="AQ707" s="301"/>
      <c r="AR707" s="302"/>
      <c r="AS707" s="302"/>
      <c r="AT707" s="301"/>
      <c r="AU707" s="301"/>
      <c r="AV707" s="10"/>
      <c r="AW707" s="302"/>
    </row>
    <row r="708" spans="38:49" ht="15" x14ac:dyDescent="0.35">
      <c r="AL708" s="11"/>
      <c r="AM708" s="11"/>
      <c r="AN708" s="354"/>
      <c r="AO708" s="354"/>
      <c r="AP708" s="354"/>
      <c r="AQ708" s="301"/>
      <c r="AR708" s="302"/>
      <c r="AS708" s="302"/>
      <c r="AT708" s="301"/>
      <c r="AU708" s="301"/>
      <c r="AV708" s="10"/>
      <c r="AW708" s="302"/>
    </row>
    <row r="709" spans="38:49" ht="15" x14ac:dyDescent="0.35">
      <c r="AL709" s="11"/>
      <c r="AM709" s="11"/>
      <c r="AN709" s="354"/>
      <c r="AO709" s="354"/>
      <c r="AP709" s="354"/>
      <c r="AQ709" s="301"/>
      <c r="AR709" s="302"/>
      <c r="AS709" s="302"/>
      <c r="AT709" s="301"/>
      <c r="AU709" s="301"/>
      <c r="AV709" s="10"/>
      <c r="AW709" s="302"/>
    </row>
    <row r="710" spans="38:49" ht="15" x14ac:dyDescent="0.35">
      <c r="AL710" s="11"/>
      <c r="AM710" s="11"/>
      <c r="AN710" s="354"/>
      <c r="AO710" s="354"/>
      <c r="AP710" s="354"/>
      <c r="AQ710" s="301"/>
      <c r="AR710" s="302"/>
      <c r="AS710" s="302"/>
      <c r="AT710" s="301"/>
      <c r="AU710" s="301"/>
      <c r="AV710" s="10"/>
      <c r="AW710" s="302"/>
    </row>
    <row r="711" spans="38:49" ht="15" x14ac:dyDescent="0.35">
      <c r="AL711" s="11"/>
      <c r="AM711" s="11"/>
      <c r="AN711" s="354"/>
      <c r="AO711" s="354"/>
      <c r="AP711" s="354"/>
      <c r="AQ711" s="301"/>
      <c r="AR711" s="302"/>
      <c r="AS711" s="302"/>
      <c r="AT711" s="301"/>
      <c r="AU711" s="301"/>
      <c r="AV711" s="10"/>
      <c r="AW711" s="302"/>
    </row>
    <row r="712" spans="38:49" ht="15" x14ac:dyDescent="0.35">
      <c r="AL712" s="11"/>
      <c r="AM712" s="11"/>
      <c r="AN712" s="354"/>
      <c r="AO712" s="354"/>
      <c r="AP712" s="354"/>
      <c r="AQ712" s="301"/>
      <c r="AR712" s="302"/>
      <c r="AS712" s="302"/>
      <c r="AT712" s="301"/>
      <c r="AU712" s="301"/>
      <c r="AV712" s="10"/>
      <c r="AW712" s="302"/>
    </row>
    <row r="713" spans="38:49" ht="15" x14ac:dyDescent="0.35">
      <c r="AL713" s="11"/>
      <c r="AM713" s="11"/>
      <c r="AN713" s="354"/>
      <c r="AO713" s="354"/>
      <c r="AP713" s="354"/>
      <c r="AQ713" s="301"/>
      <c r="AR713" s="302"/>
      <c r="AS713" s="302"/>
      <c r="AT713" s="301"/>
      <c r="AU713" s="301"/>
      <c r="AV713" s="10"/>
      <c r="AW713" s="302"/>
    </row>
    <row r="714" spans="38:49" ht="15" x14ac:dyDescent="0.35">
      <c r="AL714" s="11"/>
      <c r="AM714" s="11"/>
      <c r="AN714" s="354"/>
      <c r="AO714" s="354"/>
      <c r="AP714" s="354"/>
      <c r="AQ714" s="301"/>
      <c r="AR714" s="302"/>
      <c r="AS714" s="302"/>
      <c r="AT714" s="301"/>
      <c r="AU714" s="301"/>
      <c r="AV714" s="10"/>
      <c r="AW714" s="302"/>
    </row>
    <row r="715" spans="38:49" ht="15" x14ac:dyDescent="0.35">
      <c r="AL715" s="11"/>
      <c r="AM715" s="11"/>
      <c r="AN715" s="354"/>
      <c r="AO715" s="354"/>
      <c r="AP715" s="354"/>
      <c r="AQ715" s="301"/>
      <c r="AR715" s="302"/>
      <c r="AS715" s="302"/>
      <c r="AT715" s="301"/>
      <c r="AU715" s="301"/>
      <c r="AV715" s="10"/>
      <c r="AW715" s="302"/>
    </row>
    <row r="716" spans="38:49" ht="15" x14ac:dyDescent="0.35">
      <c r="AL716" s="11"/>
      <c r="AM716" s="11"/>
      <c r="AN716" s="354"/>
      <c r="AO716" s="354"/>
      <c r="AP716" s="354"/>
      <c r="AQ716" s="301"/>
      <c r="AR716" s="302"/>
      <c r="AS716" s="302"/>
      <c r="AT716" s="301"/>
      <c r="AU716" s="301"/>
      <c r="AV716" s="10"/>
      <c r="AW716" s="302"/>
    </row>
    <row r="717" spans="38:49" ht="15" x14ac:dyDescent="0.35">
      <c r="AL717" s="11"/>
      <c r="AM717" s="11"/>
      <c r="AN717" s="354"/>
      <c r="AO717" s="354"/>
      <c r="AP717" s="354"/>
      <c r="AQ717" s="301"/>
      <c r="AR717" s="302"/>
      <c r="AS717" s="302"/>
      <c r="AT717" s="301"/>
      <c r="AU717" s="301"/>
      <c r="AV717" s="10"/>
      <c r="AW717" s="302"/>
    </row>
    <row r="718" spans="38:49" ht="15" x14ac:dyDescent="0.35">
      <c r="AL718" s="11"/>
      <c r="AM718" s="11"/>
      <c r="AN718" s="354"/>
      <c r="AO718" s="354"/>
      <c r="AP718" s="354"/>
      <c r="AQ718" s="301"/>
      <c r="AR718" s="302"/>
      <c r="AS718" s="302"/>
      <c r="AT718" s="301"/>
      <c r="AU718" s="301"/>
      <c r="AV718" s="10"/>
      <c r="AW718" s="302"/>
    </row>
    <row r="719" spans="38:49" ht="15" x14ac:dyDescent="0.35">
      <c r="AL719" s="11"/>
      <c r="AM719" s="11"/>
      <c r="AN719" s="354"/>
      <c r="AO719" s="354"/>
      <c r="AP719" s="354"/>
      <c r="AQ719" s="301"/>
      <c r="AR719" s="302"/>
      <c r="AS719" s="302"/>
      <c r="AT719" s="301"/>
      <c r="AU719" s="301"/>
      <c r="AV719" s="10"/>
      <c r="AW719" s="302"/>
    </row>
    <row r="720" spans="38:49" ht="15" x14ac:dyDescent="0.35">
      <c r="AL720" s="11"/>
      <c r="AM720" s="11"/>
      <c r="AN720" s="354"/>
      <c r="AO720" s="354"/>
      <c r="AP720" s="354"/>
      <c r="AQ720" s="301"/>
      <c r="AR720" s="302"/>
      <c r="AS720" s="302"/>
      <c r="AT720" s="301"/>
      <c r="AU720" s="301"/>
      <c r="AV720" s="10"/>
      <c r="AW720" s="302"/>
    </row>
    <row r="721" spans="38:49" ht="15" x14ac:dyDescent="0.35">
      <c r="AL721" s="11"/>
      <c r="AM721" s="11"/>
      <c r="AN721" s="354"/>
      <c r="AO721" s="354"/>
      <c r="AP721" s="354"/>
      <c r="AQ721" s="301"/>
      <c r="AR721" s="302"/>
      <c r="AS721" s="302"/>
      <c r="AT721" s="301"/>
      <c r="AU721" s="301"/>
      <c r="AV721" s="10"/>
      <c r="AW721" s="302"/>
    </row>
    <row r="722" spans="38:49" ht="15" x14ac:dyDescent="0.35">
      <c r="AL722" s="11"/>
      <c r="AM722" s="11"/>
      <c r="AN722" s="354"/>
      <c r="AO722" s="354"/>
      <c r="AP722" s="354"/>
      <c r="AQ722" s="301"/>
      <c r="AR722" s="302"/>
      <c r="AS722" s="302"/>
      <c r="AT722" s="301"/>
      <c r="AU722" s="301"/>
      <c r="AV722" s="10"/>
      <c r="AW722" s="302"/>
    </row>
    <row r="723" spans="38:49" ht="15" x14ac:dyDescent="0.35">
      <c r="AL723" s="11"/>
      <c r="AM723" s="11"/>
      <c r="AN723" s="354"/>
      <c r="AO723" s="354"/>
      <c r="AP723" s="354"/>
      <c r="AQ723" s="301"/>
      <c r="AR723" s="302"/>
      <c r="AS723" s="302"/>
      <c r="AT723" s="301"/>
      <c r="AU723" s="301"/>
      <c r="AV723" s="10"/>
      <c r="AW723" s="302"/>
    </row>
    <row r="724" spans="38:49" ht="15" x14ac:dyDescent="0.35">
      <c r="AL724" s="11"/>
      <c r="AM724" s="11"/>
      <c r="AN724" s="354"/>
      <c r="AO724" s="354"/>
      <c r="AP724" s="354"/>
      <c r="AQ724" s="301"/>
      <c r="AR724" s="302"/>
      <c r="AS724" s="302"/>
      <c r="AT724" s="301"/>
      <c r="AU724" s="301"/>
      <c r="AV724" s="10"/>
      <c r="AW724" s="302"/>
    </row>
    <row r="725" spans="38:49" ht="15" x14ac:dyDescent="0.35">
      <c r="AL725" s="11"/>
      <c r="AM725" s="11"/>
      <c r="AN725" s="354"/>
      <c r="AO725" s="354"/>
      <c r="AP725" s="354"/>
      <c r="AQ725" s="301"/>
      <c r="AR725" s="302"/>
      <c r="AS725" s="302"/>
      <c r="AT725" s="301"/>
      <c r="AU725" s="301"/>
      <c r="AV725" s="10"/>
      <c r="AW725" s="302"/>
    </row>
    <row r="726" spans="38:49" ht="15" x14ac:dyDescent="0.35">
      <c r="AL726" s="11"/>
      <c r="AM726" s="11"/>
      <c r="AN726" s="354"/>
      <c r="AO726" s="354"/>
      <c r="AP726" s="354"/>
      <c r="AQ726" s="301"/>
      <c r="AR726" s="302"/>
      <c r="AS726" s="302"/>
      <c r="AT726" s="301"/>
      <c r="AU726" s="301"/>
      <c r="AV726" s="10"/>
      <c r="AW726" s="302"/>
    </row>
    <row r="727" spans="38:49" ht="15" x14ac:dyDescent="0.35">
      <c r="AL727" s="11"/>
      <c r="AM727" s="11"/>
      <c r="AN727" s="354"/>
      <c r="AO727" s="354"/>
      <c r="AP727" s="354"/>
      <c r="AQ727" s="301"/>
      <c r="AR727" s="302"/>
      <c r="AS727" s="302"/>
      <c r="AT727" s="301"/>
      <c r="AU727" s="301"/>
      <c r="AV727" s="10"/>
      <c r="AW727" s="302"/>
    </row>
    <row r="728" spans="38:49" ht="15" x14ac:dyDescent="0.35">
      <c r="AL728" s="11"/>
      <c r="AM728" s="11"/>
      <c r="AN728" s="354"/>
      <c r="AO728" s="354"/>
      <c r="AP728" s="354"/>
      <c r="AQ728" s="301"/>
      <c r="AR728" s="302"/>
      <c r="AS728" s="302"/>
      <c r="AT728" s="301"/>
      <c r="AU728" s="301"/>
      <c r="AV728" s="10"/>
      <c r="AW728" s="302"/>
    </row>
    <row r="729" spans="38:49" ht="15" x14ac:dyDescent="0.35">
      <c r="AL729" s="11"/>
      <c r="AM729" s="11"/>
      <c r="AN729" s="354"/>
      <c r="AO729" s="354"/>
      <c r="AP729" s="354"/>
      <c r="AQ729" s="301"/>
      <c r="AR729" s="302"/>
      <c r="AS729" s="302"/>
      <c r="AT729" s="301"/>
      <c r="AU729" s="301"/>
      <c r="AV729" s="10"/>
      <c r="AW729" s="302"/>
    </row>
    <row r="730" spans="38:49" ht="15" x14ac:dyDescent="0.35">
      <c r="AL730" s="11"/>
      <c r="AM730" s="11"/>
      <c r="AN730" s="354"/>
      <c r="AO730" s="354"/>
      <c r="AP730" s="354"/>
      <c r="AQ730" s="301"/>
      <c r="AR730" s="302"/>
      <c r="AS730" s="302"/>
      <c r="AT730" s="301"/>
      <c r="AU730" s="301"/>
      <c r="AV730" s="10"/>
      <c r="AW730" s="302"/>
    </row>
    <row r="731" spans="38:49" ht="15" x14ac:dyDescent="0.35">
      <c r="AL731" s="11"/>
      <c r="AM731" s="11"/>
      <c r="AN731" s="354"/>
      <c r="AO731" s="354"/>
      <c r="AP731" s="354"/>
      <c r="AQ731" s="301"/>
      <c r="AR731" s="302"/>
      <c r="AS731" s="302"/>
      <c r="AT731" s="301"/>
      <c r="AU731" s="301"/>
      <c r="AV731" s="10"/>
      <c r="AW731" s="302"/>
    </row>
    <row r="732" spans="38:49" ht="15" x14ac:dyDescent="0.35">
      <c r="AL732" s="11"/>
      <c r="AM732" s="11"/>
      <c r="AN732" s="354"/>
      <c r="AO732" s="354"/>
      <c r="AP732" s="354"/>
      <c r="AQ732" s="301"/>
      <c r="AR732" s="302"/>
      <c r="AS732" s="302"/>
      <c r="AT732" s="301"/>
      <c r="AU732" s="301"/>
      <c r="AV732" s="10"/>
      <c r="AW732" s="302"/>
    </row>
    <row r="733" spans="38:49" ht="15" x14ac:dyDescent="0.35">
      <c r="AL733" s="11"/>
      <c r="AM733" s="11"/>
      <c r="AN733" s="354"/>
      <c r="AO733" s="354"/>
      <c r="AP733" s="354"/>
      <c r="AQ733" s="301"/>
      <c r="AR733" s="302"/>
      <c r="AS733" s="302"/>
      <c r="AT733" s="301"/>
      <c r="AU733" s="301"/>
      <c r="AV733" s="10"/>
      <c r="AW733" s="302"/>
    </row>
    <row r="734" spans="38:49" ht="15" x14ac:dyDescent="0.35">
      <c r="AL734" s="11"/>
      <c r="AM734" s="11"/>
      <c r="AN734" s="354"/>
      <c r="AO734" s="354"/>
      <c r="AP734" s="354"/>
      <c r="AQ734" s="301"/>
      <c r="AR734" s="302"/>
      <c r="AS734" s="302"/>
      <c r="AT734" s="301"/>
      <c r="AU734" s="301"/>
      <c r="AV734" s="10"/>
      <c r="AW734" s="302"/>
    </row>
    <row r="735" spans="38:49" ht="15" x14ac:dyDescent="0.35">
      <c r="AL735" s="11"/>
      <c r="AM735" s="11"/>
      <c r="AN735" s="354"/>
      <c r="AO735" s="354"/>
      <c r="AP735" s="354"/>
      <c r="AQ735" s="301"/>
      <c r="AR735" s="302"/>
      <c r="AS735" s="302"/>
      <c r="AT735" s="301"/>
      <c r="AU735" s="301"/>
      <c r="AV735" s="10"/>
      <c r="AW735" s="302"/>
    </row>
    <row r="736" spans="38:49" ht="15" x14ac:dyDescent="0.35">
      <c r="AL736" s="11"/>
      <c r="AM736" s="11"/>
      <c r="AN736" s="354"/>
      <c r="AO736" s="354"/>
      <c r="AP736" s="354"/>
      <c r="AQ736" s="301"/>
      <c r="AR736" s="302"/>
      <c r="AS736" s="302"/>
      <c r="AT736" s="301"/>
      <c r="AU736" s="301"/>
      <c r="AV736" s="10"/>
      <c r="AW736" s="302"/>
    </row>
    <row r="737" spans="38:49" ht="15" x14ac:dyDescent="0.35">
      <c r="AL737" s="11"/>
      <c r="AM737" s="11"/>
      <c r="AN737" s="354"/>
      <c r="AO737" s="354"/>
      <c r="AP737" s="354"/>
      <c r="AQ737" s="301"/>
      <c r="AR737" s="302"/>
      <c r="AS737" s="302"/>
      <c r="AT737" s="301"/>
      <c r="AU737" s="301"/>
      <c r="AV737" s="10"/>
      <c r="AW737" s="302"/>
    </row>
    <row r="738" spans="38:49" ht="15" x14ac:dyDescent="0.35">
      <c r="AL738" s="11"/>
      <c r="AM738" s="11"/>
      <c r="AN738" s="354"/>
      <c r="AO738" s="354"/>
      <c r="AP738" s="354"/>
      <c r="AQ738" s="301"/>
      <c r="AR738" s="302"/>
      <c r="AS738" s="302"/>
      <c r="AT738" s="301"/>
      <c r="AU738" s="301"/>
      <c r="AV738" s="10"/>
      <c r="AW738" s="302"/>
    </row>
    <row r="739" spans="38:49" ht="15" x14ac:dyDescent="0.35">
      <c r="AL739" s="11"/>
      <c r="AM739" s="11"/>
      <c r="AN739" s="354"/>
      <c r="AO739" s="354"/>
      <c r="AP739" s="354"/>
      <c r="AQ739" s="301"/>
      <c r="AR739" s="302"/>
      <c r="AS739" s="302"/>
      <c r="AT739" s="301"/>
      <c r="AU739" s="301"/>
      <c r="AV739" s="10"/>
      <c r="AW739" s="302"/>
    </row>
    <row r="740" spans="38:49" ht="15" x14ac:dyDescent="0.35">
      <c r="AL740" s="11"/>
      <c r="AM740" s="11"/>
      <c r="AN740" s="354"/>
      <c r="AO740" s="354"/>
      <c r="AP740" s="354"/>
      <c r="AQ740" s="301"/>
      <c r="AR740" s="302"/>
      <c r="AS740" s="302"/>
      <c r="AT740" s="301"/>
      <c r="AU740" s="301"/>
      <c r="AV740" s="10"/>
      <c r="AW740" s="302"/>
    </row>
    <row r="741" spans="38:49" ht="15" x14ac:dyDescent="0.35">
      <c r="AL741" s="11"/>
      <c r="AM741" s="11"/>
      <c r="AN741" s="354"/>
      <c r="AO741" s="354"/>
      <c r="AP741" s="354"/>
      <c r="AQ741" s="301"/>
      <c r="AR741" s="302"/>
      <c r="AS741" s="302"/>
      <c r="AT741" s="301"/>
      <c r="AU741" s="301"/>
      <c r="AV741" s="10"/>
      <c r="AW741" s="302"/>
    </row>
    <row r="742" spans="38:49" ht="15" x14ac:dyDescent="0.35">
      <c r="AL742" s="11"/>
      <c r="AM742" s="11"/>
      <c r="AN742" s="354"/>
      <c r="AO742" s="354"/>
      <c r="AP742" s="354"/>
      <c r="AQ742" s="301"/>
      <c r="AR742" s="302"/>
      <c r="AS742" s="302"/>
      <c r="AT742" s="301"/>
      <c r="AU742" s="301"/>
      <c r="AV742" s="10"/>
      <c r="AW742" s="302"/>
    </row>
    <row r="743" spans="38:49" ht="15" x14ac:dyDescent="0.35">
      <c r="AL743" s="11"/>
      <c r="AM743" s="11"/>
      <c r="AN743" s="354"/>
      <c r="AO743" s="354"/>
      <c r="AP743" s="354"/>
      <c r="AQ743" s="301"/>
      <c r="AR743" s="302"/>
      <c r="AS743" s="302"/>
      <c r="AT743" s="301"/>
      <c r="AU743" s="301"/>
      <c r="AV743" s="10"/>
      <c r="AW743" s="302"/>
    </row>
    <row r="744" spans="38:49" ht="15" x14ac:dyDescent="0.35">
      <c r="AL744" s="11"/>
      <c r="AM744" s="11"/>
      <c r="AN744" s="354"/>
      <c r="AO744" s="354"/>
      <c r="AP744" s="354"/>
      <c r="AQ744" s="301"/>
      <c r="AR744" s="302"/>
      <c r="AS744" s="302"/>
      <c r="AT744" s="301"/>
      <c r="AU744" s="301"/>
      <c r="AV744" s="10"/>
      <c r="AW744" s="302"/>
    </row>
    <row r="745" spans="38:49" ht="15" x14ac:dyDescent="0.35">
      <c r="AL745" s="11"/>
      <c r="AM745" s="11"/>
      <c r="AN745" s="354"/>
      <c r="AO745" s="354"/>
      <c r="AP745" s="354"/>
      <c r="AQ745" s="301"/>
      <c r="AR745" s="302"/>
      <c r="AS745" s="302"/>
      <c r="AT745" s="301"/>
      <c r="AU745" s="301"/>
      <c r="AV745" s="10"/>
      <c r="AW745" s="302"/>
    </row>
    <row r="746" spans="38:49" ht="15" x14ac:dyDescent="0.35">
      <c r="AL746" s="11"/>
      <c r="AM746" s="11"/>
      <c r="AN746" s="354"/>
      <c r="AO746" s="354"/>
      <c r="AP746" s="354"/>
      <c r="AQ746" s="301"/>
      <c r="AR746" s="302"/>
      <c r="AS746" s="302"/>
      <c r="AT746" s="301"/>
      <c r="AU746" s="301"/>
      <c r="AV746" s="10"/>
      <c r="AW746" s="302"/>
    </row>
    <row r="747" spans="38:49" ht="15" x14ac:dyDescent="0.35">
      <c r="AL747" s="11"/>
      <c r="AM747" s="11"/>
      <c r="AN747" s="354"/>
      <c r="AO747" s="354"/>
      <c r="AP747" s="354"/>
      <c r="AQ747" s="301"/>
      <c r="AR747" s="302"/>
      <c r="AS747" s="302"/>
      <c r="AT747" s="301"/>
      <c r="AU747" s="301"/>
      <c r="AV747" s="10"/>
      <c r="AW747" s="302"/>
    </row>
    <row r="748" spans="38:49" ht="15" x14ac:dyDescent="0.35">
      <c r="AL748" s="11"/>
      <c r="AM748" s="11"/>
      <c r="AN748" s="354"/>
      <c r="AO748" s="354"/>
      <c r="AP748" s="354"/>
      <c r="AQ748" s="301"/>
      <c r="AR748" s="302"/>
      <c r="AS748" s="302"/>
      <c r="AT748" s="301"/>
      <c r="AU748" s="301"/>
      <c r="AV748" s="10"/>
      <c r="AW748" s="302"/>
    </row>
    <row r="749" spans="38:49" ht="15" x14ac:dyDescent="0.35">
      <c r="AL749" s="11"/>
      <c r="AM749" s="11"/>
      <c r="AN749" s="354"/>
      <c r="AO749" s="354"/>
      <c r="AP749" s="354"/>
      <c r="AQ749" s="301"/>
      <c r="AR749" s="302"/>
      <c r="AS749" s="302"/>
      <c r="AT749" s="301"/>
      <c r="AU749" s="301"/>
      <c r="AV749" s="10"/>
      <c r="AW749" s="302"/>
    </row>
    <row r="750" spans="38:49" ht="15" x14ac:dyDescent="0.35">
      <c r="AL750" s="11"/>
      <c r="AM750" s="11"/>
      <c r="AN750" s="354"/>
      <c r="AO750" s="354"/>
      <c r="AP750" s="354"/>
      <c r="AQ750" s="301"/>
      <c r="AR750" s="302"/>
      <c r="AS750" s="302"/>
      <c r="AT750" s="301"/>
      <c r="AU750" s="301"/>
      <c r="AV750" s="10"/>
      <c r="AW750" s="302"/>
    </row>
    <row r="751" spans="38:49" ht="15" x14ac:dyDescent="0.35">
      <c r="AL751" s="11"/>
      <c r="AM751" s="11"/>
      <c r="AN751" s="354"/>
      <c r="AO751" s="354"/>
      <c r="AP751" s="354"/>
      <c r="AQ751" s="301"/>
      <c r="AR751" s="302"/>
      <c r="AS751" s="302"/>
      <c r="AT751" s="301"/>
      <c r="AU751" s="301"/>
      <c r="AV751" s="10"/>
      <c r="AW751" s="302"/>
    </row>
    <row r="752" spans="38:49" ht="15" x14ac:dyDescent="0.35">
      <c r="AL752" s="11"/>
      <c r="AM752" s="11"/>
      <c r="AN752" s="354"/>
      <c r="AO752" s="354"/>
      <c r="AP752" s="354"/>
      <c r="AQ752" s="301"/>
      <c r="AR752" s="302"/>
      <c r="AS752" s="302"/>
      <c r="AT752" s="301"/>
      <c r="AU752" s="301"/>
      <c r="AV752" s="10"/>
      <c r="AW752" s="302"/>
    </row>
    <row r="753" spans="38:49" ht="15" x14ac:dyDescent="0.35">
      <c r="AL753" s="11"/>
      <c r="AM753" s="11"/>
      <c r="AN753" s="354"/>
      <c r="AO753" s="354"/>
      <c r="AP753" s="354"/>
      <c r="AQ753" s="301"/>
      <c r="AR753" s="302"/>
      <c r="AS753" s="302"/>
      <c r="AT753" s="301"/>
      <c r="AU753" s="301"/>
      <c r="AV753" s="10"/>
      <c r="AW753" s="302"/>
    </row>
    <row r="754" spans="38:49" ht="15" x14ac:dyDescent="0.35">
      <c r="AL754" s="11"/>
      <c r="AM754" s="11"/>
      <c r="AN754" s="354"/>
      <c r="AO754" s="354"/>
      <c r="AP754" s="354"/>
      <c r="AQ754" s="301"/>
      <c r="AR754" s="302"/>
      <c r="AS754" s="302"/>
      <c r="AT754" s="301"/>
      <c r="AU754" s="301"/>
      <c r="AV754" s="10"/>
      <c r="AW754" s="302"/>
    </row>
    <row r="755" spans="38:49" ht="15" x14ac:dyDescent="0.35">
      <c r="AL755" s="11"/>
      <c r="AM755" s="11"/>
      <c r="AN755" s="354"/>
      <c r="AO755" s="354"/>
      <c r="AP755" s="354"/>
      <c r="AQ755" s="301"/>
      <c r="AR755" s="302"/>
      <c r="AS755" s="302"/>
      <c r="AT755" s="301"/>
      <c r="AU755" s="301"/>
      <c r="AV755" s="10"/>
      <c r="AW755" s="302"/>
    </row>
    <row r="756" spans="38:49" ht="15" x14ac:dyDescent="0.35">
      <c r="AL756" s="11"/>
      <c r="AM756" s="11"/>
      <c r="AN756" s="354"/>
      <c r="AO756" s="354"/>
      <c r="AP756" s="354"/>
      <c r="AQ756" s="301"/>
      <c r="AR756" s="302"/>
      <c r="AS756" s="302"/>
      <c r="AT756" s="301"/>
      <c r="AU756" s="301"/>
      <c r="AV756" s="10"/>
      <c r="AW756" s="302"/>
    </row>
    <row r="757" spans="38:49" ht="15" x14ac:dyDescent="0.35">
      <c r="AL757" s="11"/>
      <c r="AM757" s="11"/>
      <c r="AN757" s="354"/>
      <c r="AO757" s="354"/>
      <c r="AP757" s="354"/>
      <c r="AQ757" s="301"/>
      <c r="AR757" s="302"/>
      <c r="AS757" s="302"/>
      <c r="AT757" s="301"/>
      <c r="AU757" s="301"/>
      <c r="AV757" s="10"/>
      <c r="AW757" s="302"/>
    </row>
    <row r="758" spans="38:49" ht="15" x14ac:dyDescent="0.35">
      <c r="AL758" s="11"/>
      <c r="AM758" s="11"/>
      <c r="AN758" s="354"/>
      <c r="AO758" s="354"/>
      <c r="AP758" s="354"/>
      <c r="AQ758" s="301"/>
      <c r="AR758" s="302"/>
      <c r="AS758" s="302"/>
      <c r="AT758" s="301"/>
      <c r="AU758" s="301"/>
      <c r="AV758" s="10"/>
      <c r="AW758" s="302"/>
    </row>
    <row r="759" spans="38:49" ht="15" x14ac:dyDescent="0.35">
      <c r="AL759" s="11"/>
      <c r="AM759" s="11"/>
      <c r="AN759" s="354"/>
      <c r="AO759" s="354"/>
      <c r="AP759" s="354"/>
      <c r="AQ759" s="301"/>
      <c r="AR759" s="302"/>
      <c r="AS759" s="302"/>
      <c r="AT759" s="301"/>
      <c r="AU759" s="301"/>
      <c r="AV759" s="10"/>
      <c r="AW759" s="302"/>
    </row>
    <row r="760" spans="38:49" ht="15" x14ac:dyDescent="0.35">
      <c r="AL760" s="11"/>
      <c r="AM760" s="11"/>
      <c r="AN760" s="354"/>
      <c r="AO760" s="354"/>
      <c r="AP760" s="354"/>
      <c r="AQ760" s="301"/>
      <c r="AR760" s="302"/>
      <c r="AS760" s="302"/>
      <c r="AT760" s="301"/>
      <c r="AU760" s="301"/>
      <c r="AV760" s="10"/>
      <c r="AW760" s="302"/>
    </row>
    <row r="761" spans="38:49" ht="15" x14ac:dyDescent="0.35">
      <c r="AL761" s="11"/>
      <c r="AM761" s="11"/>
      <c r="AN761" s="354"/>
      <c r="AO761" s="354"/>
      <c r="AP761" s="354"/>
      <c r="AQ761" s="301"/>
      <c r="AR761" s="302"/>
      <c r="AS761" s="302"/>
      <c r="AT761" s="301"/>
      <c r="AU761" s="301"/>
      <c r="AV761" s="10"/>
      <c r="AW761" s="302"/>
    </row>
    <row r="762" spans="38:49" ht="15" x14ac:dyDescent="0.35">
      <c r="AL762" s="11"/>
      <c r="AM762" s="11"/>
      <c r="AN762" s="354"/>
      <c r="AO762" s="354"/>
      <c r="AP762" s="354"/>
      <c r="AQ762" s="301"/>
      <c r="AR762" s="302"/>
      <c r="AS762" s="302"/>
      <c r="AT762" s="301"/>
      <c r="AU762" s="301"/>
      <c r="AV762" s="10"/>
      <c r="AW762" s="302"/>
    </row>
    <row r="763" spans="38:49" ht="15" x14ac:dyDescent="0.35">
      <c r="AL763" s="11"/>
      <c r="AM763" s="11"/>
      <c r="AN763" s="354"/>
      <c r="AO763" s="354"/>
      <c r="AP763" s="354"/>
      <c r="AQ763" s="301"/>
      <c r="AR763" s="302"/>
      <c r="AS763" s="302"/>
      <c r="AT763" s="301"/>
      <c r="AU763" s="301"/>
      <c r="AV763" s="10"/>
      <c r="AW763" s="302"/>
    </row>
    <row r="764" spans="38:49" ht="15" x14ac:dyDescent="0.35">
      <c r="AL764" s="11"/>
      <c r="AM764" s="11"/>
      <c r="AN764" s="354"/>
      <c r="AO764" s="354"/>
      <c r="AP764" s="354"/>
      <c r="AQ764" s="301"/>
      <c r="AR764" s="302"/>
      <c r="AS764" s="302"/>
      <c r="AT764" s="301"/>
      <c r="AU764" s="301"/>
      <c r="AV764" s="10"/>
      <c r="AW764" s="302"/>
    </row>
    <row r="765" spans="38:49" ht="15" x14ac:dyDescent="0.35">
      <c r="AL765" s="11"/>
      <c r="AM765" s="11"/>
      <c r="AN765" s="354"/>
      <c r="AO765" s="354"/>
      <c r="AP765" s="354"/>
      <c r="AQ765" s="301"/>
      <c r="AR765" s="302"/>
      <c r="AS765" s="302"/>
      <c r="AT765" s="301"/>
      <c r="AU765" s="301"/>
      <c r="AV765" s="10"/>
      <c r="AW765" s="302"/>
    </row>
    <row r="766" spans="38:49" ht="15" x14ac:dyDescent="0.35">
      <c r="AL766" s="11"/>
      <c r="AM766" s="11"/>
      <c r="AN766" s="354"/>
      <c r="AO766" s="354"/>
      <c r="AP766" s="354"/>
      <c r="AQ766" s="301"/>
      <c r="AR766" s="302"/>
      <c r="AS766" s="302"/>
      <c r="AT766" s="301"/>
      <c r="AU766" s="301"/>
      <c r="AV766" s="10"/>
      <c r="AW766" s="302"/>
    </row>
    <row r="767" spans="38:49" ht="15" x14ac:dyDescent="0.35">
      <c r="AL767" s="11"/>
      <c r="AM767" s="11"/>
      <c r="AN767" s="354"/>
      <c r="AO767" s="354"/>
      <c r="AP767" s="354"/>
      <c r="AQ767" s="301"/>
      <c r="AR767" s="302"/>
      <c r="AS767" s="302"/>
      <c r="AT767" s="301"/>
      <c r="AU767" s="301"/>
      <c r="AV767" s="10"/>
      <c r="AW767" s="302"/>
    </row>
    <row r="768" spans="38:49" ht="15" x14ac:dyDescent="0.35">
      <c r="AL768" s="11"/>
      <c r="AM768" s="11"/>
      <c r="AN768" s="354"/>
      <c r="AO768" s="354"/>
      <c r="AP768" s="354"/>
      <c r="AQ768" s="301"/>
      <c r="AR768" s="302"/>
      <c r="AS768" s="302"/>
      <c r="AT768" s="301"/>
      <c r="AU768" s="301"/>
      <c r="AV768" s="10"/>
      <c r="AW768" s="302"/>
    </row>
    <row r="769" spans="38:49" ht="15" x14ac:dyDescent="0.35">
      <c r="AL769" s="11"/>
      <c r="AM769" s="11"/>
      <c r="AN769" s="354"/>
      <c r="AO769" s="354"/>
      <c r="AP769" s="354"/>
      <c r="AQ769" s="301"/>
      <c r="AR769" s="302"/>
      <c r="AS769" s="302"/>
      <c r="AT769" s="301"/>
      <c r="AU769" s="301"/>
      <c r="AV769" s="10"/>
      <c r="AW769" s="302"/>
    </row>
    <row r="770" spans="38:49" ht="15" x14ac:dyDescent="0.35">
      <c r="AL770" s="11"/>
      <c r="AM770" s="11"/>
      <c r="AN770" s="354"/>
      <c r="AO770" s="354"/>
      <c r="AP770" s="354"/>
      <c r="AQ770" s="301"/>
      <c r="AR770" s="302"/>
      <c r="AS770" s="302"/>
      <c r="AT770" s="301"/>
      <c r="AU770" s="301"/>
      <c r="AV770" s="10"/>
      <c r="AW770" s="302"/>
    </row>
  </sheetData>
  <sheetProtection algorithmName="SHA-512" hashValue="xoaUD/67VYhEYsow9QycX8/S8zo/wSino8ckFjOHbYYGpZZPEJCa4L202OzkvXEMCNqcO5ZTkXjE16mkWmymIQ==" saltValue="nMnH5IefDprKD/XVJqkV4g==" spinCount="100000" sheet="1" selectLockedCells="1"/>
  <dataConsolidate/>
  <mergeCells count="175">
    <mergeCell ref="AA37:AB37"/>
    <mergeCell ref="H48:AD48"/>
    <mergeCell ref="T56:X56"/>
    <mergeCell ref="T57:X57"/>
    <mergeCell ref="T58:X58"/>
    <mergeCell ref="T49:X49"/>
    <mergeCell ref="T50:X50"/>
    <mergeCell ref="AA29:AC29"/>
    <mergeCell ref="T32:X32"/>
    <mergeCell ref="AA32:AB32"/>
    <mergeCell ref="AA30:AC30"/>
    <mergeCell ref="AA31:AC31"/>
    <mergeCell ref="AA35:AB35"/>
    <mergeCell ref="H41:X42"/>
    <mergeCell ref="T43:AD43"/>
    <mergeCell ref="T72:X72"/>
    <mergeCell ref="Y80:Z80"/>
    <mergeCell ref="AD8:AD9"/>
    <mergeCell ref="T28:V29"/>
    <mergeCell ref="AA28:AC28"/>
    <mergeCell ref="AA33:AC33"/>
    <mergeCell ref="AA19:AC19"/>
    <mergeCell ref="AA12:AC12"/>
    <mergeCell ref="AA13:AC13"/>
    <mergeCell ref="AA14:AC14"/>
    <mergeCell ref="T9:X9"/>
    <mergeCell ref="T54:X54"/>
    <mergeCell ref="T53:X53"/>
    <mergeCell ref="T52:X52"/>
    <mergeCell ref="T51:X51"/>
    <mergeCell ref="T74:X74"/>
    <mergeCell ref="AA34:AC34"/>
    <mergeCell ref="AA38:AC38"/>
    <mergeCell ref="T59:X59"/>
    <mergeCell ref="T60:X60"/>
    <mergeCell ref="T61:X61"/>
    <mergeCell ref="T62:X62"/>
    <mergeCell ref="T63:X63"/>
    <mergeCell ref="T77:X77"/>
    <mergeCell ref="T78:X78"/>
    <mergeCell ref="T79:X79"/>
    <mergeCell ref="T80:X80"/>
    <mergeCell ref="T55:X55"/>
    <mergeCell ref="H1:AD1"/>
    <mergeCell ref="AA26:AC26"/>
    <mergeCell ref="H2:AD2"/>
    <mergeCell ref="AD22:AD24"/>
    <mergeCell ref="T23:Z23"/>
    <mergeCell ref="T24:Z24"/>
    <mergeCell ref="T22:Z22"/>
    <mergeCell ref="T19:V19"/>
    <mergeCell ref="AA5:AC5"/>
    <mergeCell ref="AA7:AC7"/>
    <mergeCell ref="AA8:AC8"/>
    <mergeCell ref="AA10:AC10"/>
    <mergeCell ref="AA23:AC24"/>
    <mergeCell ref="AA6:AC6"/>
    <mergeCell ref="AA11:AC11"/>
    <mergeCell ref="AA16:AC16"/>
    <mergeCell ref="AA17:AC17"/>
    <mergeCell ref="AA18:AC18"/>
    <mergeCell ref="AA9:AB9"/>
    <mergeCell ref="AA21:AC21"/>
    <mergeCell ref="AA22:AC22"/>
    <mergeCell ref="H3:AD3"/>
    <mergeCell ref="AD6:AD7"/>
    <mergeCell ref="H4:AD4"/>
    <mergeCell ref="T6:V7"/>
    <mergeCell ref="T122:X122"/>
    <mergeCell ref="T115:X115"/>
    <mergeCell ref="T116:X116"/>
    <mergeCell ref="AD28:AD29"/>
    <mergeCell ref="AA27:AC27"/>
    <mergeCell ref="T75:X75"/>
    <mergeCell ref="T65:X65"/>
    <mergeCell ref="T66:X66"/>
    <mergeCell ref="T64:X64"/>
    <mergeCell ref="T70:X70"/>
    <mergeCell ref="Y61:Z61"/>
    <mergeCell ref="H39:AD39"/>
    <mergeCell ref="H40:AD40"/>
    <mergeCell ref="Y41:Z41"/>
    <mergeCell ref="AA41:AA42"/>
    <mergeCell ref="AD41:AD42"/>
    <mergeCell ref="T47:V47"/>
    <mergeCell ref="T45:V45"/>
    <mergeCell ref="AB41:AB42"/>
    <mergeCell ref="T71:X71"/>
    <mergeCell ref="T187:AD187"/>
    <mergeCell ref="T171:AD171"/>
    <mergeCell ref="AC80:AC81"/>
    <mergeCell ref="H99:V100"/>
    <mergeCell ref="W99:W100"/>
    <mergeCell ref="Y99:Z99"/>
    <mergeCell ref="AA99:AA100"/>
    <mergeCell ref="AD99:AD100"/>
    <mergeCell ref="AB99:AB100"/>
    <mergeCell ref="AC99:AC100"/>
    <mergeCell ref="T153:AD153"/>
    <mergeCell ref="T166:AD166"/>
    <mergeCell ref="T82:X82"/>
    <mergeCell ref="T83:X83"/>
    <mergeCell ref="T84:X84"/>
    <mergeCell ref="T85:X85"/>
    <mergeCell ref="T118:X118"/>
    <mergeCell ref="T81:X81"/>
    <mergeCell ref="T117:X117"/>
    <mergeCell ref="T87:X87"/>
    <mergeCell ref="T167:AD167"/>
    <mergeCell ref="U180:AD180"/>
    <mergeCell ref="T124:X124"/>
    <mergeCell ref="T67:X67"/>
    <mergeCell ref="T119:X119"/>
    <mergeCell ref="T169:AD169"/>
    <mergeCell ref="U181:AD181"/>
    <mergeCell ref="U182:AD182"/>
    <mergeCell ref="T170:AD170"/>
    <mergeCell ref="T172:AD172"/>
    <mergeCell ref="T174:AD174"/>
    <mergeCell ref="T73:X73"/>
    <mergeCell ref="T68:X68"/>
    <mergeCell ref="T69:X69"/>
    <mergeCell ref="T76:X76"/>
    <mergeCell ref="H150:AD150"/>
    <mergeCell ref="H151:AD151"/>
    <mergeCell ref="T114:X114"/>
    <mergeCell ref="T86:X86"/>
    <mergeCell ref="T137:X137"/>
    <mergeCell ref="T138:X138"/>
    <mergeCell ref="T139:X139"/>
    <mergeCell ref="T140:X140"/>
    <mergeCell ref="T128:X128"/>
    <mergeCell ref="T121:X121"/>
    <mergeCell ref="T120:X120"/>
    <mergeCell ref="T123:X123"/>
    <mergeCell ref="H197:AD197"/>
    <mergeCell ref="T168:AD168"/>
    <mergeCell ref="T154:AD154"/>
    <mergeCell ref="T156:AD156"/>
    <mergeCell ref="T157:AD157"/>
    <mergeCell ref="T158:AD158"/>
    <mergeCell ref="T159:AD159"/>
    <mergeCell ref="T160:AD160"/>
    <mergeCell ref="T161:AD161"/>
    <mergeCell ref="T162:AD162"/>
    <mergeCell ref="T163:AD163"/>
    <mergeCell ref="T164:AD164"/>
    <mergeCell ref="T165:AD165"/>
    <mergeCell ref="U184:AD184"/>
    <mergeCell ref="U185:AD185"/>
    <mergeCell ref="U186:AD186"/>
    <mergeCell ref="U183:AD183"/>
    <mergeCell ref="T173:AD173"/>
    <mergeCell ref="T189:AD189"/>
    <mergeCell ref="T195:AD196"/>
    <mergeCell ref="H147:X147"/>
    <mergeCell ref="AA147:AB147"/>
    <mergeCell ref="T148:X148"/>
    <mergeCell ref="AA148:AB148"/>
    <mergeCell ref="T141:X141"/>
    <mergeCell ref="T125:X125"/>
    <mergeCell ref="T126:X126"/>
    <mergeCell ref="T127:X127"/>
    <mergeCell ref="T130:X130"/>
    <mergeCell ref="T129:X129"/>
    <mergeCell ref="T136:X136"/>
    <mergeCell ref="T131:X131"/>
    <mergeCell ref="T133:X133"/>
    <mergeCell ref="T132:X132"/>
    <mergeCell ref="T134:X134"/>
    <mergeCell ref="T135:X135"/>
    <mergeCell ref="T142:X142"/>
    <mergeCell ref="T143:X143"/>
    <mergeCell ref="T144:X144"/>
    <mergeCell ref="T145:X145"/>
  </mergeCells>
  <printOptions horizontalCentered="1"/>
  <pageMargins left="0.23622047244094491" right="0.23622047244094491" top="0.74803149606299213" bottom="0.74803149606299213" header="0.31496062992125984" footer="0.31496062992125984"/>
  <pageSetup paperSize="9" scale="41" fitToHeight="2" orientation="portrait" r:id="rId1"/>
  <headerFooter alignWithMargins="0">
    <oddHeader>&amp;L&amp;G&amp;C&amp;"Trebuchet MS,Félkövér"&amp;14HIRDETMÉNY 
az Otthonteremtési Kamattámogatású Jelzáloghitelekről</oddHeader>
    <oddFooter>&amp;C&amp;"Trebuchet MS,Normál"www.granitbank.hu ¤ 1095 Budapest 
Lechner Ödön fasor 8. Millenium Tower III. 
harmadik emelet ¤ Tel.: +36 1 5100 527&amp;R&amp;"Tahoma,Normál"&amp;P/&amp;N</oddFooter>
  </headerFooter>
  <rowBreaks count="1" manualBreakCount="1">
    <brk id="156" min="7" max="18" man="1"/>
  </rowBreaks>
  <ignoredErrors>
    <ignoredError sqref="AA46"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0"/>
  <sheetViews>
    <sheetView workbookViewId="0">
      <selection sqref="A1:D1"/>
    </sheetView>
  </sheetViews>
  <sheetFormatPr defaultRowHeight="14.4" x14ac:dyDescent="0.3"/>
  <cols>
    <col min="1" max="1" width="45.6640625" customWidth="1"/>
    <col min="2" max="2" width="22.6640625" customWidth="1"/>
    <col min="3" max="4" width="23" customWidth="1"/>
    <col min="5" max="5" width="21.6640625" bestFit="1" customWidth="1"/>
  </cols>
  <sheetData>
    <row r="1" spans="1:21" ht="15" thickBot="1" x14ac:dyDescent="0.35">
      <c r="A1" t="s">
        <v>916</v>
      </c>
    </row>
    <row r="2" spans="1:21" x14ac:dyDescent="0.3">
      <c r="A2" s="359" t="s">
        <v>915</v>
      </c>
      <c r="B2" s="359" t="s">
        <v>914</v>
      </c>
      <c r="C2" s="359" t="s">
        <v>914</v>
      </c>
      <c r="D2" s="359" t="s">
        <v>914</v>
      </c>
      <c r="E2" s="379" t="s">
        <v>970</v>
      </c>
      <c r="R2" t="s">
        <v>685</v>
      </c>
    </row>
    <row r="3" spans="1:21" x14ac:dyDescent="0.3">
      <c r="A3" s="293" t="str">
        <f>'komplex kalkulátor'!E34</f>
        <v>NÉV</v>
      </c>
      <c r="B3" s="293" t="s">
        <v>685</v>
      </c>
      <c r="C3" s="293" t="s">
        <v>687</v>
      </c>
      <c r="D3" s="293"/>
      <c r="E3" t="s">
        <v>960</v>
      </c>
      <c r="F3" t="e">
        <f>SEARCH(4,E3,1)</f>
        <v>#VALUE!</v>
      </c>
      <c r="G3" t="b">
        <f>ISERR(F3)</f>
        <v>1</v>
      </c>
      <c r="R3" t="s">
        <v>686</v>
      </c>
      <c r="U3">
        <v>1</v>
      </c>
    </row>
    <row r="4" spans="1:21" x14ac:dyDescent="0.3">
      <c r="A4" s="293">
        <f>'komplex kalkulátor'!H34</f>
        <v>0</v>
      </c>
      <c r="B4" s="293" t="s">
        <v>686</v>
      </c>
      <c r="C4" s="293" t="s">
        <v>687</v>
      </c>
      <c r="D4" s="293"/>
      <c r="R4" t="s">
        <v>687</v>
      </c>
      <c r="U4">
        <v>2</v>
      </c>
    </row>
    <row r="5" spans="1:21" x14ac:dyDescent="0.3">
      <c r="A5" s="293">
        <f>+'komplex kalkulátor'!K34</f>
        <v>0</v>
      </c>
      <c r="B5" s="293" t="s">
        <v>686</v>
      </c>
      <c r="C5" s="293"/>
      <c r="D5" s="293"/>
      <c r="R5" t="s">
        <v>912</v>
      </c>
      <c r="U5">
        <v>3</v>
      </c>
    </row>
    <row r="6" spans="1:21" x14ac:dyDescent="0.3">
      <c r="A6" s="293">
        <f>'komplex kalkulátor'!N34</f>
        <v>0</v>
      </c>
      <c r="B6" s="293"/>
      <c r="C6" s="293"/>
      <c r="D6" s="293"/>
      <c r="R6" t="s">
        <v>913</v>
      </c>
      <c r="U6" t="s">
        <v>960</v>
      </c>
    </row>
    <row r="7" spans="1:21" x14ac:dyDescent="0.3">
      <c r="A7" s="293">
        <f>+'komplex kalkulátor'!E115</f>
        <v>0</v>
      </c>
      <c r="B7" s="293" t="s">
        <v>685</v>
      </c>
      <c r="C7" s="293" t="s">
        <v>685</v>
      </c>
      <c r="D7" s="293"/>
      <c r="U7" t="s">
        <v>961</v>
      </c>
    </row>
    <row r="8" spans="1:21" x14ac:dyDescent="0.3">
      <c r="A8" s="293">
        <f>+'komplex kalkulátor'!H115</f>
        <v>0</v>
      </c>
      <c r="B8" s="293"/>
      <c r="C8" s="293"/>
      <c r="D8" s="293"/>
      <c r="U8" t="s">
        <v>962</v>
      </c>
    </row>
    <row r="9" spans="1:21" x14ac:dyDescent="0.3">
      <c r="A9" s="293">
        <f>+'komplex kalkulátor'!K115</f>
        <v>0</v>
      </c>
      <c r="B9" s="293"/>
      <c r="C9" s="293"/>
      <c r="D9" s="293"/>
      <c r="U9" t="s">
        <v>963</v>
      </c>
    </row>
    <row r="10" spans="1:21" x14ac:dyDescent="0.3">
      <c r="A10" s="293">
        <f>+'komplex kalkulátor'!N115</f>
        <v>0</v>
      </c>
      <c r="B10" s="293"/>
      <c r="C10" s="293"/>
      <c r="D10" s="293"/>
    </row>
    <row r="11" spans="1:21" x14ac:dyDescent="0.3">
      <c r="A11" s="293"/>
      <c r="B11" s="293"/>
      <c r="C11" s="293"/>
      <c r="D11" s="293"/>
    </row>
    <row r="12" spans="1:21" x14ac:dyDescent="0.3">
      <c r="A12" s="293"/>
      <c r="B12" s="293"/>
      <c r="C12" s="293"/>
      <c r="D12" s="293"/>
    </row>
    <row r="13" spans="1:21" x14ac:dyDescent="0.3">
      <c r="A13" s="293"/>
      <c r="B13" s="293"/>
      <c r="C13" s="293"/>
      <c r="D13" s="293"/>
    </row>
    <row r="14" spans="1:21" x14ac:dyDescent="0.3">
      <c r="A14" s="293"/>
      <c r="B14" s="293"/>
      <c r="C14" s="293"/>
      <c r="D14" s="293"/>
    </row>
    <row r="15" spans="1:21" x14ac:dyDescent="0.3">
      <c r="A15" s="293"/>
      <c r="B15" s="293"/>
      <c r="C15" s="293"/>
      <c r="D15" s="293"/>
    </row>
    <row r="16" spans="1:21" x14ac:dyDescent="0.3">
      <c r="A16" s="293"/>
      <c r="B16" s="293"/>
      <c r="C16" s="293"/>
      <c r="D16" s="293"/>
    </row>
    <row r="17" spans="1:18" x14ac:dyDescent="0.3">
      <c r="A17" s="293"/>
      <c r="B17" s="293"/>
      <c r="C17" s="293"/>
      <c r="D17" s="293"/>
    </row>
    <row r="19" spans="1:18" ht="15" thickBot="1" x14ac:dyDescent="0.35">
      <c r="A19" t="s">
        <v>932</v>
      </c>
    </row>
    <row r="20" spans="1:18" x14ac:dyDescent="0.3">
      <c r="A20" s="358" t="s">
        <v>917</v>
      </c>
      <c r="B20" s="359"/>
      <c r="C20" s="359"/>
      <c r="D20" s="360"/>
    </row>
    <row r="21" spans="1:18" x14ac:dyDescent="0.3">
      <c r="A21" s="292" t="s">
        <v>918</v>
      </c>
      <c r="B21" s="293"/>
      <c r="C21" s="293"/>
      <c r="D21" s="361"/>
    </row>
    <row r="22" spans="1:18" x14ac:dyDescent="0.3">
      <c r="A22" s="292" t="s">
        <v>919</v>
      </c>
      <c r="B22" s="293"/>
      <c r="C22" s="293"/>
      <c r="D22" s="361"/>
    </row>
    <row r="23" spans="1:18" x14ac:dyDescent="0.3">
      <c r="A23" s="292" t="s">
        <v>939</v>
      </c>
      <c r="B23" s="293" t="s">
        <v>87</v>
      </c>
      <c r="C23" s="293"/>
      <c r="D23" s="361"/>
      <c r="R23" t="s">
        <v>85</v>
      </c>
    </row>
    <row r="24" spans="1:18" x14ac:dyDescent="0.3">
      <c r="A24" s="292" t="s">
        <v>920</v>
      </c>
      <c r="B24" s="293" t="s">
        <v>938</v>
      </c>
      <c r="C24" s="293"/>
      <c r="D24" s="361"/>
      <c r="R24" t="s">
        <v>87</v>
      </c>
    </row>
    <row r="25" spans="1:18" x14ac:dyDescent="0.3">
      <c r="A25" s="292" t="str">
        <f t="shared" ref="A25:A30" si="0">IF(OR(B3="Zálogkötelezett",C3="Zálogkötelezett",D3="Zálogkötelezett"),A3)</f>
        <v>NÉV</v>
      </c>
      <c r="B25" s="362">
        <v>0.5</v>
      </c>
      <c r="C25" s="364"/>
      <c r="D25" s="365"/>
    </row>
    <row r="26" spans="1:18" x14ac:dyDescent="0.3">
      <c r="A26" s="292">
        <f t="shared" si="0"/>
        <v>0</v>
      </c>
      <c r="B26" s="362">
        <v>0.33333333333333331</v>
      </c>
      <c r="C26" s="364"/>
      <c r="D26" s="365"/>
    </row>
    <row r="27" spans="1:18" x14ac:dyDescent="0.3">
      <c r="A27" s="292" t="b">
        <f t="shared" si="0"/>
        <v>0</v>
      </c>
      <c r="B27" s="362"/>
      <c r="C27" s="364"/>
      <c r="D27" s="365"/>
    </row>
    <row r="28" spans="1:18" x14ac:dyDescent="0.3">
      <c r="A28" s="292" t="b">
        <f t="shared" si="0"/>
        <v>0</v>
      </c>
      <c r="B28" s="362"/>
      <c r="C28" s="364"/>
      <c r="D28" s="365"/>
    </row>
    <row r="29" spans="1:18" x14ac:dyDescent="0.3">
      <c r="A29" s="292" t="b">
        <f t="shared" si="0"/>
        <v>0</v>
      </c>
      <c r="B29" s="362"/>
      <c r="C29" s="364"/>
      <c r="D29" s="365"/>
    </row>
    <row r="30" spans="1:18" x14ac:dyDescent="0.3">
      <c r="A30" s="292" t="b">
        <f t="shared" si="0"/>
        <v>0</v>
      </c>
      <c r="B30" s="362"/>
      <c r="C30" s="364"/>
      <c r="D30" s="365"/>
    </row>
    <row r="31" spans="1:18" ht="15" thickBot="1" x14ac:dyDescent="0.35">
      <c r="A31" s="294" t="s">
        <v>922</v>
      </c>
      <c r="B31" s="363">
        <f>SUM(B25:B30)</f>
        <v>0.83333333333333326</v>
      </c>
      <c r="C31" s="368" t="str">
        <f>IF(AND(B23="nem",B31&lt;&gt;1),"Összes értékelt hányadnak 1/1-nek kell lennie","")</f>
        <v>Összes értékelt hányadnak 1/1-nek kell lennie</v>
      </c>
      <c r="D31" s="369"/>
    </row>
    <row r="32" spans="1:18" x14ac:dyDescent="0.3">
      <c r="A32" s="359" t="s">
        <v>923</v>
      </c>
      <c r="B32" s="359"/>
    </row>
    <row r="33" spans="1:18" x14ac:dyDescent="0.3">
      <c r="A33" s="293" t="s">
        <v>924</v>
      </c>
      <c r="B33" s="293"/>
    </row>
    <row r="34" spans="1:18" x14ac:dyDescent="0.3">
      <c r="A34" s="293" t="s">
        <v>925</v>
      </c>
      <c r="B34" s="293"/>
      <c r="R34" t="s">
        <v>926</v>
      </c>
    </row>
    <row r="35" spans="1:18" x14ac:dyDescent="0.3">
      <c r="A35" s="293" t="s">
        <v>930</v>
      </c>
      <c r="B35" s="293"/>
      <c r="R35" t="s">
        <v>927</v>
      </c>
    </row>
    <row r="36" spans="1:18" x14ac:dyDescent="0.3">
      <c r="A36" s="293" t="s">
        <v>931</v>
      </c>
      <c r="B36" s="293"/>
      <c r="R36" t="s">
        <v>928</v>
      </c>
    </row>
    <row r="37" spans="1:18" x14ac:dyDescent="0.3">
      <c r="R37" t="s">
        <v>929</v>
      </c>
    </row>
    <row r="38" spans="1:18" ht="15" thickBot="1" x14ac:dyDescent="0.35">
      <c r="A38" t="s">
        <v>933</v>
      </c>
    </row>
    <row r="39" spans="1:18" x14ac:dyDescent="0.3">
      <c r="A39" s="358" t="s">
        <v>917</v>
      </c>
      <c r="B39" s="359"/>
      <c r="C39" s="359"/>
      <c r="D39" s="360"/>
    </row>
    <row r="40" spans="1:18" x14ac:dyDescent="0.3">
      <c r="A40" s="292" t="s">
        <v>918</v>
      </c>
      <c r="B40" s="293"/>
      <c r="C40" s="293"/>
      <c r="D40" s="361"/>
    </row>
    <row r="41" spans="1:18" x14ac:dyDescent="0.3">
      <c r="A41" s="292" t="s">
        <v>919</v>
      </c>
      <c r="B41" s="293"/>
      <c r="C41" s="293"/>
      <c r="D41" s="361"/>
    </row>
    <row r="42" spans="1:18" x14ac:dyDescent="0.3">
      <c r="A42" s="292" t="s">
        <v>939</v>
      </c>
      <c r="B42" s="293" t="s">
        <v>87</v>
      </c>
      <c r="C42" s="293"/>
      <c r="D42" s="361"/>
    </row>
    <row r="43" spans="1:18" x14ac:dyDescent="0.3">
      <c r="A43" s="292" t="s">
        <v>920</v>
      </c>
      <c r="B43" s="293" t="s">
        <v>921</v>
      </c>
      <c r="C43" s="293"/>
      <c r="D43" s="361"/>
    </row>
    <row r="44" spans="1:18" x14ac:dyDescent="0.3">
      <c r="A44" s="292" t="b">
        <f t="shared" ref="A44:A49" si="1">IF(OR(B31="Zálogkötelezett",C31="Zálogkötelezett",D31="Zálogkötelezett"),A31)</f>
        <v>0</v>
      </c>
      <c r="B44" s="362">
        <v>0.5</v>
      </c>
      <c r="C44" s="364"/>
      <c r="D44" s="365"/>
    </row>
    <row r="45" spans="1:18" x14ac:dyDescent="0.3">
      <c r="A45" s="292" t="b">
        <f t="shared" si="1"/>
        <v>0</v>
      </c>
      <c r="B45" s="362">
        <v>0.33333333333333331</v>
      </c>
      <c r="C45" s="364"/>
      <c r="D45" s="365"/>
    </row>
    <row r="46" spans="1:18" x14ac:dyDescent="0.3">
      <c r="A46" s="292" t="b">
        <f t="shared" si="1"/>
        <v>0</v>
      </c>
      <c r="B46" s="362">
        <v>0.16666666666666666</v>
      </c>
      <c r="C46" s="364"/>
      <c r="D46" s="365"/>
    </row>
    <row r="47" spans="1:18" x14ac:dyDescent="0.3">
      <c r="A47" s="292" t="b">
        <f t="shared" si="1"/>
        <v>0</v>
      </c>
      <c r="B47" s="362"/>
      <c r="C47" s="364"/>
      <c r="D47" s="365"/>
    </row>
    <row r="48" spans="1:18" x14ac:dyDescent="0.3">
      <c r="A48" s="292" t="b">
        <f t="shared" si="1"/>
        <v>0</v>
      </c>
      <c r="B48" s="362"/>
      <c r="C48" s="364"/>
      <c r="D48" s="365"/>
    </row>
    <row r="49" spans="1:4" x14ac:dyDescent="0.3">
      <c r="A49" s="292" t="b">
        <f t="shared" si="1"/>
        <v>0</v>
      </c>
      <c r="B49" s="362"/>
      <c r="C49" s="364"/>
      <c r="D49" s="365"/>
    </row>
    <row r="50" spans="1:4" ht="15" thickBot="1" x14ac:dyDescent="0.35">
      <c r="A50" s="294" t="s">
        <v>922</v>
      </c>
      <c r="B50" s="363">
        <f>SUM(B44:B49)</f>
        <v>0.99999999999999989</v>
      </c>
      <c r="C50" s="368" t="str">
        <f>IF(AND(B41="nem",B50&lt;&gt;1),"Összes értékelt hányadnak 1/1-nek kell lennie","")</f>
        <v/>
      </c>
      <c r="D50" s="369"/>
    </row>
    <row r="51" spans="1:4" x14ac:dyDescent="0.3">
      <c r="A51" s="359" t="s">
        <v>923</v>
      </c>
      <c r="B51" s="359"/>
    </row>
    <row r="52" spans="1:4" x14ac:dyDescent="0.3">
      <c r="A52" s="293" t="s">
        <v>924</v>
      </c>
      <c r="B52" s="293"/>
    </row>
    <row r="53" spans="1:4" x14ac:dyDescent="0.3">
      <c r="A53" s="293" t="s">
        <v>925</v>
      </c>
      <c r="B53" s="293"/>
    </row>
    <row r="54" spans="1:4" x14ac:dyDescent="0.3">
      <c r="A54" s="293" t="s">
        <v>930</v>
      </c>
      <c r="B54" s="293"/>
    </row>
    <row r="55" spans="1:4" x14ac:dyDescent="0.3">
      <c r="A55" s="293" t="s">
        <v>931</v>
      </c>
      <c r="B55" s="293"/>
    </row>
    <row r="57" spans="1:4" ht="15" thickBot="1" x14ac:dyDescent="0.35">
      <c r="A57" t="s">
        <v>934</v>
      </c>
    </row>
    <row r="58" spans="1:4" x14ac:dyDescent="0.3">
      <c r="A58" s="358" t="s">
        <v>917</v>
      </c>
      <c r="B58" s="359"/>
      <c r="C58" s="359"/>
      <c r="D58" s="360"/>
    </row>
    <row r="59" spans="1:4" x14ac:dyDescent="0.3">
      <c r="A59" s="292" t="s">
        <v>918</v>
      </c>
      <c r="B59" s="293"/>
      <c r="C59" s="293"/>
      <c r="D59" s="361"/>
    </row>
    <row r="60" spans="1:4" x14ac:dyDescent="0.3">
      <c r="A60" s="292" t="s">
        <v>919</v>
      </c>
      <c r="B60" s="293"/>
      <c r="C60" s="293"/>
      <c r="D60" s="361"/>
    </row>
    <row r="61" spans="1:4" x14ac:dyDescent="0.3">
      <c r="A61" s="292" t="s">
        <v>939</v>
      </c>
      <c r="B61" s="293" t="s">
        <v>87</v>
      </c>
      <c r="C61" s="293"/>
      <c r="D61" s="361"/>
    </row>
    <row r="62" spans="1:4" x14ac:dyDescent="0.3">
      <c r="A62" s="292" t="s">
        <v>920</v>
      </c>
      <c r="B62" s="293" t="s">
        <v>921</v>
      </c>
      <c r="C62" s="293"/>
      <c r="D62" s="361"/>
    </row>
    <row r="63" spans="1:4" x14ac:dyDescent="0.3">
      <c r="A63" s="292" t="b">
        <f t="shared" ref="A63:A68" si="2">IF(OR(B50="Zálogkötelezett",C50="Zálogkötelezett",D50="Zálogkötelezett"),A50)</f>
        <v>0</v>
      </c>
      <c r="B63" s="362">
        <v>0.5</v>
      </c>
      <c r="C63" s="364"/>
      <c r="D63" s="365"/>
    </row>
    <row r="64" spans="1:4" x14ac:dyDescent="0.3">
      <c r="A64" s="292" t="b">
        <f t="shared" si="2"/>
        <v>0</v>
      </c>
      <c r="B64" s="362">
        <v>0.33333333333333331</v>
      </c>
      <c r="C64" s="364"/>
      <c r="D64" s="365"/>
    </row>
    <row r="65" spans="1:18" x14ac:dyDescent="0.3">
      <c r="A65" s="292" t="b">
        <f t="shared" si="2"/>
        <v>0</v>
      </c>
      <c r="B65" s="362">
        <v>0.16666666666666666</v>
      </c>
      <c r="C65" s="364"/>
      <c r="D65" s="365"/>
    </row>
    <row r="66" spans="1:18" x14ac:dyDescent="0.3">
      <c r="A66" s="292" t="b">
        <f t="shared" si="2"/>
        <v>0</v>
      </c>
      <c r="B66" s="362"/>
      <c r="C66" s="364"/>
      <c r="D66" s="365"/>
    </row>
    <row r="67" spans="1:18" x14ac:dyDescent="0.3">
      <c r="A67" s="292" t="b">
        <f t="shared" si="2"/>
        <v>0</v>
      </c>
      <c r="B67" s="362"/>
      <c r="C67" s="364"/>
      <c r="D67" s="365"/>
    </row>
    <row r="68" spans="1:18" x14ac:dyDescent="0.3">
      <c r="A68" s="292" t="b">
        <f t="shared" si="2"/>
        <v>0</v>
      </c>
      <c r="B68" s="362"/>
      <c r="C68" s="364"/>
      <c r="D68" s="365"/>
    </row>
    <row r="69" spans="1:18" ht="15" thickBot="1" x14ac:dyDescent="0.35">
      <c r="A69" s="294" t="s">
        <v>922</v>
      </c>
      <c r="B69" s="363">
        <f>SUM(B63:B68)</f>
        <v>0.99999999999999989</v>
      </c>
      <c r="C69" s="366"/>
      <c r="D69" s="367"/>
    </row>
    <row r="70" spans="1:18" x14ac:dyDescent="0.3">
      <c r="A70" s="359" t="s">
        <v>923</v>
      </c>
      <c r="B70" s="359"/>
    </row>
    <row r="71" spans="1:18" x14ac:dyDescent="0.3">
      <c r="A71" s="293" t="s">
        <v>924</v>
      </c>
      <c r="B71" s="293"/>
    </row>
    <row r="72" spans="1:18" x14ac:dyDescent="0.3">
      <c r="A72" s="293" t="s">
        <v>925</v>
      </c>
      <c r="B72" s="293"/>
    </row>
    <row r="73" spans="1:18" x14ac:dyDescent="0.3">
      <c r="A73" s="293" t="s">
        <v>930</v>
      </c>
      <c r="B73" s="293"/>
    </row>
    <row r="74" spans="1:18" x14ac:dyDescent="0.3">
      <c r="A74" s="293" t="s">
        <v>931</v>
      </c>
      <c r="B74" s="293"/>
    </row>
    <row r="76" spans="1:18" x14ac:dyDescent="0.3">
      <c r="A76" t="s">
        <v>935</v>
      </c>
    </row>
    <row r="77" spans="1:18" x14ac:dyDescent="0.3">
      <c r="A77" t="s">
        <v>940</v>
      </c>
    </row>
    <row r="78" spans="1:18" x14ac:dyDescent="0.3">
      <c r="A78" t="s">
        <v>942</v>
      </c>
    </row>
    <row r="79" spans="1:18" x14ac:dyDescent="0.3">
      <c r="A79" t="s">
        <v>941</v>
      </c>
    </row>
    <row r="80" spans="1:18" x14ac:dyDescent="0.3">
      <c r="A80" t="s">
        <v>943</v>
      </c>
      <c r="B80" t="s">
        <v>944</v>
      </c>
      <c r="R80" t="s">
        <v>944</v>
      </c>
    </row>
    <row r="81" spans="1:19" x14ac:dyDescent="0.3">
      <c r="A81" t="s">
        <v>936</v>
      </c>
      <c r="R81" t="s">
        <v>948</v>
      </c>
    </row>
    <row r="82" spans="1:19" x14ac:dyDescent="0.3">
      <c r="A82" t="s">
        <v>945</v>
      </c>
      <c r="B82" s="138"/>
      <c r="C82" t="s">
        <v>639</v>
      </c>
      <c r="R82" t="s">
        <v>639</v>
      </c>
      <c r="S82">
        <v>180</v>
      </c>
    </row>
    <row r="83" spans="1:19" x14ac:dyDescent="0.3">
      <c r="A83" t="s">
        <v>946</v>
      </c>
      <c r="B83" s="138">
        <v>122000</v>
      </c>
      <c r="C83" t="s">
        <v>639</v>
      </c>
      <c r="R83" t="s">
        <v>638</v>
      </c>
      <c r="S83">
        <v>250</v>
      </c>
    </row>
    <row r="84" spans="1:19" x14ac:dyDescent="0.3">
      <c r="A84" t="s">
        <v>947</v>
      </c>
      <c r="B84" s="138">
        <f>VLOOKUP(C83,R82:S84,2,FALSE)*B83</f>
        <v>21960000</v>
      </c>
      <c r="C84" t="s">
        <v>637</v>
      </c>
      <c r="R84" t="s">
        <v>937</v>
      </c>
      <c r="S84">
        <v>2</v>
      </c>
    </row>
    <row r="85" spans="1:19" x14ac:dyDescent="0.3">
      <c r="A85" t="s">
        <v>949</v>
      </c>
      <c r="B85" t="s">
        <v>950</v>
      </c>
      <c r="R85" t="s">
        <v>950</v>
      </c>
    </row>
    <row r="86" spans="1:19" x14ac:dyDescent="0.3">
      <c r="A86" t="s">
        <v>952</v>
      </c>
      <c r="R86" t="s">
        <v>951</v>
      </c>
    </row>
    <row r="87" spans="1:19" x14ac:dyDescent="0.3">
      <c r="A87" t="s">
        <v>953</v>
      </c>
    </row>
    <row r="88" spans="1:19" x14ac:dyDescent="0.3">
      <c r="A88" t="s">
        <v>954</v>
      </c>
      <c r="B88" s="138">
        <v>0</v>
      </c>
      <c r="C88" t="s">
        <v>637</v>
      </c>
    </row>
    <row r="89" spans="1:19" x14ac:dyDescent="0.3">
      <c r="B89" s="138"/>
    </row>
    <row r="90" spans="1:19" x14ac:dyDescent="0.3">
      <c r="A90" t="s">
        <v>964</v>
      </c>
      <c r="B90" s="138">
        <f>+puffer*B84</f>
        <v>329400</v>
      </c>
      <c r="R90" s="113">
        <v>1.4999999999999999E-2</v>
      </c>
    </row>
    <row r="91" spans="1:19" x14ac:dyDescent="0.3">
      <c r="A91" t="s">
        <v>955</v>
      </c>
      <c r="B91" s="138">
        <f>+B84-B88+B90</f>
        <v>22289400</v>
      </c>
    </row>
    <row r="93" spans="1:19" x14ac:dyDescent="0.3">
      <c r="A93" t="s">
        <v>956</v>
      </c>
      <c r="B93" t="s">
        <v>85</v>
      </c>
    </row>
    <row r="96" spans="1:19" ht="15" thickBot="1" x14ac:dyDescent="0.35"/>
    <row r="97" spans="1:5" x14ac:dyDescent="0.3">
      <c r="A97" s="358"/>
      <c r="B97" s="380" t="s">
        <v>965</v>
      </c>
      <c r="C97" s="380" t="s">
        <v>966</v>
      </c>
      <c r="D97" s="380" t="s">
        <v>967</v>
      </c>
      <c r="E97" s="381" t="s">
        <v>968</v>
      </c>
    </row>
    <row r="98" spans="1:5" x14ac:dyDescent="0.3">
      <c r="A98" s="292">
        <v>1</v>
      </c>
      <c r="B98" s="293"/>
      <c r="C98" s="293"/>
      <c r="D98" s="293"/>
      <c r="E98" s="361">
        <f>SUM(B98:D98)</f>
        <v>0</v>
      </c>
    </row>
    <row r="99" spans="1:5" x14ac:dyDescent="0.3">
      <c r="A99" s="292">
        <v>2</v>
      </c>
      <c r="B99" s="293"/>
      <c r="C99" s="293"/>
      <c r="D99" s="293"/>
      <c r="E99" s="361">
        <f t="shared" ref="E99:E109" si="3">SUM(B99:D99)</f>
        <v>0</v>
      </c>
    </row>
    <row r="100" spans="1:5" x14ac:dyDescent="0.3">
      <c r="A100" s="292">
        <v>3</v>
      </c>
      <c r="B100" s="293"/>
      <c r="C100" s="293"/>
      <c r="D100" s="293"/>
      <c r="E100" s="361">
        <f t="shared" si="3"/>
        <v>0</v>
      </c>
    </row>
    <row r="101" spans="1:5" x14ac:dyDescent="0.3">
      <c r="A101" s="292">
        <v>4</v>
      </c>
      <c r="B101" s="293"/>
      <c r="C101" s="293"/>
      <c r="D101" s="293"/>
      <c r="E101" s="361">
        <f t="shared" si="3"/>
        <v>0</v>
      </c>
    </row>
    <row r="102" spans="1:5" x14ac:dyDescent="0.3">
      <c r="A102" s="292">
        <v>5</v>
      </c>
      <c r="B102" s="293"/>
      <c r="C102" s="293"/>
      <c r="D102" s="293"/>
      <c r="E102" s="361">
        <f t="shared" si="3"/>
        <v>0</v>
      </c>
    </row>
    <row r="103" spans="1:5" x14ac:dyDescent="0.3">
      <c r="A103" s="292">
        <v>6</v>
      </c>
      <c r="B103" s="293"/>
      <c r="C103" s="293"/>
      <c r="D103" s="293"/>
      <c r="E103" s="361">
        <f t="shared" si="3"/>
        <v>0</v>
      </c>
    </row>
    <row r="104" spans="1:5" x14ac:dyDescent="0.3">
      <c r="A104" s="292">
        <v>7</v>
      </c>
      <c r="B104" s="293"/>
      <c r="C104" s="293"/>
      <c r="D104" s="293"/>
      <c r="E104" s="361">
        <f t="shared" si="3"/>
        <v>0</v>
      </c>
    </row>
    <row r="105" spans="1:5" x14ac:dyDescent="0.3">
      <c r="A105" s="292">
        <v>8</v>
      </c>
      <c r="B105" s="293"/>
      <c r="C105" s="293"/>
      <c r="D105" s="293"/>
      <c r="E105" s="361">
        <f t="shared" si="3"/>
        <v>0</v>
      </c>
    </row>
    <row r="106" spans="1:5" x14ac:dyDescent="0.3">
      <c r="A106" s="292">
        <v>9</v>
      </c>
      <c r="B106" s="293"/>
      <c r="C106" s="293"/>
      <c r="D106" s="293"/>
      <c r="E106" s="361">
        <f t="shared" si="3"/>
        <v>0</v>
      </c>
    </row>
    <row r="107" spans="1:5" x14ac:dyDescent="0.3">
      <c r="A107" s="292">
        <v>10</v>
      </c>
      <c r="B107" s="293"/>
      <c r="C107" s="293"/>
      <c r="D107" s="293"/>
      <c r="E107" s="361">
        <f t="shared" si="3"/>
        <v>0</v>
      </c>
    </row>
    <row r="108" spans="1:5" x14ac:dyDescent="0.3">
      <c r="A108" s="292">
        <v>11</v>
      </c>
      <c r="B108" s="293"/>
      <c r="C108" s="293"/>
      <c r="D108" s="293"/>
      <c r="E108" s="361">
        <f t="shared" si="3"/>
        <v>0</v>
      </c>
    </row>
    <row r="109" spans="1:5" ht="15" thickBot="1" x14ac:dyDescent="0.35">
      <c r="A109" s="294">
        <v>12</v>
      </c>
      <c r="B109" s="295"/>
      <c r="C109" s="295"/>
      <c r="D109" s="295"/>
      <c r="E109" s="296">
        <f t="shared" si="3"/>
        <v>0</v>
      </c>
    </row>
    <row r="110" spans="1:5" x14ac:dyDescent="0.3">
      <c r="A110" t="s">
        <v>969</v>
      </c>
      <c r="E110">
        <f>AVERAGE(E98:E109)</f>
        <v>0</v>
      </c>
    </row>
  </sheetData>
  <dataConsolidate/>
  <dataValidations count="7">
    <dataValidation type="list" allowBlank="1" showInputMessage="1" showErrorMessage="1" sqref="B3:D17">
      <formula1>szerepek</formula1>
    </dataValidation>
    <dataValidation type="list" allowBlank="1" showInputMessage="1" showErrorMessage="1" sqref="B34 B53 B72">
      <formula1>értékesíthetőség</formula1>
    </dataValidation>
    <dataValidation type="list" allowBlank="1" showInputMessage="1" showErrorMessage="1" sqref="B23 B93 B42 B61 B87">
      <formula1>igennem</formula1>
    </dataValidation>
    <dataValidation type="list" allowBlank="1" showInputMessage="1" showErrorMessage="1" sqref="C82:C83">
      <formula1>deviza</formula1>
    </dataValidation>
    <dataValidation type="list" allowBlank="1" showInputMessage="1" showErrorMessage="1" sqref="B80">
      <formula1>lakáscélú</formula1>
    </dataValidation>
    <dataValidation type="list" allowBlank="1" showInputMessage="1" showErrorMessage="1" sqref="B85">
      <formula1>igazolás_doksi</formula1>
    </dataValidation>
    <dataValidation type="list" allowBlank="1" showInputMessage="1" showErrorMessage="1" sqref="E3">
      <formula1>vonatkozóingatlan</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showRowColHeaders="0" topLeftCell="B4" zoomScale="130" zoomScaleNormal="130" workbookViewId="0">
      <selection activeCell="C5" sqref="C5:C31"/>
    </sheetView>
  </sheetViews>
  <sheetFormatPr defaultColWidth="9.33203125" defaultRowHeight="13.8" x14ac:dyDescent="0.25"/>
  <cols>
    <col min="1" max="1" width="1.6640625" style="86" customWidth="1"/>
    <col min="2" max="2" width="51.6640625" style="86" customWidth="1"/>
    <col min="3" max="3" width="31.6640625" style="86" customWidth="1"/>
    <col min="4" max="4" width="2.33203125" style="86" customWidth="1"/>
    <col min="5" max="5" width="12.5546875" style="86" bestFit="1" customWidth="1"/>
    <col min="6" max="8" width="9.33203125" style="86"/>
    <col min="9" max="9" width="9.44140625" style="86" bestFit="1" customWidth="1"/>
    <col min="10" max="16384" width="9.33203125" style="86"/>
  </cols>
  <sheetData>
    <row r="1" spans="1:12" ht="16.8" x14ac:dyDescent="0.3">
      <c r="A1" s="1873" t="s">
        <v>323</v>
      </c>
      <c r="B1" s="1873"/>
      <c r="C1" s="1873"/>
      <c r="D1" s="1873"/>
    </row>
    <row r="2" spans="1:12" ht="14.4" thickBot="1" x14ac:dyDescent="0.3">
      <c r="A2" s="87"/>
      <c r="B2" s="87"/>
      <c r="C2" s="87"/>
      <c r="D2" s="87"/>
    </row>
    <row r="3" spans="1:12" x14ac:dyDescent="0.25">
      <c r="A3" s="87"/>
      <c r="B3" s="88" t="s">
        <v>324</v>
      </c>
      <c r="C3" s="89"/>
      <c r="D3" s="87"/>
    </row>
    <row r="4" spans="1:12" ht="14.4" thickBot="1" x14ac:dyDescent="0.3">
      <c r="A4" s="87"/>
      <c r="B4" s="90"/>
      <c r="C4" s="91"/>
      <c r="D4" s="87"/>
    </row>
    <row r="5" spans="1:12" x14ac:dyDescent="0.25">
      <c r="B5" s="92" t="s">
        <v>325</v>
      </c>
      <c r="C5" s="494" t="str">
        <f>'komplex kalkulátor'!E4</f>
        <v>Lakáscélú hitel</v>
      </c>
    </row>
    <row r="6" spans="1:12" x14ac:dyDescent="0.25">
      <c r="B6" s="94"/>
      <c r="C6" s="495"/>
    </row>
    <row r="7" spans="1:12" x14ac:dyDescent="0.25">
      <c r="B7" s="94" t="s">
        <v>122</v>
      </c>
      <c r="C7" s="496">
        <f>'komplex kalkulátor'!K4</f>
        <v>12000000</v>
      </c>
    </row>
    <row r="8" spans="1:12" x14ac:dyDescent="0.25">
      <c r="B8" s="94" t="s">
        <v>326</v>
      </c>
      <c r="C8" s="496">
        <f>'komplex kalkulátor'!N18</f>
        <v>12000000</v>
      </c>
    </row>
    <row r="9" spans="1:12" ht="14.4" thickBot="1" x14ac:dyDescent="0.3">
      <c r="B9" s="95" t="s">
        <v>327</v>
      </c>
      <c r="C9" s="497">
        <f>'komplex kalkulátor'!K5</f>
        <v>240</v>
      </c>
    </row>
    <row r="10" spans="1:12" ht="14.4" thickBot="1" x14ac:dyDescent="0.3">
      <c r="B10" s="96"/>
      <c r="C10" s="498"/>
    </row>
    <row r="11" spans="1:12" x14ac:dyDescent="0.25">
      <c r="B11" s="92" t="s">
        <v>328</v>
      </c>
      <c r="C11" s="499">
        <f>SUM(E11:L11)</f>
        <v>520000</v>
      </c>
      <c r="E11" s="97">
        <f>'komplex kalkulátor'!E60+'komplex kalkulátor'!E63+'komplex kalkulátor'!E67+'komplex kalkulátor'!E71</f>
        <v>520000</v>
      </c>
      <c r="F11" s="97">
        <f>'komplex kalkulátor'!H60+'komplex kalkulátor'!H63+'komplex kalkulátor'!H67+'komplex kalkulátor'!H71</f>
        <v>0</v>
      </c>
      <c r="G11" s="97">
        <f>'komplex kalkulátor'!K60+'komplex kalkulátor'!K63+'komplex kalkulátor'!K67+'komplex kalkulátor'!K71</f>
        <v>0</v>
      </c>
      <c r="H11" s="97">
        <f>'komplex kalkulátor'!N60+'komplex kalkulátor'!N63+'komplex kalkulátor'!N67+'komplex kalkulátor'!N71</f>
        <v>0</v>
      </c>
      <c r="I11" s="97">
        <f>SUM('komplex kalkulátor'!E139,'komplex kalkulátor'!E142,'komplex kalkulátor'!E146,'komplex kalkulátor'!E150)</f>
        <v>0</v>
      </c>
      <c r="J11" s="97">
        <f>SUM('komplex kalkulátor'!H139,'komplex kalkulátor'!H142,'komplex kalkulátor'!H146,'komplex kalkulátor'!H150)</f>
        <v>0</v>
      </c>
      <c r="K11" s="97">
        <f>SUM('komplex kalkulátor'!K139,'komplex kalkulátor'!K142,'komplex kalkulátor'!K146,'komplex kalkulátor'!K150)</f>
        <v>0</v>
      </c>
      <c r="L11" s="97">
        <f>SUM('komplex kalkulátor'!N139,'komplex kalkulátor'!N142,'komplex kalkulátor'!N146,'komplex kalkulátor'!N150)</f>
        <v>0</v>
      </c>
    </row>
    <row r="12" spans="1:12" ht="14.4" thickBot="1" x14ac:dyDescent="0.3">
      <c r="B12" s="95" t="s">
        <v>329</v>
      </c>
      <c r="C12" s="500">
        <f>SUM('komplex kalkulátor'!E97,'komplex kalkulátor'!H97,'komplex kalkulátor'!K97,'komplex kalkulátor'!N97,'komplex kalkulátor'!E176,'komplex kalkulátor'!H176,'komplex kalkulátor'!K176,'komplex kalkulátor'!N176)</f>
        <v>0</v>
      </c>
    </row>
    <row r="13" spans="1:12" x14ac:dyDescent="0.25">
      <c r="C13" s="7"/>
    </row>
    <row r="14" spans="1:12" ht="14.4" thickBot="1" x14ac:dyDescent="0.3">
      <c r="C14" s="501"/>
    </row>
    <row r="15" spans="1:12" x14ac:dyDescent="0.25">
      <c r="B15" s="98" t="s">
        <v>330</v>
      </c>
      <c r="C15" s="502"/>
    </row>
    <row r="16" spans="1:12" ht="14.4" thickBot="1" x14ac:dyDescent="0.3">
      <c r="B16" s="99"/>
      <c r="C16" s="503"/>
    </row>
    <row r="17" spans="2:4" x14ac:dyDescent="0.25">
      <c r="B17" s="100" t="s">
        <v>313</v>
      </c>
      <c r="C17" s="504" t="str">
        <f>'komplex kalkulátor'!E285</f>
        <v>Prémium 1, L1</v>
      </c>
    </row>
    <row r="18" spans="2:4" x14ac:dyDescent="0.25">
      <c r="B18" s="94"/>
      <c r="C18" s="505"/>
    </row>
    <row r="19" spans="2:4" x14ac:dyDescent="0.25">
      <c r="B19" s="94" t="s">
        <v>307</v>
      </c>
      <c r="C19" s="496">
        <f>'komplex kalkulátor'!N275</f>
        <v>55633687.443463601</v>
      </c>
    </row>
    <row r="20" spans="2:4" x14ac:dyDescent="0.25">
      <c r="B20" s="94" t="s">
        <v>331</v>
      </c>
      <c r="C20" s="496">
        <f>'komplex kalkulátor'!N279</f>
        <v>24000000</v>
      </c>
    </row>
    <row r="21" spans="2:4" ht="14.4" thickBot="1" x14ac:dyDescent="0.3">
      <c r="B21" s="95" t="s">
        <v>315</v>
      </c>
      <c r="C21" s="500">
        <f>'komplex kalkulátor'!N285</f>
        <v>24000000</v>
      </c>
    </row>
    <row r="22" spans="2:4" ht="14.4" thickBot="1" x14ac:dyDescent="0.3">
      <c r="C22" s="7"/>
    </row>
    <row r="23" spans="2:4" ht="14.4" thickBot="1" x14ac:dyDescent="0.3">
      <c r="B23" s="101" t="s">
        <v>332</v>
      </c>
      <c r="C23" s="506" t="str">
        <f>IF(C17&lt;&gt;"nem hitelezhető","nyújtható az alábbiak szerint:","nem nyújható.")</f>
        <v>nyújtható az alábbiak szerint:</v>
      </c>
    </row>
    <row r="24" spans="2:4" ht="17.399999999999999" hidden="1" thickBot="1" x14ac:dyDescent="0.35">
      <c r="B24" s="102"/>
      <c r="C24" s="507"/>
    </row>
    <row r="25" spans="2:4" ht="16.8" x14ac:dyDescent="0.3">
      <c r="B25" s="102" t="str">
        <f>'komplex kalkulátor'!K291</f>
        <v>Kamatok:</v>
      </c>
      <c r="C25" s="507">
        <f>IF(C23="nem nyújható.","",'komplex kalkulátor'!N292)</f>
        <v>0.03</v>
      </c>
    </row>
    <row r="26" spans="2:4" ht="16.8" x14ac:dyDescent="0.3">
      <c r="B26" s="103" t="s">
        <v>333</v>
      </c>
      <c r="C26" s="508">
        <f>IF(C23="nem nyújható.","",aktualisbubor)</f>
        <v>0</v>
      </c>
    </row>
    <row r="27" spans="2:4" ht="16.8" x14ac:dyDescent="0.3">
      <c r="B27" s="103" t="s">
        <v>334</v>
      </c>
      <c r="C27" s="508">
        <f>IF(C23="nem nyújható.","",'komplex kalkulátor'!N293)</f>
        <v>0.13400000000000001</v>
      </c>
    </row>
    <row r="28" spans="2:4" ht="17.399999999999999" thickBot="1" x14ac:dyDescent="0.35">
      <c r="B28" s="104" t="str">
        <f>IF(C23="nem nyújható","","THM:")</f>
        <v>THM:</v>
      </c>
      <c r="C28" s="509">
        <f>IF(C23="nem nyújható.","",'komplex kalkulátor'!E293)</f>
        <v>3.0992772470001873E-2</v>
      </c>
    </row>
    <row r="29" spans="2:4" ht="17.399999999999999" thickBot="1" x14ac:dyDescent="0.35">
      <c r="B29" s="105"/>
      <c r="C29" s="510"/>
    </row>
    <row r="30" spans="2:4" ht="16.8" x14ac:dyDescent="0.3">
      <c r="B30" s="106" t="str">
        <f>'komplex kalkulátor'!D292</f>
        <v>Törlesztő részlet:</v>
      </c>
      <c r="C30" s="511">
        <f>IF(C23="nem nyújható.","",'komplex kalkulátor'!E292)</f>
        <v>66802.287800476523</v>
      </c>
    </row>
    <row r="31" spans="2:4" ht="16.5" customHeight="1" thickBot="1" x14ac:dyDescent="0.35">
      <c r="B31" s="107" t="str">
        <f>'komplex kalkulátor'!D291</f>
        <v/>
      </c>
      <c r="C31" s="512" t="str">
        <f>IF(C23="nem nyújható.","",'komplex kalkulátor'!E291)</f>
        <v/>
      </c>
    </row>
    <row r="32" spans="2:4" ht="46.5" customHeight="1" x14ac:dyDescent="0.25">
      <c r="B32" s="1874" t="s">
        <v>1032</v>
      </c>
      <c r="C32" s="1874"/>
      <c r="D32" s="108"/>
    </row>
    <row r="34" spans="1:7" ht="31.5" customHeight="1" x14ac:dyDescent="0.25">
      <c r="A34" s="1875" t="s">
        <v>335</v>
      </c>
      <c r="B34" s="1875"/>
      <c r="C34" s="1875"/>
      <c r="D34" s="1875"/>
      <c r="E34" s="109"/>
      <c r="F34" s="109"/>
      <c r="G34" s="109"/>
    </row>
    <row r="35" spans="1:7" x14ac:dyDescent="0.25">
      <c r="A35" s="6"/>
      <c r="B35" s="110"/>
    </row>
    <row r="36" spans="1:7" x14ac:dyDescent="0.25">
      <c r="A36" s="111" t="s">
        <v>336</v>
      </c>
      <c r="B36" s="110"/>
    </row>
    <row r="37" spans="1:7" x14ac:dyDescent="0.25">
      <c r="A37" s="111" t="s">
        <v>1034</v>
      </c>
      <c r="B37" s="110"/>
    </row>
    <row r="38" spans="1:7" x14ac:dyDescent="0.25">
      <c r="A38" s="111" t="s">
        <v>1035</v>
      </c>
      <c r="B38" s="110"/>
    </row>
    <row r="39" spans="1:7" ht="15" customHeight="1" x14ac:dyDescent="0.25">
      <c r="A39" s="110"/>
      <c r="B39" s="110"/>
    </row>
    <row r="40" spans="1:7" x14ac:dyDescent="0.25">
      <c r="A40" s="112" t="s">
        <v>1033</v>
      </c>
    </row>
    <row r="41" spans="1:7" x14ac:dyDescent="0.25">
      <c r="A41" s="110"/>
    </row>
    <row r="43" spans="1:7" x14ac:dyDescent="0.25">
      <c r="B43" s="1876" t="s">
        <v>338</v>
      </c>
      <c r="C43" s="1876"/>
      <c r="D43" s="1876"/>
    </row>
    <row r="44" spans="1:7" x14ac:dyDescent="0.25">
      <c r="B44" s="1877" t="s">
        <v>339</v>
      </c>
      <c r="C44" s="1877"/>
      <c r="D44" s="1877"/>
    </row>
  </sheetData>
  <sheetProtection password="960C" sheet="1" objects="1" scenarios="1" selectLockedCells="1"/>
  <mergeCells count="5">
    <mergeCell ref="A1:D1"/>
    <mergeCell ref="B32:C32"/>
    <mergeCell ref="A34:D34"/>
    <mergeCell ref="B43:D43"/>
    <mergeCell ref="B44:D44"/>
  </mergeCells>
  <pageMargins left="0.7" right="0.7" top="0.75" bottom="0.75" header="0.3" footer="0.3"/>
  <pageSetup paperSize="9" orientation="portrait" r:id="rId1"/>
  <colBreaks count="1" manualBreakCount="1">
    <brk id="4" max="41"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89"/>
  <sheetViews>
    <sheetView showGridLines="0" showRowColHeaders="0" topLeftCell="A13" zoomScaleNormal="100" zoomScaleSheetLayoutView="85" workbookViewId="0">
      <selection activeCell="AC41" sqref="AC41"/>
    </sheetView>
  </sheetViews>
  <sheetFormatPr defaultColWidth="2.6640625" defaultRowHeight="13.2" x14ac:dyDescent="0.25"/>
  <cols>
    <col min="1" max="1" width="1" style="202" customWidth="1"/>
    <col min="2" max="40" width="3.5546875" style="202" customWidth="1"/>
    <col min="41" max="41" width="2" style="202" customWidth="1"/>
    <col min="42" max="47" width="3.6640625" style="202" customWidth="1"/>
    <col min="48" max="48" width="29" style="202" customWidth="1"/>
    <col min="49" max="58" width="3.6640625" style="202" customWidth="1"/>
    <col min="59" max="257" width="9.33203125" style="202" customWidth="1"/>
    <col min="258" max="258" width="35.5546875" style="202" customWidth="1"/>
    <col min="259" max="259" width="2.5546875" style="202" customWidth="1"/>
    <col min="260" max="16384" width="2.6640625" style="202"/>
  </cols>
  <sheetData>
    <row r="1" spans="1:50" s="187" customFormat="1" ht="53.25" customHeight="1" x14ac:dyDescent="0.3">
      <c r="A1" s="1908" t="s">
        <v>647</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86"/>
      <c r="AD1" s="186"/>
      <c r="AE1" s="186"/>
      <c r="AF1" s="186"/>
      <c r="AG1" s="186"/>
      <c r="AH1" s="186"/>
      <c r="AI1" s="186"/>
      <c r="AJ1" s="186"/>
      <c r="AK1" s="186"/>
      <c r="AL1" s="186"/>
      <c r="AM1" s="186"/>
      <c r="AN1" s="186"/>
      <c r="AO1" s="186"/>
      <c r="AP1" s="186"/>
      <c r="AQ1" s="186"/>
      <c r="AR1" s="186"/>
      <c r="AS1" s="186"/>
      <c r="AT1" s="186"/>
      <c r="AU1" s="186"/>
      <c r="AV1" s="186"/>
      <c r="AW1" s="186"/>
      <c r="AX1" s="186"/>
    </row>
    <row r="2" spans="1:50" s="190" customFormat="1" ht="9" customHeight="1" x14ac:dyDescent="0.3">
      <c r="A2" s="188"/>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8"/>
      <c r="AD2" s="188"/>
      <c r="AE2" s="188"/>
      <c r="AF2" s="188"/>
      <c r="AG2" s="188"/>
      <c r="AH2" s="188"/>
      <c r="AI2" s="188"/>
      <c r="AJ2" s="188"/>
      <c r="AK2" s="188"/>
      <c r="AL2" s="188"/>
      <c r="AM2" s="188"/>
      <c r="AN2" s="188"/>
      <c r="AO2" s="188"/>
      <c r="AP2" s="188"/>
      <c r="AQ2" s="188"/>
      <c r="AR2" s="188"/>
      <c r="AS2" s="188"/>
      <c r="AT2" s="188"/>
      <c r="AU2" s="188"/>
      <c r="AV2" s="188"/>
      <c r="AW2" s="188"/>
      <c r="AX2" s="188"/>
    </row>
    <row r="3" spans="1:50" s="187" customFormat="1" ht="18.75" customHeight="1" thickBot="1" x14ac:dyDescent="0.35">
      <c r="A3" s="186"/>
      <c r="AM3" s="191"/>
    </row>
    <row r="4" spans="1:50" s="187" customFormat="1" ht="7.5" customHeight="1" x14ac:dyDescent="0.3">
      <c r="A4" s="186"/>
      <c r="B4" s="192"/>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4"/>
    </row>
    <row r="5" spans="1:50" s="195" customFormat="1" ht="18.75" customHeight="1" x14ac:dyDescent="0.35">
      <c r="B5" s="1910" t="s">
        <v>648</v>
      </c>
      <c r="C5" s="1911"/>
      <c r="D5" s="1911"/>
      <c r="E5" s="1911"/>
      <c r="F5" s="1911"/>
      <c r="G5" s="1886"/>
      <c r="H5" s="1912"/>
      <c r="I5" s="1912"/>
      <c r="J5" s="1912"/>
      <c r="K5" s="1912"/>
      <c r="L5" s="1912"/>
      <c r="M5" s="1912"/>
      <c r="N5" s="1912"/>
      <c r="O5" s="1912"/>
      <c r="P5" s="1912"/>
      <c r="Q5" s="1912"/>
      <c r="R5" s="1912"/>
      <c r="S5" s="1912"/>
      <c r="T5" s="1912"/>
      <c r="U5" s="1912"/>
      <c r="V5" s="1912"/>
      <c r="W5" s="1912"/>
      <c r="X5" s="1912"/>
      <c r="Y5" s="1912"/>
      <c r="Z5" s="1912"/>
      <c r="AA5" s="1912"/>
      <c r="AB5" s="1912"/>
      <c r="AC5" s="1912"/>
      <c r="AD5" s="1912"/>
      <c r="AE5" s="1912"/>
      <c r="AF5" s="1912"/>
      <c r="AG5" s="1912"/>
      <c r="AH5" s="1912"/>
      <c r="AI5" s="1912"/>
      <c r="AJ5" s="1912"/>
      <c r="AK5" s="1912"/>
      <c r="AL5" s="1912"/>
      <c r="AM5" s="1912"/>
      <c r="AN5" s="1912"/>
      <c r="AO5" s="196"/>
    </row>
    <row r="6" spans="1:50" s="195" customFormat="1" ht="9" customHeight="1" x14ac:dyDescent="0.25">
      <c r="A6" s="197"/>
      <c r="B6" s="198"/>
      <c r="C6" s="199"/>
      <c r="D6" s="199"/>
      <c r="E6" s="199"/>
      <c r="F6" s="199"/>
      <c r="G6" s="199"/>
      <c r="H6" s="199"/>
      <c r="I6" s="199"/>
      <c r="J6" s="199"/>
      <c r="K6" s="199"/>
      <c r="L6" s="199"/>
      <c r="M6" s="199"/>
      <c r="N6" s="199"/>
      <c r="O6" s="199"/>
      <c r="P6" s="199"/>
      <c r="Q6" s="199"/>
      <c r="R6" s="199"/>
      <c r="S6" s="199"/>
      <c r="T6" s="200"/>
      <c r="U6" s="200"/>
      <c r="V6" s="200"/>
      <c r="W6" s="200"/>
      <c r="X6" s="200"/>
      <c r="Y6" s="200"/>
      <c r="Z6" s="200"/>
      <c r="AA6" s="200"/>
      <c r="AB6" s="200"/>
      <c r="AC6" s="200"/>
      <c r="AD6" s="200"/>
      <c r="AE6" s="200"/>
      <c r="AF6" s="200"/>
      <c r="AG6" s="200"/>
      <c r="AH6" s="200"/>
      <c r="AI6" s="200"/>
      <c r="AJ6" s="200"/>
      <c r="AK6" s="200"/>
      <c r="AL6" s="200"/>
      <c r="AM6" s="200"/>
      <c r="AN6" s="200"/>
      <c r="AO6" s="201"/>
      <c r="AP6" s="202"/>
      <c r="AQ6" s="202"/>
      <c r="AR6" s="202"/>
      <c r="AS6" s="202"/>
      <c r="AT6" s="202"/>
      <c r="AU6" s="202"/>
      <c r="AV6" s="202"/>
      <c r="AW6" s="202"/>
      <c r="AX6" s="202"/>
    </row>
    <row r="7" spans="1:50" s="195" customFormat="1" ht="18.75" customHeight="1" x14ac:dyDescent="0.3">
      <c r="B7" s="1913" t="s">
        <v>649</v>
      </c>
      <c r="C7" s="1911"/>
      <c r="D7" s="1911"/>
      <c r="E7" s="1911"/>
      <c r="F7" s="1911"/>
      <c r="G7" s="1886"/>
      <c r="H7" s="1886"/>
      <c r="I7" s="1886"/>
      <c r="J7" s="1886"/>
      <c r="K7" s="1886"/>
      <c r="L7" s="1886"/>
      <c r="M7" s="1886"/>
      <c r="N7" s="1886"/>
      <c r="O7" s="1886"/>
      <c r="P7" s="1886"/>
      <c r="Q7" s="1886"/>
      <c r="R7" s="1886"/>
      <c r="S7" s="1886"/>
      <c r="T7" s="1886"/>
      <c r="U7" s="203" t="s">
        <v>650</v>
      </c>
      <c r="V7" s="203"/>
      <c r="W7" s="203"/>
      <c r="X7" s="1887"/>
      <c r="Y7" s="1887"/>
      <c r="Z7" s="1887"/>
      <c r="AA7" s="1887"/>
      <c r="AB7" s="1887"/>
      <c r="AC7" s="1887"/>
      <c r="AD7" s="1887"/>
      <c r="AE7" s="1887"/>
      <c r="AF7" s="1887"/>
      <c r="AG7" s="1887"/>
      <c r="AH7" s="1887"/>
      <c r="AI7" s="1887"/>
      <c r="AJ7" s="1887"/>
      <c r="AK7" s="1887"/>
      <c r="AL7" s="1887"/>
      <c r="AM7" s="1887"/>
      <c r="AN7" s="1887"/>
      <c r="AO7" s="201"/>
      <c r="AP7" s="202"/>
      <c r="AQ7" s="202"/>
      <c r="AR7" s="202"/>
      <c r="AS7" s="202"/>
      <c r="AT7" s="202"/>
      <c r="AU7" s="202"/>
      <c r="AV7" s="202"/>
      <c r="AW7" s="202"/>
      <c r="AX7" s="202"/>
    </row>
    <row r="8" spans="1:50" s="208" customFormat="1" ht="9" customHeight="1" x14ac:dyDescent="0.3">
      <c r="A8" s="204"/>
      <c r="B8" s="205"/>
      <c r="C8" s="206"/>
      <c r="D8" s="206"/>
      <c r="E8" s="206"/>
      <c r="F8" s="207"/>
      <c r="G8" s="207"/>
      <c r="H8" s="207"/>
      <c r="I8" s="207"/>
      <c r="J8" s="207"/>
      <c r="K8" s="207"/>
      <c r="L8" s="207"/>
      <c r="M8" s="207"/>
      <c r="N8" s="207"/>
      <c r="O8" s="207"/>
      <c r="P8" s="207"/>
      <c r="Q8" s="207"/>
      <c r="R8" s="207"/>
      <c r="S8" s="207"/>
      <c r="T8" s="207"/>
      <c r="U8" s="207"/>
      <c r="V8" s="203"/>
      <c r="W8" s="203"/>
      <c r="X8" s="203"/>
      <c r="Y8" s="203"/>
      <c r="Z8" s="207"/>
      <c r="AA8" s="207"/>
      <c r="AB8" s="207"/>
      <c r="AC8" s="207"/>
      <c r="AD8" s="207"/>
      <c r="AE8" s="207"/>
      <c r="AF8" s="207"/>
      <c r="AG8" s="207"/>
      <c r="AH8" s="207"/>
      <c r="AI8" s="207"/>
      <c r="AJ8" s="207"/>
      <c r="AK8" s="207"/>
      <c r="AL8" s="207"/>
      <c r="AM8" s="207"/>
      <c r="AN8" s="200"/>
      <c r="AO8" s="201"/>
      <c r="AP8" s="204"/>
      <c r="AQ8" s="204"/>
      <c r="AR8" s="204"/>
      <c r="AS8" s="204"/>
      <c r="AT8" s="204"/>
      <c r="AU8" s="204"/>
      <c r="AV8" s="204"/>
      <c r="AW8" s="204"/>
      <c r="AX8" s="204"/>
    </row>
    <row r="9" spans="1:50" s="208" customFormat="1" ht="18.75" customHeight="1" x14ac:dyDescent="0.3">
      <c r="B9" s="1914" t="s">
        <v>651</v>
      </c>
      <c r="C9" s="1915"/>
      <c r="D9" s="1915"/>
      <c r="E9" s="1915"/>
      <c r="F9" s="1915"/>
      <c r="G9" s="1886"/>
      <c r="H9" s="1886"/>
      <c r="I9" s="1886"/>
      <c r="J9" s="1886"/>
      <c r="K9" s="1886"/>
      <c r="L9" s="1886"/>
      <c r="M9" s="1886"/>
      <c r="N9" s="1886"/>
      <c r="O9" s="1886"/>
      <c r="P9" s="1886"/>
      <c r="Q9" s="1886"/>
      <c r="R9" s="1886"/>
      <c r="S9" s="1886"/>
      <c r="T9" s="1886"/>
      <c r="U9" s="1886"/>
      <c r="V9" s="1886"/>
      <c r="W9" s="1886"/>
      <c r="X9" s="1886"/>
      <c r="Y9" s="1886"/>
      <c r="Z9" s="1886"/>
      <c r="AA9" s="1886"/>
      <c r="AB9" s="1886"/>
      <c r="AC9" s="1886"/>
      <c r="AD9" s="1886"/>
      <c r="AE9" s="1886"/>
      <c r="AF9" s="1886"/>
      <c r="AG9" s="1886"/>
      <c r="AH9" s="1886"/>
      <c r="AI9" s="1886"/>
      <c r="AJ9" s="1886"/>
      <c r="AK9" s="1886"/>
      <c r="AL9" s="1886"/>
      <c r="AM9" s="1886"/>
      <c r="AN9" s="1886"/>
      <c r="AO9" s="196"/>
    </row>
    <row r="10" spans="1:50" s="195" customFormat="1" ht="9" customHeight="1" x14ac:dyDescent="0.25">
      <c r="A10" s="197"/>
      <c r="B10" s="198"/>
      <c r="C10" s="199"/>
      <c r="D10" s="199"/>
      <c r="E10" s="199"/>
      <c r="F10" s="199"/>
      <c r="G10" s="199"/>
      <c r="H10" s="199"/>
      <c r="I10" s="199"/>
      <c r="J10" s="199"/>
      <c r="K10" s="199"/>
      <c r="L10" s="199"/>
      <c r="M10" s="199"/>
      <c r="N10" s="199"/>
      <c r="O10" s="199"/>
      <c r="P10" s="199"/>
      <c r="Q10" s="199"/>
      <c r="R10" s="199"/>
      <c r="S10" s="199"/>
      <c r="T10" s="200"/>
      <c r="U10" s="200"/>
      <c r="V10" s="200"/>
      <c r="W10" s="200"/>
      <c r="X10" s="200"/>
      <c r="Y10" s="200"/>
      <c r="Z10" s="200"/>
      <c r="AA10" s="200"/>
      <c r="AB10" s="200"/>
      <c r="AC10" s="200"/>
      <c r="AD10" s="200"/>
      <c r="AE10" s="200"/>
      <c r="AF10" s="200"/>
      <c r="AG10" s="200"/>
      <c r="AH10" s="200"/>
      <c r="AI10" s="200"/>
      <c r="AJ10" s="200"/>
      <c r="AK10" s="200"/>
      <c r="AL10" s="200"/>
      <c r="AM10" s="200"/>
      <c r="AN10" s="200"/>
      <c r="AO10" s="201"/>
      <c r="AP10" s="202"/>
      <c r="AQ10" s="202"/>
      <c r="AR10" s="202"/>
      <c r="AS10" s="202"/>
      <c r="AT10" s="202"/>
      <c r="AU10" s="202"/>
      <c r="AV10" s="202"/>
      <c r="AW10" s="202"/>
      <c r="AX10" s="202"/>
    </row>
    <row r="11" spans="1:50" s="195" customFormat="1" ht="18.75" customHeight="1" x14ac:dyDescent="0.3">
      <c r="B11" s="198" t="s">
        <v>649</v>
      </c>
      <c r="C11" s="206"/>
      <c r="D11" s="206"/>
      <c r="E11" s="206"/>
      <c r="F11" s="209"/>
      <c r="G11" s="1886"/>
      <c r="H11" s="1886"/>
      <c r="I11" s="1886"/>
      <c r="J11" s="1886"/>
      <c r="K11" s="1886"/>
      <c r="L11" s="1886"/>
      <c r="M11" s="1886"/>
      <c r="N11" s="1886"/>
      <c r="O11" s="1886"/>
      <c r="P11" s="1886"/>
      <c r="Q11" s="1886"/>
      <c r="R11" s="1886"/>
      <c r="S11" s="1886"/>
      <c r="T11" s="1886"/>
      <c r="U11" s="203" t="s">
        <v>650</v>
      </c>
      <c r="V11" s="203"/>
      <c r="W11" s="203"/>
      <c r="X11" s="1887"/>
      <c r="Y11" s="1887"/>
      <c r="Z11" s="1887"/>
      <c r="AA11" s="1887"/>
      <c r="AB11" s="1887"/>
      <c r="AC11" s="1887"/>
      <c r="AD11" s="1887"/>
      <c r="AE11" s="1887"/>
      <c r="AF11" s="1887"/>
      <c r="AG11" s="1887"/>
      <c r="AH11" s="1887"/>
      <c r="AI11" s="1887"/>
      <c r="AJ11" s="1887"/>
      <c r="AK11" s="1887"/>
      <c r="AL11" s="1887"/>
      <c r="AM11" s="1887"/>
      <c r="AN11" s="1887"/>
      <c r="AO11" s="201"/>
      <c r="AP11" s="202"/>
      <c r="AQ11" s="202"/>
      <c r="AR11" s="202"/>
      <c r="AS11" s="202"/>
      <c r="AT11" s="202"/>
      <c r="AU11" s="202"/>
      <c r="AV11" s="202"/>
      <c r="AW11" s="202"/>
      <c r="AX11" s="202"/>
    </row>
    <row r="12" spans="1:50" ht="9" customHeight="1" x14ac:dyDescent="0.25">
      <c r="A12" s="210"/>
      <c r="B12" s="198"/>
      <c r="C12" s="211"/>
      <c r="D12" s="211"/>
      <c r="E12" s="211"/>
      <c r="F12" s="211"/>
      <c r="G12" s="211"/>
      <c r="H12" s="211"/>
      <c r="I12" s="211"/>
      <c r="J12" s="211"/>
      <c r="K12" s="211"/>
      <c r="L12" s="211"/>
      <c r="M12" s="211"/>
      <c r="N12" s="211"/>
      <c r="O12" s="211"/>
      <c r="P12" s="211"/>
      <c r="Q12" s="211"/>
      <c r="R12" s="211"/>
      <c r="S12" s="211"/>
      <c r="T12" s="200"/>
      <c r="U12" s="200"/>
      <c r="V12" s="200"/>
      <c r="W12" s="200"/>
      <c r="X12" s="200"/>
      <c r="Y12" s="200"/>
      <c r="Z12" s="200"/>
      <c r="AA12" s="200"/>
      <c r="AB12" s="200"/>
      <c r="AC12" s="200"/>
      <c r="AD12" s="200"/>
      <c r="AE12" s="200"/>
      <c r="AF12" s="200"/>
      <c r="AG12" s="200"/>
      <c r="AH12" s="200"/>
      <c r="AI12" s="200"/>
      <c r="AJ12" s="200"/>
      <c r="AK12" s="200"/>
      <c r="AL12" s="200"/>
      <c r="AM12" s="200"/>
      <c r="AN12" s="200"/>
      <c r="AO12" s="201"/>
    </row>
    <row r="13" spans="1:50" ht="18.75" customHeight="1" x14ac:dyDescent="0.25">
      <c r="B13" s="212" t="s">
        <v>1036</v>
      </c>
      <c r="C13" s="211"/>
      <c r="D13" s="211"/>
      <c r="E13" s="211"/>
      <c r="F13" s="211"/>
      <c r="G13" s="211"/>
      <c r="H13" s="211"/>
      <c r="I13" s="211"/>
      <c r="J13" s="211"/>
      <c r="K13" s="1888"/>
      <c r="L13" s="1888"/>
      <c r="M13" s="1888"/>
      <c r="N13" s="1888"/>
      <c r="O13" s="1888"/>
      <c r="P13" s="1888"/>
      <c r="Q13" s="1888"/>
      <c r="R13" s="1888"/>
      <c r="S13" s="1888"/>
      <c r="T13" s="1888"/>
      <c r="U13" s="1888"/>
      <c r="V13" s="1888"/>
      <c r="W13" s="1888"/>
      <c r="X13" s="1888"/>
      <c r="Y13" s="1888"/>
      <c r="Z13" s="1888"/>
      <c r="AA13" s="1888"/>
      <c r="AB13" s="200"/>
      <c r="AC13" s="200"/>
      <c r="AD13" s="200"/>
      <c r="AE13" s="200"/>
      <c r="AF13" s="200"/>
      <c r="AG13" s="200"/>
      <c r="AH13" s="200"/>
      <c r="AI13" s="200"/>
      <c r="AJ13" s="200"/>
      <c r="AK13" s="200"/>
      <c r="AL13" s="200"/>
      <c r="AM13" s="200"/>
      <c r="AN13" s="200"/>
      <c r="AO13" s="201"/>
    </row>
    <row r="14" spans="1:50" s="219" customFormat="1" ht="9" customHeight="1" thickBot="1" x14ac:dyDescent="0.3">
      <c r="A14" s="213"/>
      <c r="B14" s="214"/>
      <c r="C14" s="215"/>
      <c r="D14" s="215"/>
      <c r="E14" s="215"/>
      <c r="F14" s="215"/>
      <c r="G14" s="215"/>
      <c r="H14" s="215"/>
      <c r="I14" s="215"/>
      <c r="J14" s="215"/>
      <c r="K14" s="215"/>
      <c r="L14" s="215"/>
      <c r="M14" s="215"/>
      <c r="N14" s="215"/>
      <c r="O14" s="215"/>
      <c r="P14" s="215"/>
      <c r="Q14" s="215"/>
      <c r="R14" s="215"/>
      <c r="S14" s="216"/>
      <c r="T14" s="217"/>
      <c r="U14" s="217"/>
      <c r="V14" s="217"/>
      <c r="W14" s="217"/>
      <c r="X14" s="217"/>
      <c r="Y14" s="217"/>
      <c r="Z14" s="217"/>
      <c r="AA14" s="217"/>
      <c r="AB14" s="217"/>
      <c r="AC14" s="217"/>
      <c r="AD14" s="217"/>
      <c r="AE14" s="217"/>
      <c r="AF14" s="217"/>
      <c r="AG14" s="217"/>
      <c r="AH14" s="217"/>
      <c r="AI14" s="217"/>
      <c r="AJ14" s="217"/>
      <c r="AK14" s="217"/>
      <c r="AL14" s="217"/>
      <c r="AM14" s="217"/>
      <c r="AN14" s="217"/>
      <c r="AO14" s="218"/>
    </row>
    <row r="15" spans="1:50" s="219" customFormat="1" ht="9" customHeight="1" x14ac:dyDescent="0.25">
      <c r="A15" s="220"/>
      <c r="B15" s="202"/>
      <c r="C15" s="202"/>
      <c r="D15" s="202"/>
      <c r="E15" s="202"/>
      <c r="F15" s="202"/>
      <c r="G15" s="202"/>
      <c r="H15" s="202"/>
      <c r="I15" s="202"/>
      <c r="J15" s="202"/>
      <c r="K15" s="202"/>
      <c r="L15" s="202"/>
      <c r="M15" s="202"/>
      <c r="N15" s="202"/>
      <c r="O15" s="202"/>
      <c r="P15" s="202"/>
      <c r="Q15" s="202"/>
      <c r="R15" s="202"/>
      <c r="S15" s="220"/>
    </row>
    <row r="16" spans="1:50" ht="18.75" customHeight="1" x14ac:dyDescent="0.25">
      <c r="A16" s="210"/>
    </row>
    <row r="17" spans="1:50" ht="3.75" customHeight="1" thickBot="1" x14ac:dyDescent="0.3">
      <c r="A17" s="210"/>
      <c r="B17" s="221"/>
      <c r="C17" s="221"/>
      <c r="D17" s="221"/>
      <c r="E17" s="221"/>
      <c r="F17" s="221"/>
      <c r="G17" s="221"/>
      <c r="H17" s="221"/>
      <c r="I17" s="221"/>
      <c r="J17" s="221"/>
      <c r="K17" s="221"/>
      <c r="L17" s="221"/>
      <c r="M17" s="221"/>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21"/>
      <c r="AN17" s="221"/>
    </row>
    <row r="18" spans="1:50" ht="9" customHeight="1" x14ac:dyDescent="0.25">
      <c r="A18" s="210"/>
      <c r="B18" s="222"/>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4"/>
    </row>
    <row r="19" spans="1:50" ht="18.75" customHeight="1" x14ac:dyDescent="0.3">
      <c r="B19" s="212" t="s">
        <v>1037</v>
      </c>
      <c r="C19" s="207"/>
      <c r="D19" s="207"/>
      <c r="E19" s="207"/>
      <c r="F19" s="207"/>
      <c r="G19" s="207"/>
      <c r="H19" s="207"/>
      <c r="I19" s="207"/>
      <c r="J19" s="1886"/>
      <c r="K19" s="1886"/>
      <c r="L19" s="1886"/>
      <c r="M19" s="1886"/>
      <c r="N19" s="1886"/>
      <c r="O19" s="1886"/>
      <c r="P19" s="1886"/>
      <c r="Q19" s="1886"/>
      <c r="R19" s="1886"/>
      <c r="S19" s="1886"/>
      <c r="T19" s="1886"/>
      <c r="U19" s="1886"/>
      <c r="V19" s="1886"/>
      <c r="W19" s="1886"/>
      <c r="X19" s="1886"/>
      <c r="Y19" s="200"/>
      <c r="Z19" s="200" t="s">
        <v>653</v>
      </c>
      <c r="AA19" s="207"/>
      <c r="AB19" s="207"/>
      <c r="AC19" s="207"/>
      <c r="AD19" s="207"/>
      <c r="AE19" s="1886"/>
      <c r="AF19" s="1886"/>
      <c r="AG19" s="1886"/>
      <c r="AH19" s="1886"/>
      <c r="AI19" s="207"/>
      <c r="AJ19" s="1886"/>
      <c r="AK19" s="1886"/>
      <c r="AL19" s="200"/>
      <c r="AM19" s="1886"/>
      <c r="AN19" s="1886"/>
      <c r="AO19" s="225"/>
      <c r="AP19" s="226"/>
      <c r="AQ19" s="226"/>
      <c r="AR19" s="226"/>
      <c r="AS19" s="226"/>
      <c r="AT19" s="226"/>
      <c r="AU19" s="226"/>
      <c r="AV19" s="226"/>
      <c r="AW19" s="226"/>
      <c r="AX19" s="226"/>
    </row>
    <row r="20" spans="1:50" ht="9" customHeight="1" thickBot="1" x14ac:dyDescent="0.3">
      <c r="A20" s="197"/>
      <c r="B20" s="227"/>
      <c r="C20" s="228"/>
      <c r="D20" s="228"/>
      <c r="E20" s="228"/>
      <c r="F20" s="228"/>
      <c r="G20" s="228"/>
      <c r="H20" s="228"/>
      <c r="I20" s="228"/>
      <c r="J20" s="229"/>
      <c r="K20" s="229"/>
      <c r="L20" s="229"/>
      <c r="M20" s="229"/>
      <c r="N20" s="229"/>
      <c r="O20" s="229"/>
      <c r="P20" s="229"/>
      <c r="Q20" s="229"/>
      <c r="R20" s="229"/>
      <c r="S20" s="229"/>
      <c r="T20" s="229"/>
      <c r="U20" s="229"/>
      <c r="V20" s="229"/>
      <c r="W20" s="229"/>
      <c r="X20" s="229"/>
      <c r="Y20" s="228"/>
      <c r="Z20" s="229"/>
      <c r="AA20" s="229"/>
      <c r="AB20" s="229"/>
      <c r="AC20" s="229"/>
      <c r="AD20" s="229"/>
      <c r="AE20" s="215"/>
      <c r="AF20" s="215"/>
      <c r="AG20" s="215"/>
      <c r="AH20" s="215"/>
      <c r="AI20" s="215"/>
      <c r="AJ20" s="215"/>
      <c r="AK20" s="215"/>
      <c r="AL20" s="215"/>
      <c r="AM20" s="215"/>
      <c r="AN20" s="215"/>
      <c r="AO20" s="230"/>
      <c r="AP20" s="226"/>
      <c r="AQ20" s="226"/>
      <c r="AR20" s="226"/>
      <c r="AS20" s="226"/>
      <c r="AT20" s="226"/>
      <c r="AU20" s="226"/>
      <c r="AV20" s="226"/>
      <c r="AW20" s="226"/>
      <c r="AX20" s="226"/>
    </row>
    <row r="21" spans="1:50" ht="9" customHeight="1" x14ac:dyDescent="0.25">
      <c r="A21" s="197"/>
      <c r="B21" s="197"/>
      <c r="C21" s="197"/>
      <c r="D21" s="197"/>
      <c r="E21" s="197"/>
      <c r="F21" s="197"/>
      <c r="G21" s="197"/>
      <c r="H21" s="197"/>
      <c r="I21" s="197"/>
      <c r="J21" s="226"/>
      <c r="K21" s="226"/>
      <c r="L21" s="226"/>
      <c r="M21" s="226"/>
      <c r="N21" s="226"/>
      <c r="O21" s="226"/>
      <c r="P21" s="226"/>
      <c r="Q21" s="226"/>
      <c r="R21" s="226"/>
      <c r="S21" s="226"/>
      <c r="T21" s="226"/>
      <c r="U21" s="226"/>
      <c r="V21" s="226"/>
      <c r="W21" s="226"/>
      <c r="X21" s="226"/>
      <c r="Y21" s="197"/>
      <c r="Z21" s="226"/>
      <c r="AA21" s="226"/>
      <c r="AB21" s="226"/>
      <c r="AC21" s="226"/>
      <c r="AD21" s="226"/>
      <c r="AO21" s="226"/>
      <c r="AP21" s="226"/>
      <c r="AQ21" s="226"/>
      <c r="AR21" s="226"/>
      <c r="AS21" s="226"/>
      <c r="AT21" s="226"/>
      <c r="AU21" s="226"/>
      <c r="AV21" s="226"/>
      <c r="AW21" s="226"/>
      <c r="AX21" s="226"/>
    </row>
    <row r="22" spans="1:50" ht="21.75" customHeight="1" x14ac:dyDescent="0.3">
      <c r="A22" s="197"/>
      <c r="B22" s="1889" t="s">
        <v>654</v>
      </c>
      <c r="C22" s="1890"/>
      <c r="D22" s="1890"/>
      <c r="E22" s="1890"/>
      <c r="F22" s="1890"/>
      <c r="G22" s="1890"/>
      <c r="H22" s="1890"/>
      <c r="I22" s="1890"/>
      <c r="J22" s="1890"/>
      <c r="K22" s="1890"/>
      <c r="L22" s="1890"/>
      <c r="M22" s="1890"/>
      <c r="N22" s="1890"/>
      <c r="O22" s="1890"/>
      <c r="P22" s="1890"/>
      <c r="Q22" s="1890"/>
      <c r="R22" s="1890"/>
      <c r="S22" s="1890"/>
      <c r="T22" s="1890"/>
      <c r="U22" s="1890"/>
      <c r="V22" s="1890"/>
      <c r="W22" s="1890"/>
      <c r="X22" s="1890"/>
      <c r="Y22" s="1890"/>
      <c r="Z22" s="1890"/>
      <c r="AA22" s="1890"/>
      <c r="AB22" s="1890"/>
      <c r="AC22" s="1890"/>
      <c r="AD22" s="1890"/>
      <c r="AE22" s="1890"/>
      <c r="AF22" s="1890"/>
      <c r="AG22" s="1890"/>
      <c r="AH22" s="1890"/>
      <c r="AI22" s="1890"/>
      <c r="AJ22" s="1890"/>
      <c r="AK22" s="1890"/>
      <c r="AL22" s="1890"/>
      <c r="AM22" s="1890"/>
      <c r="AN22" s="1890"/>
      <c r="AO22" s="1891"/>
      <c r="AP22" s="226"/>
      <c r="AQ22" s="226"/>
      <c r="AR22" s="226"/>
      <c r="AS22" s="226"/>
      <c r="AT22" s="226"/>
      <c r="AU22" s="226"/>
      <c r="AV22" s="226"/>
      <c r="AW22" s="226"/>
      <c r="AX22" s="226"/>
    </row>
    <row r="23" spans="1:50" s="204" customFormat="1" ht="12" customHeight="1" x14ac:dyDescent="0.3">
      <c r="A23" s="231"/>
      <c r="B23" s="232"/>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4"/>
      <c r="AP23" s="234"/>
      <c r="AQ23" s="234"/>
      <c r="AR23" s="234"/>
      <c r="AS23" s="234"/>
      <c r="AT23" s="234"/>
      <c r="AU23" s="234"/>
      <c r="AV23" s="234"/>
      <c r="AW23" s="234"/>
      <c r="AX23" s="234"/>
    </row>
    <row r="24" spans="1:50" ht="18.75" customHeight="1" thickBot="1" x14ac:dyDescent="0.3">
      <c r="A24" s="197"/>
      <c r="B24" s="235"/>
      <c r="C24" s="235"/>
      <c r="D24" s="235"/>
      <c r="E24" s="235"/>
      <c r="F24" s="235"/>
      <c r="G24" s="235"/>
      <c r="H24" s="235"/>
      <c r="I24" s="235"/>
      <c r="J24" s="236"/>
      <c r="K24" s="236"/>
      <c r="L24" s="226"/>
      <c r="M24" s="226"/>
      <c r="N24" s="226"/>
      <c r="O24" s="226"/>
      <c r="P24" s="226"/>
      <c r="Q24" s="236"/>
      <c r="R24" s="236"/>
      <c r="S24" s="236"/>
      <c r="T24" s="236"/>
      <c r="U24" s="236"/>
      <c r="V24" s="236"/>
      <c r="W24" s="236"/>
      <c r="X24" s="236"/>
      <c r="Y24" s="235"/>
      <c r="Z24" s="236"/>
      <c r="AA24" s="236"/>
      <c r="AB24" s="236"/>
      <c r="AC24" s="236"/>
      <c r="AD24" s="236"/>
      <c r="AE24" s="221"/>
      <c r="AF24" s="221"/>
      <c r="AG24" s="221"/>
      <c r="AH24" s="221"/>
      <c r="AI24" s="221"/>
      <c r="AJ24" s="221"/>
      <c r="AK24" s="221"/>
      <c r="AL24" s="221"/>
      <c r="AM24" s="221"/>
      <c r="AN24" s="221"/>
      <c r="AO24" s="236"/>
      <c r="AP24" s="226"/>
      <c r="AQ24" s="226"/>
      <c r="AR24" s="226"/>
      <c r="AS24" s="226"/>
      <c r="AT24" s="226"/>
      <c r="AU24" s="226"/>
      <c r="AV24" s="226"/>
      <c r="AW24" s="226"/>
      <c r="AX24" s="226"/>
    </row>
    <row r="25" spans="1:50" ht="9" customHeight="1" x14ac:dyDescent="0.25">
      <c r="A25" s="197"/>
      <c r="B25" s="237"/>
      <c r="C25" s="238"/>
      <c r="D25" s="238"/>
      <c r="E25" s="238"/>
      <c r="F25" s="238"/>
      <c r="G25" s="238"/>
      <c r="H25" s="238"/>
      <c r="I25" s="238"/>
      <c r="J25" s="239"/>
      <c r="K25" s="239"/>
      <c r="L25" s="239"/>
      <c r="M25" s="240"/>
      <c r="N25" s="226"/>
      <c r="O25" s="226"/>
      <c r="P25" s="226"/>
      <c r="Q25" s="241"/>
      <c r="R25" s="239"/>
      <c r="S25" s="239"/>
      <c r="T25" s="239"/>
      <c r="U25" s="239"/>
      <c r="V25" s="239"/>
      <c r="W25" s="239"/>
      <c r="X25" s="239"/>
      <c r="Y25" s="238"/>
      <c r="Z25" s="239"/>
      <c r="AA25" s="239"/>
      <c r="AB25" s="239"/>
      <c r="AC25" s="239"/>
      <c r="AD25" s="239"/>
      <c r="AE25" s="242"/>
      <c r="AF25" s="242"/>
      <c r="AG25" s="242"/>
      <c r="AH25" s="242"/>
      <c r="AI25" s="242"/>
      <c r="AJ25" s="242"/>
      <c r="AK25" s="242"/>
      <c r="AL25" s="242"/>
      <c r="AM25" s="242"/>
      <c r="AN25" s="242"/>
      <c r="AO25" s="240"/>
      <c r="AP25" s="226"/>
      <c r="AQ25" s="226"/>
      <c r="AR25" s="226"/>
      <c r="AS25" s="226"/>
      <c r="AT25" s="226"/>
      <c r="AU25" s="226"/>
      <c r="AV25" s="226"/>
      <c r="AW25" s="226"/>
      <c r="AX25" s="226"/>
    </row>
    <row r="26" spans="1:50" ht="18.75" customHeight="1" x14ac:dyDescent="0.3">
      <c r="A26" s="197"/>
      <c r="B26" s="243" t="s">
        <v>1369</v>
      </c>
      <c r="C26" s="197"/>
      <c r="D26" s="197"/>
      <c r="E26" s="197"/>
      <c r="F26" s="197"/>
      <c r="G26" s="197"/>
      <c r="H26" s="197"/>
      <c r="I26" s="480"/>
      <c r="J26" s="226"/>
      <c r="K26" s="226"/>
      <c r="L26" s="244"/>
      <c r="M26" s="245"/>
      <c r="N26" s="226"/>
      <c r="O26" s="226"/>
      <c r="P26" s="226"/>
      <c r="Q26" s="246" t="s">
        <v>655</v>
      </c>
      <c r="R26" s="226"/>
      <c r="S26" s="226"/>
      <c r="T26" s="226"/>
      <c r="U26" s="226"/>
      <c r="V26" s="226"/>
      <c r="W26" s="244"/>
      <c r="X26" s="226"/>
      <c r="Y26" s="197"/>
      <c r="Z26" s="202" t="s">
        <v>656</v>
      </c>
      <c r="AA26" s="226"/>
      <c r="AB26" s="226"/>
      <c r="AC26" s="226"/>
      <c r="AD26" s="204"/>
      <c r="AE26" s="244"/>
      <c r="AG26" s="202" t="s">
        <v>657</v>
      </c>
      <c r="AN26" s="244"/>
      <c r="AO26" s="247"/>
      <c r="AP26" s="226"/>
      <c r="AQ26" s="226"/>
      <c r="AR26" s="226"/>
      <c r="AS26" s="226"/>
      <c r="AT26" s="226"/>
      <c r="AU26" s="226"/>
      <c r="AV26" s="226"/>
      <c r="AW26" s="226"/>
      <c r="AX26" s="226"/>
    </row>
    <row r="27" spans="1:50" ht="9" customHeight="1" x14ac:dyDescent="0.25">
      <c r="A27" s="197"/>
      <c r="B27" s="243"/>
      <c r="C27" s="197"/>
      <c r="D27" s="197"/>
      <c r="E27" s="197"/>
      <c r="F27" s="197"/>
      <c r="G27" s="197"/>
      <c r="H27" s="197"/>
      <c r="J27" s="226"/>
      <c r="K27" s="226"/>
      <c r="L27" s="226"/>
      <c r="M27" s="245"/>
      <c r="N27" s="226"/>
      <c r="O27" s="226"/>
      <c r="P27" s="226"/>
      <c r="Q27" s="246"/>
      <c r="R27" s="226"/>
      <c r="S27" s="226"/>
      <c r="T27" s="226"/>
      <c r="U27" s="226"/>
      <c r="V27" s="226"/>
      <c r="W27" s="226"/>
      <c r="X27" s="226"/>
      <c r="Y27" s="197"/>
      <c r="Z27" s="226"/>
      <c r="AA27" s="226"/>
      <c r="AB27" s="226"/>
      <c r="AC27" s="226"/>
      <c r="AD27" s="234"/>
      <c r="AO27" s="247"/>
      <c r="AP27" s="226"/>
      <c r="AQ27" s="226"/>
      <c r="AR27" s="226"/>
      <c r="AS27" s="226"/>
      <c r="AT27" s="226"/>
      <c r="AU27" s="226"/>
      <c r="AV27" s="226"/>
      <c r="AW27" s="226"/>
      <c r="AX27" s="226"/>
    </row>
    <row r="28" spans="1:50" ht="18.75" customHeight="1" x14ac:dyDescent="0.3">
      <c r="A28" s="197"/>
      <c r="B28" s="481" t="s">
        <v>1370</v>
      </c>
      <c r="C28" s="197"/>
      <c r="D28" s="197"/>
      <c r="E28" s="197"/>
      <c r="F28" s="197"/>
      <c r="G28" s="197"/>
      <c r="H28" s="197"/>
      <c r="I28" s="480"/>
      <c r="J28" s="226"/>
      <c r="K28" s="226"/>
      <c r="L28" s="244"/>
      <c r="M28" s="245"/>
      <c r="N28" s="226"/>
      <c r="O28" s="226"/>
      <c r="P28" s="226"/>
      <c r="Q28" s="246" t="s">
        <v>658</v>
      </c>
      <c r="R28" s="226"/>
      <c r="S28" s="226"/>
      <c r="T28" s="226"/>
      <c r="U28" s="226"/>
      <c r="V28" s="226"/>
      <c r="W28" s="244"/>
      <c r="X28" s="226"/>
      <c r="Y28" s="197"/>
      <c r="Z28" s="202" t="s">
        <v>659</v>
      </c>
      <c r="AA28" s="226"/>
      <c r="AB28" s="226"/>
      <c r="AC28" s="226"/>
      <c r="AD28" s="204"/>
      <c r="AE28" s="244"/>
      <c r="AG28" s="202" t="s">
        <v>660</v>
      </c>
      <c r="AN28" s="244"/>
      <c r="AO28" s="247"/>
      <c r="AP28" s="226"/>
      <c r="AQ28" s="226"/>
      <c r="AR28" s="226"/>
      <c r="AS28" s="226"/>
      <c r="AT28" s="226"/>
      <c r="AU28" s="226"/>
      <c r="AV28" s="226"/>
      <c r="AW28" s="226"/>
      <c r="AX28" s="226"/>
    </row>
    <row r="29" spans="1:50" ht="9" customHeight="1" x14ac:dyDescent="0.25">
      <c r="A29" s="197"/>
      <c r="B29" s="251"/>
      <c r="C29" s="197"/>
      <c r="D29" s="197"/>
      <c r="E29" s="197"/>
      <c r="F29" s="197"/>
      <c r="G29" s="197"/>
      <c r="H29" s="197"/>
      <c r="I29" s="197"/>
      <c r="J29" s="226"/>
      <c r="K29" s="226"/>
      <c r="L29" s="226"/>
      <c r="M29" s="245"/>
      <c r="N29" s="226"/>
      <c r="O29" s="226"/>
      <c r="P29" s="226"/>
      <c r="Q29" s="246"/>
      <c r="R29" s="226"/>
      <c r="S29" s="226"/>
      <c r="T29" s="226"/>
      <c r="U29" s="226"/>
      <c r="V29" s="226"/>
      <c r="W29" s="226"/>
      <c r="X29" s="226"/>
      <c r="Y29" s="197"/>
      <c r="Z29" s="226"/>
      <c r="AA29" s="226"/>
      <c r="AB29" s="226"/>
      <c r="AC29" s="226"/>
      <c r="AD29" s="234"/>
      <c r="AO29" s="247"/>
      <c r="AP29" s="226"/>
      <c r="AQ29" s="226"/>
      <c r="AR29" s="226"/>
      <c r="AS29" s="226"/>
      <c r="AT29" s="226"/>
      <c r="AU29" s="226"/>
      <c r="AV29" s="226"/>
      <c r="AW29" s="226"/>
      <c r="AX29" s="226"/>
    </row>
    <row r="30" spans="1:50" ht="18.75" customHeight="1" x14ac:dyDescent="0.3">
      <c r="A30" s="197"/>
      <c r="B30" s="481" t="s">
        <v>1371</v>
      </c>
      <c r="C30" s="197"/>
      <c r="D30" s="197"/>
      <c r="E30" s="197"/>
      <c r="F30" s="197"/>
      <c r="G30" s="197"/>
      <c r="H30" s="197"/>
      <c r="I30" s="197"/>
      <c r="J30" s="226"/>
      <c r="K30" s="226"/>
      <c r="L30" s="244"/>
      <c r="M30" s="245"/>
      <c r="N30" s="226"/>
      <c r="O30" s="226"/>
      <c r="P30" s="226"/>
      <c r="Q30" s="246" t="s">
        <v>661</v>
      </c>
      <c r="R30" s="226"/>
      <c r="S30" s="226"/>
      <c r="T30" s="226"/>
      <c r="U30" s="226"/>
      <c r="V30" s="226"/>
      <c r="W30" s="244"/>
      <c r="X30" s="226"/>
      <c r="Y30" s="197"/>
      <c r="Z30" s="202" t="s">
        <v>662</v>
      </c>
      <c r="AA30" s="226"/>
      <c r="AB30" s="226"/>
      <c r="AC30" s="226"/>
      <c r="AD30" s="204"/>
      <c r="AE30" s="244"/>
      <c r="AG30" s="202" t="s">
        <v>663</v>
      </c>
      <c r="AN30" s="244"/>
      <c r="AO30" s="247"/>
      <c r="AP30" s="226"/>
      <c r="AQ30" s="226"/>
      <c r="AR30" s="226"/>
      <c r="AS30" s="226"/>
      <c r="AT30" s="226"/>
      <c r="AU30" s="226"/>
      <c r="AV30" s="226"/>
      <c r="AW30" s="226"/>
      <c r="AX30" s="226"/>
    </row>
    <row r="31" spans="1:50" ht="9" customHeight="1" thickBot="1" x14ac:dyDescent="0.3">
      <c r="A31" s="197"/>
      <c r="B31" s="482" t="s">
        <v>1372</v>
      </c>
      <c r="C31" s="235"/>
      <c r="D31" s="235"/>
      <c r="E31" s="235"/>
      <c r="F31" s="235"/>
      <c r="G31" s="235"/>
      <c r="H31" s="235"/>
      <c r="I31" s="235"/>
      <c r="J31" s="236"/>
      <c r="K31" s="236"/>
      <c r="L31" s="236"/>
      <c r="M31" s="248"/>
      <c r="N31" s="226"/>
      <c r="O31" s="226"/>
      <c r="P31" s="226"/>
      <c r="Q31" s="246"/>
      <c r="R31" s="226"/>
      <c r="S31" s="226"/>
      <c r="T31" s="226"/>
      <c r="U31" s="226"/>
      <c r="V31" s="226"/>
      <c r="X31" s="226"/>
      <c r="Y31" s="197"/>
      <c r="AA31" s="226"/>
      <c r="AB31" s="226"/>
      <c r="AC31" s="226"/>
      <c r="AO31" s="247"/>
      <c r="AP31" s="226"/>
      <c r="AQ31" s="226"/>
      <c r="AR31" s="226"/>
      <c r="AS31" s="226"/>
      <c r="AT31" s="226"/>
      <c r="AU31" s="226"/>
      <c r="AV31" s="226"/>
      <c r="AW31" s="226"/>
      <c r="AX31" s="226"/>
    </row>
    <row r="32" spans="1:50" ht="18.75" customHeight="1" x14ac:dyDescent="0.3">
      <c r="A32" s="197"/>
      <c r="B32" s="197"/>
      <c r="C32" s="197"/>
      <c r="D32" s="197"/>
      <c r="E32" s="197"/>
      <c r="F32" s="197"/>
      <c r="G32" s="197"/>
      <c r="H32" s="197"/>
      <c r="I32" s="197"/>
      <c r="J32" s="226"/>
      <c r="K32" s="226"/>
      <c r="L32" s="226"/>
      <c r="M32" s="226"/>
      <c r="N32" s="226"/>
      <c r="O32" s="226"/>
      <c r="P32" s="226"/>
      <c r="Q32" s="246" t="s">
        <v>664</v>
      </c>
      <c r="R32" s="226"/>
      <c r="S32" s="1881"/>
      <c r="T32" s="1884"/>
      <c r="U32" s="1884"/>
      <c r="V32" s="1884"/>
      <c r="W32" s="1884"/>
      <c r="X32" s="1884"/>
      <c r="Y32" s="1884"/>
      <c r="Z32" s="1884"/>
      <c r="AA32" s="1884"/>
      <c r="AB32" s="1884"/>
      <c r="AC32" s="1884"/>
      <c r="AD32" s="1884"/>
      <c r="AE32" s="1885"/>
      <c r="AO32" s="245"/>
      <c r="AP32" s="226"/>
      <c r="AQ32" s="226"/>
      <c r="AR32" s="226"/>
      <c r="AS32" s="226"/>
      <c r="AT32" s="226"/>
      <c r="AU32" s="226"/>
      <c r="AV32" s="226"/>
      <c r="AW32" s="226"/>
      <c r="AX32" s="226"/>
    </row>
    <row r="33" spans="1:50" ht="9" customHeight="1" thickBot="1" x14ac:dyDescent="0.3">
      <c r="A33" s="197"/>
      <c r="B33" s="197"/>
      <c r="C33" s="197"/>
      <c r="D33" s="197"/>
      <c r="E33" s="197"/>
      <c r="F33" s="197"/>
      <c r="G33" s="197"/>
      <c r="H33" s="197"/>
      <c r="I33" s="197"/>
      <c r="J33" s="226"/>
      <c r="K33" s="226"/>
      <c r="L33" s="226"/>
      <c r="M33" s="226"/>
      <c r="N33" s="226"/>
      <c r="O33" s="226"/>
      <c r="P33" s="226"/>
      <c r="Q33" s="249"/>
      <c r="R33" s="236"/>
      <c r="S33" s="236"/>
      <c r="T33" s="236"/>
      <c r="U33" s="236"/>
      <c r="V33" s="236"/>
      <c r="W33" s="236"/>
      <c r="X33" s="236"/>
      <c r="Y33" s="236"/>
      <c r="Z33" s="236"/>
      <c r="AA33" s="236"/>
      <c r="AB33" s="236"/>
      <c r="AC33" s="236"/>
      <c r="AD33" s="236"/>
      <c r="AE33" s="221"/>
      <c r="AF33" s="221"/>
      <c r="AG33" s="221"/>
      <c r="AH33" s="221"/>
      <c r="AI33" s="221"/>
      <c r="AJ33" s="221"/>
      <c r="AK33" s="221"/>
      <c r="AL33" s="221"/>
      <c r="AM33" s="221"/>
      <c r="AN33" s="221"/>
      <c r="AO33" s="248"/>
      <c r="AP33" s="226"/>
      <c r="AQ33" s="226"/>
      <c r="AR33" s="226"/>
      <c r="AS33" s="226"/>
      <c r="AT33" s="226"/>
      <c r="AU33" s="226"/>
      <c r="AV33" s="226"/>
      <c r="AW33" s="226"/>
      <c r="AX33" s="226"/>
    </row>
    <row r="34" spans="1:50" ht="9" customHeight="1" x14ac:dyDescent="0.25">
      <c r="A34" s="197"/>
      <c r="B34" s="197"/>
      <c r="C34" s="197"/>
      <c r="D34" s="197"/>
      <c r="E34" s="197"/>
      <c r="F34" s="197"/>
      <c r="G34" s="197"/>
      <c r="H34" s="197"/>
      <c r="I34" s="197"/>
      <c r="J34" s="226"/>
      <c r="K34" s="226"/>
      <c r="L34" s="226"/>
      <c r="M34" s="226"/>
      <c r="N34" s="226"/>
      <c r="O34" s="226"/>
      <c r="P34" s="226"/>
      <c r="R34" s="226"/>
      <c r="S34" s="226"/>
      <c r="T34" s="226"/>
      <c r="U34" s="226"/>
      <c r="V34" s="226"/>
      <c r="W34" s="226"/>
      <c r="X34" s="226"/>
      <c r="Y34" s="226"/>
      <c r="Z34" s="226"/>
      <c r="AA34" s="226"/>
      <c r="AB34" s="226"/>
      <c r="AC34" s="226"/>
      <c r="AD34" s="226"/>
      <c r="AO34" s="226"/>
      <c r="AP34" s="226"/>
      <c r="AQ34" s="226"/>
      <c r="AR34" s="226"/>
      <c r="AS34" s="226"/>
      <c r="AT34" s="226"/>
      <c r="AU34" s="226"/>
      <c r="AV34" s="226"/>
      <c r="AW34" s="226"/>
      <c r="AX34" s="226"/>
    </row>
    <row r="35" spans="1:50" ht="18.75" customHeight="1" x14ac:dyDescent="0.25">
      <c r="A35" s="197"/>
      <c r="B35" s="197"/>
      <c r="C35" s="197"/>
      <c r="D35" s="197"/>
      <c r="E35" s="197"/>
      <c r="F35" s="197"/>
      <c r="G35" s="197"/>
      <c r="H35" s="197"/>
      <c r="I35" s="197"/>
      <c r="J35" s="226"/>
      <c r="K35" s="226"/>
      <c r="L35" s="226"/>
      <c r="M35" s="226"/>
      <c r="N35" s="226"/>
      <c r="O35" s="226"/>
      <c r="P35" s="226"/>
      <c r="R35" s="226"/>
      <c r="S35" s="226"/>
      <c r="T35" s="226"/>
      <c r="U35" s="226"/>
      <c r="V35" s="226"/>
      <c r="W35" s="226"/>
      <c r="X35" s="226"/>
      <c r="Y35" s="226"/>
      <c r="Z35" s="226"/>
      <c r="AA35" s="226"/>
      <c r="AB35" s="226"/>
      <c r="AC35" s="226"/>
      <c r="AD35" s="226"/>
      <c r="AO35" s="226"/>
      <c r="AP35" s="226"/>
      <c r="AQ35" s="226"/>
      <c r="AR35" s="226"/>
      <c r="AS35" s="226"/>
      <c r="AT35" s="226"/>
      <c r="AU35" s="226"/>
      <c r="AV35" s="226"/>
      <c r="AW35" s="226"/>
      <c r="AX35" s="226"/>
    </row>
    <row r="36" spans="1:50" ht="6.75" customHeight="1" thickBot="1" x14ac:dyDescent="0.3">
      <c r="A36" s="197"/>
      <c r="B36" s="197"/>
      <c r="C36" s="197"/>
      <c r="D36" s="197"/>
      <c r="E36" s="197"/>
      <c r="F36" s="197"/>
      <c r="G36" s="197"/>
      <c r="H36" s="197"/>
      <c r="I36" s="197"/>
      <c r="J36" s="226"/>
      <c r="K36" s="226"/>
      <c r="L36" s="226"/>
      <c r="M36" s="226"/>
      <c r="N36" s="226"/>
      <c r="O36" s="226"/>
      <c r="P36" s="226"/>
      <c r="R36" s="226"/>
      <c r="S36" s="226"/>
      <c r="T36" s="226"/>
      <c r="U36" s="226"/>
      <c r="V36" s="226"/>
      <c r="W36" s="226"/>
      <c r="X36" s="226"/>
      <c r="Y36" s="226"/>
      <c r="Z36" s="226"/>
      <c r="AA36" s="226"/>
      <c r="AB36" s="226"/>
      <c r="AC36" s="226"/>
      <c r="AD36" s="226"/>
      <c r="AO36" s="226"/>
      <c r="AP36" s="226"/>
      <c r="AQ36" s="226"/>
      <c r="AR36" s="226"/>
      <c r="AS36" s="226"/>
      <c r="AT36" s="226"/>
      <c r="AU36" s="226"/>
      <c r="AV36" s="226"/>
      <c r="AW36" s="226"/>
      <c r="AX36" s="226"/>
    </row>
    <row r="37" spans="1:50" ht="9" customHeight="1" x14ac:dyDescent="0.25">
      <c r="A37" s="197"/>
      <c r="B37" s="237"/>
      <c r="C37" s="238"/>
      <c r="D37" s="238"/>
      <c r="E37" s="238"/>
      <c r="F37" s="238"/>
      <c r="G37" s="238"/>
      <c r="H37" s="238"/>
      <c r="I37" s="238"/>
      <c r="J37" s="239"/>
      <c r="K37" s="239"/>
      <c r="L37" s="239"/>
      <c r="M37" s="239"/>
      <c r="N37" s="239"/>
      <c r="O37" s="239"/>
      <c r="P37" s="239"/>
      <c r="Q37" s="242"/>
      <c r="R37" s="239"/>
      <c r="S37" s="239"/>
      <c r="T37" s="239"/>
      <c r="U37" s="239"/>
      <c r="V37" s="240"/>
      <c r="W37" s="226"/>
      <c r="X37" s="589"/>
      <c r="Y37" s="590"/>
      <c r="Z37" s="590"/>
      <c r="AA37" s="590"/>
      <c r="AB37" s="590"/>
      <c r="AC37" s="590"/>
      <c r="AD37" s="590"/>
      <c r="AE37" s="591"/>
      <c r="AF37" s="591"/>
      <c r="AG37" s="591"/>
      <c r="AH37" s="591"/>
      <c r="AI37" s="591"/>
      <c r="AJ37" s="591"/>
      <c r="AK37" s="591"/>
      <c r="AL37" s="591"/>
      <c r="AM37" s="591"/>
      <c r="AN37" s="592"/>
      <c r="AO37" s="226"/>
      <c r="AP37" s="226"/>
      <c r="AQ37" s="226"/>
      <c r="AR37" s="226"/>
      <c r="AS37" s="226"/>
      <c r="AT37" s="226"/>
      <c r="AU37" s="226"/>
      <c r="AV37" s="226"/>
      <c r="AW37" s="226"/>
      <c r="AX37" s="226"/>
    </row>
    <row r="38" spans="1:50" ht="18.75" customHeight="1" x14ac:dyDescent="0.35">
      <c r="A38" s="197"/>
      <c r="B38" s="246" t="s">
        <v>665</v>
      </c>
      <c r="C38" s="197"/>
      <c r="D38" s="197"/>
      <c r="E38" s="197"/>
      <c r="F38" s="197"/>
      <c r="G38" s="197"/>
      <c r="H38" s="197"/>
      <c r="I38" s="197"/>
      <c r="J38" s="1881"/>
      <c r="K38" s="1892"/>
      <c r="L38" s="1892"/>
      <c r="M38" s="1892"/>
      <c r="N38" s="1892"/>
      <c r="O38" s="1892"/>
      <c r="P38" s="1892"/>
      <c r="Q38" s="1892"/>
      <c r="R38" s="1892"/>
      <c r="S38" s="1892"/>
      <c r="T38" s="1892"/>
      <c r="U38" s="1893"/>
      <c r="V38" s="250" t="s">
        <v>666</v>
      </c>
      <c r="X38" s="593"/>
      <c r="Y38" s="601"/>
      <c r="Z38" s="226"/>
      <c r="AA38" s="226"/>
      <c r="AB38" s="226"/>
      <c r="AC38" s="226"/>
      <c r="AD38" s="415"/>
      <c r="AG38" s="210"/>
      <c r="AN38" s="594"/>
      <c r="AO38" s="226"/>
      <c r="AP38" s="226"/>
      <c r="AQ38" s="226"/>
      <c r="AR38" s="226"/>
      <c r="AS38" s="226"/>
      <c r="AT38" s="226"/>
      <c r="AU38" s="226"/>
      <c r="AV38" s="226"/>
      <c r="AW38" s="226"/>
      <c r="AX38" s="226"/>
    </row>
    <row r="39" spans="1:50" ht="9" customHeight="1" x14ac:dyDescent="0.25">
      <c r="A39" s="197"/>
      <c r="B39" s="251"/>
      <c r="C39" s="197"/>
      <c r="D39" s="197"/>
      <c r="E39" s="197"/>
      <c r="F39" s="197"/>
      <c r="G39" s="197"/>
      <c r="H39" s="197"/>
      <c r="I39" s="197"/>
      <c r="J39" s="226"/>
      <c r="K39" s="226"/>
      <c r="L39" s="226"/>
      <c r="M39" s="226"/>
      <c r="N39" s="226"/>
      <c r="O39" s="226"/>
      <c r="P39" s="226"/>
      <c r="R39" s="226"/>
      <c r="S39" s="226"/>
      <c r="T39" s="226"/>
      <c r="U39" s="226"/>
      <c r="V39" s="245"/>
      <c r="X39" s="595"/>
      <c r="Z39" s="226"/>
      <c r="AA39" s="226"/>
      <c r="AB39" s="226"/>
      <c r="AC39" s="226"/>
      <c r="AD39" s="226"/>
      <c r="AN39" s="596"/>
      <c r="AO39" s="226"/>
      <c r="AP39" s="226"/>
      <c r="AQ39" s="226"/>
      <c r="AR39" s="226"/>
      <c r="AS39" s="226"/>
      <c r="AT39" s="226"/>
      <c r="AU39" s="226"/>
      <c r="AV39" s="226"/>
      <c r="AW39" s="226"/>
      <c r="AX39" s="226"/>
    </row>
    <row r="40" spans="1:50" ht="18.75" customHeight="1" x14ac:dyDescent="0.3">
      <c r="A40" s="197"/>
      <c r="B40" s="1894" t="s">
        <v>668</v>
      </c>
      <c r="C40" s="1895"/>
      <c r="D40" s="1895"/>
      <c r="E40" s="1895"/>
      <c r="F40" s="1895"/>
      <c r="G40" s="1895"/>
      <c r="H40" s="1895"/>
      <c r="I40" s="1895"/>
      <c r="J40" s="244"/>
      <c r="L40" s="252" t="s">
        <v>669</v>
      </c>
      <c r="R40" s="226"/>
      <c r="S40" s="226"/>
      <c r="T40" s="226"/>
      <c r="U40" s="226"/>
      <c r="V40" s="245"/>
      <c r="X40" s="593"/>
      <c r="Y40" s="226"/>
      <c r="Z40" s="226"/>
      <c r="AA40" s="226"/>
      <c r="AB40" s="226"/>
      <c r="AC40" s="226"/>
      <c r="AD40" s="415"/>
      <c r="AG40" s="210"/>
      <c r="AN40" s="594"/>
      <c r="AO40" s="226"/>
      <c r="AP40" s="226"/>
      <c r="AQ40" s="226"/>
      <c r="AR40" s="226"/>
      <c r="AS40" s="226"/>
      <c r="AT40" s="226"/>
      <c r="AU40" s="226"/>
      <c r="AV40" s="226"/>
      <c r="AW40" s="226"/>
      <c r="AX40" s="226"/>
    </row>
    <row r="41" spans="1:50" ht="9" customHeight="1" x14ac:dyDescent="0.25">
      <c r="A41" s="197"/>
      <c r="B41" s="251"/>
      <c r="C41" s="197"/>
      <c r="D41" s="197"/>
      <c r="E41" s="197"/>
      <c r="F41" s="197"/>
      <c r="G41" s="197"/>
      <c r="H41" s="197"/>
      <c r="I41" s="197"/>
      <c r="J41" s="226"/>
      <c r="K41" s="226"/>
      <c r="L41" s="226"/>
      <c r="M41" s="226"/>
      <c r="N41" s="226"/>
      <c r="O41" s="226"/>
      <c r="P41" s="226"/>
      <c r="R41" s="226"/>
      <c r="S41" s="226"/>
      <c r="T41" s="226"/>
      <c r="U41" s="226"/>
      <c r="V41" s="245"/>
      <c r="X41" s="593"/>
      <c r="Y41" s="226"/>
      <c r="Z41" s="226"/>
      <c r="AA41" s="226"/>
      <c r="AB41" s="226"/>
      <c r="AC41" s="226"/>
      <c r="AD41" s="226"/>
      <c r="AN41" s="596"/>
      <c r="AO41" s="226"/>
      <c r="AP41" s="226"/>
      <c r="AQ41" s="226"/>
      <c r="AR41" s="226"/>
      <c r="AS41" s="226"/>
      <c r="AT41" s="226"/>
      <c r="AU41" s="226"/>
      <c r="AV41" s="226"/>
      <c r="AW41" s="226"/>
      <c r="AX41" s="226"/>
    </row>
    <row r="42" spans="1:50" ht="18.75" customHeight="1" x14ac:dyDescent="0.3">
      <c r="A42" s="197"/>
      <c r="B42" s="246" t="s">
        <v>670</v>
      </c>
      <c r="C42" s="197"/>
      <c r="D42" s="197"/>
      <c r="E42" s="197"/>
      <c r="F42" s="197"/>
      <c r="G42" s="197"/>
      <c r="H42" s="197"/>
      <c r="I42" s="197"/>
      <c r="J42" s="1881"/>
      <c r="K42" s="1885"/>
      <c r="L42" s="219" t="s">
        <v>671</v>
      </c>
      <c r="M42" s="416"/>
      <c r="N42" s="416"/>
      <c r="O42" s="416"/>
      <c r="P42" s="416"/>
      <c r="R42" s="226"/>
      <c r="S42" s="226"/>
      <c r="T42" s="226"/>
      <c r="U42" s="226"/>
      <c r="V42" s="245"/>
      <c r="X42" s="593"/>
      <c r="Y42" s="226"/>
      <c r="Z42" s="226"/>
      <c r="AA42" s="226"/>
      <c r="AB42" s="226"/>
      <c r="AC42" s="226"/>
      <c r="AD42" s="415"/>
      <c r="AN42" s="596"/>
      <c r="AO42" s="226"/>
      <c r="AP42" s="226"/>
      <c r="AQ42" s="226"/>
      <c r="AR42" s="226"/>
      <c r="AS42" s="226"/>
      <c r="AT42" s="226"/>
      <c r="AU42" s="226"/>
      <c r="AV42" s="226"/>
      <c r="AW42" s="226"/>
      <c r="AX42" s="226"/>
    </row>
    <row r="43" spans="1:50" ht="9" customHeight="1" x14ac:dyDescent="0.25">
      <c r="A43" s="197"/>
      <c r="B43" s="246"/>
      <c r="C43" s="197"/>
      <c r="D43" s="197"/>
      <c r="E43" s="197"/>
      <c r="F43" s="197"/>
      <c r="G43" s="197"/>
      <c r="H43" s="197"/>
      <c r="I43" s="197"/>
      <c r="J43" s="226"/>
      <c r="K43" s="226"/>
      <c r="L43" s="226"/>
      <c r="M43" s="226"/>
      <c r="N43" s="226"/>
      <c r="O43" s="226"/>
      <c r="P43" s="226"/>
      <c r="Q43" s="219"/>
      <c r="R43" s="226"/>
      <c r="S43" s="226"/>
      <c r="T43" s="226"/>
      <c r="U43" s="226"/>
      <c r="V43" s="245"/>
      <c r="X43" s="593"/>
      <c r="Y43" s="226"/>
      <c r="Z43" s="226"/>
      <c r="AA43" s="226"/>
      <c r="AB43" s="226"/>
      <c r="AC43" s="226"/>
      <c r="AN43" s="596"/>
      <c r="AO43" s="226"/>
      <c r="AP43" s="226"/>
      <c r="AQ43" s="226"/>
      <c r="AR43" s="226"/>
      <c r="AS43" s="226"/>
      <c r="AT43" s="226"/>
      <c r="AU43" s="226"/>
      <c r="AV43" s="226"/>
      <c r="AW43" s="226"/>
      <c r="AX43" s="226"/>
    </row>
    <row r="44" spans="1:50" ht="18.75" customHeight="1" x14ac:dyDescent="0.3">
      <c r="A44" s="197"/>
      <c r="B44" s="246" t="s">
        <v>972</v>
      </c>
      <c r="C44" s="197"/>
      <c r="D44" s="197"/>
      <c r="E44" s="197"/>
      <c r="F44" s="197"/>
      <c r="G44" s="197"/>
      <c r="H44" s="197"/>
      <c r="I44" s="197"/>
      <c r="J44" s="226"/>
      <c r="K44" s="226"/>
      <c r="L44" s="226"/>
      <c r="M44" s="244"/>
      <c r="N44" s="283" t="s">
        <v>85</v>
      </c>
      <c r="O44" s="226"/>
      <c r="P44" s="244"/>
      <c r="Q44" s="283" t="s">
        <v>87</v>
      </c>
      <c r="V44" s="245"/>
      <c r="X44" s="593"/>
      <c r="Y44" s="226"/>
      <c r="Z44" s="226"/>
      <c r="AA44" s="226"/>
      <c r="AB44" s="226"/>
      <c r="AC44" s="226"/>
      <c r="AN44" s="596"/>
      <c r="AO44" s="226"/>
      <c r="AP44" s="226"/>
      <c r="AQ44" s="226"/>
      <c r="AR44" s="226"/>
      <c r="AS44" s="226"/>
      <c r="AT44" s="226"/>
      <c r="AU44" s="226"/>
      <c r="AV44" s="226"/>
      <c r="AW44" s="226"/>
      <c r="AX44" s="226"/>
    </row>
    <row r="45" spans="1:50" ht="9" customHeight="1" thickBot="1" x14ac:dyDescent="0.3">
      <c r="A45" s="197"/>
      <c r="B45" s="249"/>
      <c r="C45" s="235"/>
      <c r="D45" s="235"/>
      <c r="E45" s="235"/>
      <c r="F45" s="235"/>
      <c r="G45" s="235"/>
      <c r="H45" s="235"/>
      <c r="I45" s="235"/>
      <c r="J45" s="236"/>
      <c r="K45" s="236"/>
      <c r="L45" s="236"/>
      <c r="M45" s="236"/>
      <c r="N45" s="236"/>
      <c r="O45" s="236"/>
      <c r="P45" s="236"/>
      <c r="Q45" s="253"/>
      <c r="R45" s="236"/>
      <c r="S45" s="236"/>
      <c r="T45" s="236"/>
      <c r="U45" s="236"/>
      <c r="V45" s="248"/>
      <c r="X45" s="597"/>
      <c r="Y45" s="598"/>
      <c r="Z45" s="598"/>
      <c r="AA45" s="598"/>
      <c r="AB45" s="598"/>
      <c r="AC45" s="598"/>
      <c r="AD45" s="599"/>
      <c r="AE45" s="599"/>
      <c r="AF45" s="599"/>
      <c r="AG45" s="599"/>
      <c r="AH45" s="599"/>
      <c r="AI45" s="599"/>
      <c r="AJ45" s="599"/>
      <c r="AK45" s="599"/>
      <c r="AL45" s="599"/>
      <c r="AM45" s="599"/>
      <c r="AN45" s="600"/>
      <c r="AO45" s="226"/>
      <c r="AP45" s="226"/>
      <c r="AQ45" s="226"/>
      <c r="AR45" s="226"/>
      <c r="AS45" s="226"/>
      <c r="AT45" s="226"/>
      <c r="AU45" s="226"/>
      <c r="AV45" s="226"/>
      <c r="AW45" s="226"/>
      <c r="AX45" s="226"/>
    </row>
    <row r="46" spans="1:50" ht="5.25" customHeight="1" x14ac:dyDescent="0.25">
      <c r="A46" s="197"/>
      <c r="C46" s="197"/>
      <c r="D46" s="197"/>
      <c r="E46" s="197"/>
      <c r="F46" s="197"/>
      <c r="G46" s="197"/>
      <c r="H46" s="197"/>
      <c r="I46" s="197"/>
      <c r="J46" s="226"/>
      <c r="K46" s="226"/>
      <c r="L46" s="226"/>
      <c r="M46" s="226"/>
      <c r="N46" s="226"/>
      <c r="O46" s="226"/>
      <c r="P46" s="226"/>
      <c r="Q46" s="219"/>
      <c r="R46" s="226"/>
      <c r="S46" s="226"/>
      <c r="T46" s="226"/>
      <c r="U46" s="226"/>
      <c r="V46" s="226"/>
      <c r="Y46" s="226"/>
      <c r="Z46" s="226"/>
      <c r="AA46" s="226"/>
      <c r="AB46" s="226"/>
      <c r="AC46" s="226"/>
      <c r="AO46" s="226"/>
      <c r="AP46" s="226"/>
      <c r="AQ46" s="226"/>
      <c r="AR46" s="226"/>
      <c r="AS46" s="226"/>
      <c r="AT46" s="226"/>
      <c r="AU46" s="226"/>
      <c r="AV46" s="226"/>
      <c r="AW46" s="226"/>
      <c r="AX46" s="226"/>
    </row>
    <row r="47" spans="1:50" ht="12.75" hidden="1" customHeight="1" thickBot="1" x14ac:dyDescent="0.3">
      <c r="A47" s="197"/>
      <c r="C47" s="197"/>
      <c r="D47" s="197"/>
      <c r="E47" s="197"/>
      <c r="F47" s="197"/>
      <c r="G47" s="197"/>
      <c r="H47" s="197"/>
      <c r="I47" s="197"/>
      <c r="J47" s="226"/>
      <c r="K47" s="226"/>
      <c r="L47" s="226"/>
      <c r="M47" s="226"/>
      <c r="N47" s="226"/>
      <c r="O47" s="226"/>
      <c r="P47" s="226"/>
      <c r="Q47" s="219"/>
      <c r="R47" s="226"/>
      <c r="S47" s="226"/>
      <c r="T47" s="226"/>
      <c r="U47" s="226"/>
      <c r="V47" s="226"/>
      <c r="Y47" s="226"/>
      <c r="Z47" s="226"/>
      <c r="AA47" s="226"/>
      <c r="AB47" s="226"/>
      <c r="AC47" s="226"/>
      <c r="AO47" s="226"/>
      <c r="AP47" s="226"/>
      <c r="AQ47" s="226"/>
      <c r="AR47" s="226"/>
      <c r="AS47" s="226"/>
      <c r="AT47" s="226"/>
      <c r="AU47" s="226"/>
      <c r="AV47" s="226"/>
      <c r="AW47" s="226"/>
      <c r="AX47" s="226"/>
    </row>
    <row r="48" spans="1:50" ht="15.75" hidden="1" customHeight="1" thickBot="1" x14ac:dyDescent="0.3">
      <c r="A48" s="197"/>
      <c r="C48" s="197"/>
      <c r="D48" s="197"/>
      <c r="E48" s="197"/>
      <c r="F48" s="197"/>
      <c r="G48" s="197"/>
      <c r="H48" s="197"/>
      <c r="I48" s="197"/>
      <c r="J48" s="226"/>
      <c r="K48" s="226"/>
      <c r="L48" s="226"/>
      <c r="M48" s="226"/>
      <c r="N48" s="226"/>
      <c r="O48" s="226"/>
      <c r="P48" s="226"/>
      <c r="Q48" s="219"/>
      <c r="R48" s="226"/>
      <c r="S48" s="226"/>
      <c r="T48" s="226"/>
      <c r="U48" s="226"/>
      <c r="V48" s="226"/>
      <c r="Y48" s="226"/>
      <c r="Z48" s="226"/>
      <c r="AA48" s="226"/>
      <c r="AB48" s="226"/>
      <c r="AC48" s="226"/>
      <c r="AO48" s="226"/>
      <c r="AP48" s="226"/>
      <c r="AQ48" s="226"/>
      <c r="AR48" s="226"/>
      <c r="AS48" s="226"/>
      <c r="AT48" s="226"/>
      <c r="AU48" s="226"/>
      <c r="AV48" s="226"/>
      <c r="AW48" s="226"/>
      <c r="AX48" s="226"/>
    </row>
    <row r="49" spans="2:42" s="204" customFormat="1" ht="9" hidden="1" customHeight="1" x14ac:dyDescent="0.25">
      <c r="B49" s="254"/>
      <c r="AN49" s="255"/>
      <c r="AO49" s="256"/>
    </row>
    <row r="50" spans="2:42" s="204" customFormat="1" ht="13.5" hidden="1" customHeight="1" x14ac:dyDescent="0.3">
      <c r="B50" s="246"/>
      <c r="C50" s="1902" t="s">
        <v>973</v>
      </c>
      <c r="D50" s="1903"/>
      <c r="E50" s="1903"/>
      <c r="F50" s="1903"/>
      <c r="G50" s="1903"/>
      <c r="H50" s="1903"/>
      <c r="I50" s="1903"/>
      <c r="J50" s="1903"/>
      <c r="K50" s="1904"/>
      <c r="L50" s="1904"/>
      <c r="M50" s="1904"/>
      <c r="N50" s="1904"/>
      <c r="O50" s="1904"/>
      <c r="P50" s="1904"/>
      <c r="Q50" s="1904"/>
      <c r="R50" s="1904"/>
      <c r="S50" s="1904"/>
      <c r="T50" s="1904"/>
      <c r="U50" s="1904"/>
      <c r="V50" s="1904"/>
      <c r="W50" s="1904"/>
      <c r="X50" s="1904"/>
      <c r="Y50" s="1904"/>
      <c r="Z50" s="1904"/>
      <c r="AA50" s="1904"/>
      <c r="AB50" s="1904"/>
      <c r="AC50" s="1904"/>
      <c r="AD50" s="1904"/>
      <c r="AE50" s="1904"/>
      <c r="AF50" s="1904"/>
      <c r="AG50" s="1904"/>
      <c r="AH50" s="1904"/>
      <c r="AI50" s="1904"/>
      <c r="AJ50" s="1904"/>
      <c r="AK50" s="1904"/>
      <c r="AL50" s="1904"/>
      <c r="AM50" s="1904"/>
      <c r="AN50" s="417"/>
      <c r="AO50" s="258"/>
      <c r="AP50" s="234"/>
    </row>
    <row r="51" spans="2:42" s="204" customFormat="1" ht="13.5" hidden="1" customHeight="1" x14ac:dyDescent="0.3">
      <c r="B51" s="246"/>
      <c r="C51" s="383" t="s">
        <v>974</v>
      </c>
      <c r="D51" s="414"/>
      <c r="E51" s="414"/>
      <c r="F51" s="414"/>
      <c r="G51" s="414"/>
      <c r="H51" s="414"/>
      <c r="I51" s="414"/>
      <c r="J51" s="414"/>
      <c r="K51" s="291"/>
      <c r="L51" s="291"/>
      <c r="M51" s="291"/>
      <c r="N51" s="291"/>
      <c r="O51" s="291"/>
      <c r="P51" s="291"/>
      <c r="Q51" s="291"/>
      <c r="R51" s="291"/>
      <c r="S51" s="291"/>
      <c r="T51" s="291"/>
      <c r="U51" s="291"/>
      <c r="V51" s="291"/>
      <c r="W51" s="291"/>
      <c r="X51" s="291"/>
      <c r="Y51" s="291"/>
      <c r="Z51" s="291"/>
      <c r="AA51" s="291"/>
      <c r="AB51" s="291"/>
      <c r="AC51" s="291"/>
      <c r="AD51" s="291"/>
      <c r="AE51" s="291"/>
      <c r="AF51" s="291"/>
      <c r="AG51" s="291"/>
      <c r="AH51" s="291"/>
      <c r="AI51" s="291"/>
      <c r="AJ51" s="291"/>
      <c r="AK51" s="291"/>
      <c r="AL51" s="291"/>
      <c r="AN51" s="291"/>
      <c r="AO51" s="258"/>
      <c r="AP51" s="234"/>
    </row>
    <row r="52" spans="2:42" s="204" customFormat="1" ht="6" hidden="1" customHeight="1" x14ac:dyDescent="0.3">
      <c r="B52" s="246"/>
      <c r="C52" s="202"/>
      <c r="D52" s="414"/>
      <c r="E52" s="414"/>
      <c r="F52" s="414"/>
      <c r="G52" s="414"/>
      <c r="H52" s="414"/>
      <c r="I52" s="414"/>
      <c r="J52" s="414"/>
      <c r="K52" s="291"/>
      <c r="L52" s="291"/>
      <c r="M52" s="291"/>
      <c r="N52" s="291"/>
      <c r="O52" s="291"/>
      <c r="P52" s="291"/>
      <c r="Q52" s="291"/>
      <c r="R52" s="291"/>
      <c r="S52" s="291"/>
      <c r="T52" s="291"/>
      <c r="U52" s="291"/>
      <c r="V52" s="291"/>
      <c r="W52" s="291"/>
      <c r="X52" s="291"/>
      <c r="Y52" s="291"/>
      <c r="Z52" s="291"/>
      <c r="AA52" s="291"/>
      <c r="AB52" s="291"/>
      <c r="AC52" s="291"/>
      <c r="AD52" s="291"/>
      <c r="AE52" s="291"/>
      <c r="AF52" s="291"/>
      <c r="AG52" s="291"/>
      <c r="AH52" s="291"/>
      <c r="AI52" s="291"/>
      <c r="AJ52" s="291"/>
      <c r="AK52" s="291"/>
      <c r="AL52" s="291"/>
      <c r="AM52" s="291"/>
      <c r="AN52" s="417"/>
      <c r="AO52" s="258"/>
      <c r="AP52" s="234"/>
    </row>
    <row r="53" spans="2:42" s="204" customFormat="1" ht="13.5" hidden="1" customHeight="1" x14ac:dyDescent="0.3">
      <c r="B53" s="246"/>
      <c r="C53" s="1902" t="s">
        <v>994</v>
      </c>
      <c r="D53" s="1903"/>
      <c r="E53" s="1903"/>
      <c r="F53" s="1903"/>
      <c r="G53" s="1903"/>
      <c r="H53" s="1903"/>
      <c r="I53" s="1903"/>
      <c r="J53" s="1903"/>
      <c r="K53" s="1904"/>
      <c r="L53" s="1904"/>
      <c r="M53" s="1904"/>
      <c r="N53" s="1904"/>
      <c r="O53" s="1904"/>
      <c r="P53" s="1904"/>
      <c r="Q53" s="1904"/>
      <c r="R53" s="1904"/>
      <c r="S53" s="1904"/>
      <c r="T53" s="1904"/>
      <c r="U53" s="1904"/>
      <c r="V53" s="1904"/>
      <c r="W53" s="1904"/>
      <c r="X53" s="1904"/>
      <c r="Y53" s="1904"/>
      <c r="Z53" s="1904"/>
      <c r="AA53" s="1904"/>
      <c r="AB53" s="1904"/>
      <c r="AC53" s="1904"/>
      <c r="AD53" s="1904"/>
      <c r="AE53" s="1904"/>
      <c r="AF53" s="1904"/>
      <c r="AG53" s="1904"/>
      <c r="AH53" s="1904"/>
      <c r="AI53" s="1904"/>
      <c r="AJ53" s="1904"/>
      <c r="AK53" s="1904"/>
      <c r="AL53" s="1904"/>
      <c r="AM53" s="1904"/>
      <c r="AN53" s="417"/>
      <c r="AO53" s="258"/>
      <c r="AP53" s="234"/>
    </row>
    <row r="54" spans="2:42" s="204" customFormat="1" ht="13.5" hidden="1" customHeight="1" x14ac:dyDescent="0.3">
      <c r="B54" s="246"/>
      <c r="C54" s="202" t="s">
        <v>995</v>
      </c>
      <c r="D54" s="414"/>
      <c r="E54" s="414"/>
      <c r="F54" s="414"/>
      <c r="G54" s="414"/>
      <c r="H54" s="414"/>
      <c r="I54" s="414"/>
      <c r="J54" s="414"/>
      <c r="K54" s="291"/>
      <c r="L54" s="291"/>
      <c r="M54" s="291"/>
      <c r="N54" s="291"/>
      <c r="O54" s="291"/>
      <c r="P54" s="291"/>
      <c r="Q54" s="291"/>
      <c r="R54" s="291"/>
      <c r="S54" s="291"/>
      <c r="T54" s="291"/>
      <c r="U54" s="291"/>
      <c r="V54" s="291"/>
      <c r="W54" s="291"/>
      <c r="X54" s="291"/>
      <c r="Y54" s="291"/>
      <c r="Z54" s="291"/>
      <c r="AA54" s="291"/>
      <c r="AB54" s="291"/>
      <c r="AC54" s="291"/>
      <c r="AD54" s="291"/>
      <c r="AE54" s="291"/>
      <c r="AF54" s="291"/>
      <c r="AG54" s="291"/>
      <c r="AH54" s="291"/>
      <c r="AI54" s="291"/>
      <c r="AJ54" s="291"/>
      <c r="AK54" s="291"/>
      <c r="AL54" s="291"/>
      <c r="AM54" s="291"/>
      <c r="AN54" s="417"/>
      <c r="AO54" s="258"/>
      <c r="AP54" s="234"/>
    </row>
    <row r="55" spans="2:42" s="204" customFormat="1" ht="13.5" hidden="1" customHeight="1" x14ac:dyDescent="0.3">
      <c r="B55" s="246"/>
      <c r="C55" s="204" t="s">
        <v>975</v>
      </c>
      <c r="D55" s="414"/>
      <c r="E55" s="414"/>
      <c r="F55" s="414"/>
      <c r="G55" s="414"/>
      <c r="H55" s="414"/>
      <c r="I55" s="414"/>
      <c r="J55" s="414"/>
      <c r="K55" s="291"/>
      <c r="L55" s="291"/>
      <c r="M55" s="291"/>
      <c r="N55" s="291"/>
      <c r="O55" s="291"/>
      <c r="P55" s="291"/>
      <c r="Q55" s="291"/>
      <c r="R55" s="291"/>
      <c r="S55" s="291"/>
      <c r="T55" s="291"/>
      <c r="U55" s="291"/>
      <c r="V55" s="291"/>
      <c r="W55" s="291"/>
      <c r="X55" s="291"/>
      <c r="Y55" s="291"/>
      <c r="Z55" s="291"/>
      <c r="AA55" s="291"/>
      <c r="AB55" s="291"/>
      <c r="AC55" s="291"/>
      <c r="AD55" s="291"/>
      <c r="AE55" s="291"/>
      <c r="AF55" s="291"/>
      <c r="AG55" s="291"/>
      <c r="AH55" s="291"/>
      <c r="AI55" s="291"/>
      <c r="AJ55" s="291"/>
      <c r="AK55" s="291"/>
      <c r="AL55" s="291"/>
      <c r="AM55" s="291"/>
      <c r="AN55" s="291"/>
      <c r="AO55" s="258"/>
      <c r="AP55" s="234"/>
    </row>
    <row r="56" spans="2:42" s="204" customFormat="1" ht="6" hidden="1" customHeight="1" thickBot="1" x14ac:dyDescent="0.3">
      <c r="B56" s="259"/>
      <c r="AN56" s="260"/>
      <c r="AO56" s="261"/>
    </row>
    <row r="57" spans="2:42" s="204" customFormat="1" ht="9" customHeight="1" x14ac:dyDescent="0.25"/>
    <row r="58" spans="2:42" s="204" customFormat="1" ht="9" customHeight="1" x14ac:dyDescent="0.25"/>
    <row r="59" spans="2:42" s="204" customFormat="1" ht="9" customHeight="1" thickBot="1" x14ac:dyDescent="0.3"/>
    <row r="60" spans="2:42" s="204" customFormat="1" ht="9" customHeight="1" x14ac:dyDescent="0.25">
      <c r="B60" s="254"/>
      <c r="C60" s="255"/>
      <c r="D60" s="255"/>
      <c r="E60" s="255"/>
      <c r="F60" s="255"/>
      <c r="G60" s="255"/>
      <c r="H60" s="255"/>
      <c r="I60" s="255"/>
      <c r="J60" s="255"/>
      <c r="K60" s="255"/>
      <c r="L60" s="255"/>
      <c r="M60" s="255"/>
      <c r="N60" s="255"/>
      <c r="O60" s="255"/>
      <c r="P60" s="255"/>
      <c r="Q60" s="255"/>
      <c r="R60" s="255"/>
      <c r="S60" s="255"/>
      <c r="T60" s="255"/>
      <c r="U60" s="255"/>
      <c r="V60" s="255"/>
      <c r="W60" s="255"/>
      <c r="X60" s="255"/>
      <c r="Y60" s="255"/>
      <c r="Z60" s="255"/>
      <c r="AA60" s="255"/>
      <c r="AB60" s="255"/>
      <c r="AC60" s="255"/>
      <c r="AD60" s="255"/>
      <c r="AE60" s="255"/>
      <c r="AF60" s="255"/>
      <c r="AG60" s="255"/>
      <c r="AH60" s="255"/>
      <c r="AI60" s="255"/>
      <c r="AJ60" s="255"/>
      <c r="AK60" s="255"/>
      <c r="AL60" s="255"/>
      <c r="AM60" s="255"/>
      <c r="AN60" s="255"/>
      <c r="AO60" s="256"/>
    </row>
    <row r="61" spans="2:42" s="204" customFormat="1" ht="18.75" customHeight="1" x14ac:dyDescent="0.3">
      <c r="B61" s="246" t="s">
        <v>672</v>
      </c>
      <c r="I61" s="257"/>
      <c r="K61" s="202" t="s">
        <v>673</v>
      </c>
      <c r="L61" s="202"/>
      <c r="M61" s="202"/>
      <c r="N61" s="202"/>
      <c r="O61" s="202"/>
      <c r="S61" s="257"/>
      <c r="V61" s="204" t="s">
        <v>674</v>
      </c>
      <c r="Z61" s="1905"/>
      <c r="AA61" s="1906"/>
      <c r="AB61" s="1906"/>
      <c r="AC61" s="1906"/>
      <c r="AD61" s="1906"/>
      <c r="AE61" s="1906"/>
      <c r="AF61" s="1906"/>
      <c r="AG61" s="1906"/>
      <c r="AH61" s="1906"/>
      <c r="AI61" s="1906"/>
      <c r="AJ61" s="1906"/>
      <c r="AK61" s="1906"/>
      <c r="AL61" s="1906"/>
      <c r="AM61" s="1906"/>
      <c r="AN61" s="1907"/>
      <c r="AO61" s="263"/>
      <c r="AP61" s="234"/>
    </row>
    <row r="62" spans="2:42" s="204" customFormat="1" ht="9" customHeight="1" thickBot="1" x14ac:dyDescent="0.3">
      <c r="B62" s="259"/>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c r="AE62" s="260"/>
      <c r="AF62" s="260"/>
      <c r="AG62" s="260"/>
      <c r="AH62" s="260"/>
      <c r="AI62" s="260"/>
      <c r="AJ62" s="260"/>
      <c r="AK62" s="260"/>
      <c r="AL62" s="260"/>
      <c r="AM62" s="260"/>
      <c r="AN62" s="260"/>
      <c r="AO62" s="261"/>
    </row>
    <row r="63" spans="2:42" s="204" customFormat="1" ht="13.5" customHeight="1" x14ac:dyDescent="0.25"/>
    <row r="64" spans="2:42" s="204" customFormat="1" ht="18.75" customHeight="1" thickBot="1" x14ac:dyDescent="0.3"/>
    <row r="65" spans="1:50" s="204" customFormat="1" ht="9" customHeight="1" x14ac:dyDescent="0.25">
      <c r="B65" s="254"/>
      <c r="C65" s="255"/>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255"/>
      <c r="AH65" s="255"/>
      <c r="AI65" s="255"/>
      <c r="AJ65" s="255"/>
      <c r="AK65" s="255"/>
      <c r="AL65" s="255"/>
      <c r="AM65" s="255"/>
      <c r="AN65" s="255"/>
      <c r="AO65" s="256"/>
    </row>
    <row r="66" spans="1:50" s="204" customFormat="1" ht="11.25" customHeight="1" x14ac:dyDescent="0.25">
      <c r="B66" s="265" t="s">
        <v>675</v>
      </c>
      <c r="AO66" s="264"/>
    </row>
    <row r="67" spans="1:50" s="204" customFormat="1" ht="12" customHeight="1" x14ac:dyDescent="0.25">
      <c r="B67" s="265"/>
      <c r="AO67" s="264"/>
    </row>
    <row r="68" spans="1:50" ht="18.75" customHeight="1" x14ac:dyDescent="0.35">
      <c r="B68" s="246" t="s">
        <v>676</v>
      </c>
      <c r="F68" s="1881"/>
      <c r="G68" s="1882"/>
      <c r="H68" s="1882"/>
      <c r="I68" s="1882"/>
      <c r="J68" s="1882"/>
      <c r="K68" s="1882"/>
      <c r="L68" s="1882"/>
      <c r="M68" s="1882"/>
      <c r="N68" s="1882"/>
      <c r="O68" s="1882"/>
      <c r="P68" s="1882"/>
      <c r="Q68" s="1882"/>
      <c r="R68" s="1882"/>
      <c r="S68" s="1882"/>
      <c r="T68" s="1882"/>
      <c r="U68" s="1882"/>
      <c r="V68" s="1883"/>
      <c r="X68" s="202" t="s">
        <v>677</v>
      </c>
      <c r="AC68" s="1881"/>
      <c r="AD68" s="1884"/>
      <c r="AE68" s="1884"/>
      <c r="AF68" s="1884"/>
      <c r="AG68" s="1884"/>
      <c r="AH68" s="1884"/>
      <c r="AI68" s="1884"/>
      <c r="AJ68" s="1884"/>
      <c r="AK68" s="1884"/>
      <c r="AL68" s="1884"/>
      <c r="AM68" s="1884"/>
      <c r="AN68" s="1885"/>
      <c r="AO68" s="247"/>
    </row>
    <row r="69" spans="1:50" ht="9" customHeight="1" x14ac:dyDescent="0.25">
      <c r="B69" s="246"/>
      <c r="U69" s="210"/>
      <c r="AO69" s="247"/>
    </row>
    <row r="70" spans="1:50" ht="18.75" customHeight="1" x14ac:dyDescent="0.3">
      <c r="B70" s="246" t="s">
        <v>678</v>
      </c>
      <c r="C70" s="226"/>
      <c r="D70" s="226"/>
      <c r="E70" s="226"/>
      <c r="F70" s="1878"/>
      <c r="G70" s="1879"/>
      <c r="H70" s="1879"/>
      <c r="I70" s="1879"/>
      <c r="J70" s="1879"/>
      <c r="K70" s="1879"/>
      <c r="L70" s="1879"/>
      <c r="M70" s="1880"/>
      <c r="N70" s="226" t="s">
        <v>679</v>
      </c>
      <c r="O70" s="1878"/>
      <c r="P70" s="1879"/>
      <c r="Q70" s="1879"/>
      <c r="R70" s="1879"/>
      <c r="S70" s="1879"/>
      <c r="T70" s="1879"/>
      <c r="U70" s="1879"/>
      <c r="V70" s="1880"/>
      <c r="W70" s="226" t="s">
        <v>679</v>
      </c>
      <c r="X70" s="1878"/>
      <c r="Y70" s="1879"/>
      <c r="Z70" s="1879"/>
      <c r="AA70" s="1879"/>
      <c r="AB70" s="1879"/>
      <c r="AC70" s="1879"/>
      <c r="AD70" s="1879"/>
      <c r="AE70" s="1880"/>
      <c r="AF70" s="418"/>
      <c r="AG70" s="418"/>
      <c r="AH70" s="418"/>
      <c r="AI70" s="418"/>
      <c r="AJ70" s="226"/>
      <c r="AK70" s="226"/>
      <c r="AL70" s="226"/>
      <c r="AM70" s="226"/>
      <c r="AN70" s="226"/>
      <c r="AO70" s="245"/>
      <c r="AP70" s="226"/>
      <c r="AQ70" s="226"/>
      <c r="AR70" s="226"/>
      <c r="AS70" s="226"/>
      <c r="AT70" s="226"/>
      <c r="AU70" s="226"/>
      <c r="AV70" s="226"/>
      <c r="AW70" s="226"/>
      <c r="AX70" s="226"/>
    </row>
    <row r="71" spans="1:50" ht="9" customHeight="1" thickBot="1" x14ac:dyDescent="0.3">
      <c r="B71" s="266"/>
      <c r="C71" s="226"/>
      <c r="D71" s="226"/>
      <c r="E71" s="226"/>
      <c r="F71" s="226"/>
      <c r="G71" s="226"/>
      <c r="H71" s="226"/>
      <c r="I71" s="226"/>
      <c r="J71" s="226"/>
      <c r="K71" s="226"/>
      <c r="L71" s="226"/>
      <c r="M71" s="226"/>
      <c r="N71" s="226"/>
      <c r="O71" s="226"/>
      <c r="P71" s="226"/>
      <c r="Q71" s="226"/>
      <c r="R71" s="226"/>
      <c r="S71" s="226"/>
      <c r="T71" s="267"/>
      <c r="U71" s="210"/>
      <c r="V71" s="226"/>
      <c r="W71" s="226"/>
      <c r="X71" s="226"/>
      <c r="Y71" s="226"/>
      <c r="Z71" s="226"/>
      <c r="AA71" s="226"/>
      <c r="AB71" s="226"/>
      <c r="AC71" s="226"/>
      <c r="AD71" s="226"/>
      <c r="AE71" s="226"/>
      <c r="AF71" s="226"/>
      <c r="AG71" s="226"/>
      <c r="AH71" s="226"/>
      <c r="AI71" s="226"/>
      <c r="AJ71" s="226"/>
      <c r="AK71" s="226"/>
      <c r="AL71" s="226"/>
      <c r="AM71" s="226"/>
      <c r="AN71" s="226"/>
      <c r="AO71" s="245"/>
      <c r="AP71" s="226"/>
      <c r="AQ71" s="226"/>
      <c r="AR71" s="226"/>
      <c r="AS71" s="226"/>
      <c r="AT71" s="226"/>
      <c r="AU71" s="226"/>
      <c r="AV71" s="226"/>
      <c r="AW71" s="226"/>
      <c r="AX71" s="226"/>
    </row>
    <row r="72" spans="1:50" s="204" customFormat="1" ht="9" customHeight="1" x14ac:dyDescent="0.25">
      <c r="B72" s="268"/>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269"/>
      <c r="AF72" s="269"/>
      <c r="AG72" s="269"/>
      <c r="AH72" s="269"/>
      <c r="AI72" s="269"/>
      <c r="AJ72" s="269"/>
      <c r="AK72" s="269"/>
      <c r="AL72" s="269"/>
      <c r="AM72" s="269"/>
      <c r="AN72" s="269"/>
      <c r="AO72" s="270"/>
    </row>
    <row r="73" spans="1:50" ht="18.75" customHeight="1" x14ac:dyDescent="0.35">
      <c r="B73" s="246" t="s">
        <v>680</v>
      </c>
      <c r="F73" s="1881"/>
      <c r="G73" s="1882"/>
      <c r="H73" s="1882"/>
      <c r="I73" s="1882"/>
      <c r="J73" s="1882"/>
      <c r="K73" s="1882"/>
      <c r="L73" s="1882"/>
      <c r="M73" s="1882"/>
      <c r="N73" s="1882"/>
      <c r="O73" s="1882"/>
      <c r="P73" s="1882"/>
      <c r="Q73" s="1882"/>
      <c r="R73" s="1882"/>
      <c r="S73" s="1882"/>
      <c r="T73" s="1882"/>
      <c r="U73" s="1882"/>
      <c r="V73" s="1883"/>
      <c r="X73" s="202" t="s">
        <v>677</v>
      </c>
      <c r="AC73" s="1881"/>
      <c r="AD73" s="1884"/>
      <c r="AE73" s="1884"/>
      <c r="AF73" s="1884"/>
      <c r="AG73" s="1884"/>
      <c r="AH73" s="1884"/>
      <c r="AI73" s="1884"/>
      <c r="AJ73" s="1884"/>
      <c r="AK73" s="1884"/>
      <c r="AL73" s="1884"/>
      <c r="AM73" s="1884"/>
      <c r="AN73" s="1885"/>
      <c r="AO73" s="247"/>
    </row>
    <row r="74" spans="1:50" ht="9" customHeight="1" x14ac:dyDescent="0.25">
      <c r="B74" s="246"/>
      <c r="U74" s="210"/>
      <c r="AO74" s="247"/>
    </row>
    <row r="75" spans="1:50" ht="18.75" customHeight="1" x14ac:dyDescent="0.3">
      <c r="B75" s="246" t="s">
        <v>678</v>
      </c>
      <c r="C75" s="226"/>
      <c r="D75" s="226"/>
      <c r="E75" s="226"/>
      <c r="F75" s="1878"/>
      <c r="G75" s="1879"/>
      <c r="H75" s="1879"/>
      <c r="I75" s="1879"/>
      <c r="J75" s="1879"/>
      <c r="K75" s="1879"/>
      <c r="L75" s="1879"/>
      <c r="M75" s="1880"/>
      <c r="N75" s="226" t="s">
        <v>679</v>
      </c>
      <c r="O75" s="1878"/>
      <c r="P75" s="1879"/>
      <c r="Q75" s="1879"/>
      <c r="R75" s="1879"/>
      <c r="S75" s="1879"/>
      <c r="T75" s="1879"/>
      <c r="U75" s="1879"/>
      <c r="V75" s="1880"/>
      <c r="W75" s="226" t="s">
        <v>679</v>
      </c>
      <c r="X75" s="1878"/>
      <c r="Y75" s="1879"/>
      <c r="Z75" s="1879"/>
      <c r="AA75" s="1879"/>
      <c r="AB75" s="1879"/>
      <c r="AC75" s="1879"/>
      <c r="AD75" s="1879"/>
      <c r="AE75" s="1880"/>
      <c r="AF75" s="418"/>
      <c r="AG75" s="418"/>
      <c r="AH75" s="418"/>
      <c r="AI75" s="418"/>
      <c r="AJ75" s="226"/>
      <c r="AK75" s="226"/>
      <c r="AL75" s="226"/>
      <c r="AM75" s="226"/>
      <c r="AN75" s="226"/>
      <c r="AO75" s="245"/>
      <c r="AP75" s="226"/>
      <c r="AQ75" s="226"/>
      <c r="AR75" s="226"/>
      <c r="AS75" s="226"/>
      <c r="AT75" s="226"/>
      <c r="AU75" s="226"/>
      <c r="AV75" s="226"/>
      <c r="AW75" s="226"/>
      <c r="AX75" s="226"/>
    </row>
    <row r="76" spans="1:50" ht="9" customHeight="1" thickBot="1" x14ac:dyDescent="0.3">
      <c r="B76" s="271"/>
      <c r="C76" s="236"/>
      <c r="D76" s="236"/>
      <c r="E76" s="236"/>
      <c r="F76" s="236"/>
      <c r="G76" s="236"/>
      <c r="H76" s="236"/>
      <c r="I76" s="236"/>
      <c r="J76" s="236"/>
      <c r="K76" s="236"/>
      <c r="L76" s="236"/>
      <c r="M76" s="236"/>
      <c r="N76" s="236"/>
      <c r="O76" s="236"/>
      <c r="P76" s="236"/>
      <c r="Q76" s="236"/>
      <c r="R76" s="236"/>
      <c r="S76" s="236"/>
      <c r="T76" s="272"/>
      <c r="U76" s="273"/>
      <c r="V76" s="236"/>
      <c r="W76" s="236"/>
      <c r="X76" s="236"/>
      <c r="Y76" s="236"/>
      <c r="Z76" s="236"/>
      <c r="AA76" s="236"/>
      <c r="AB76" s="236"/>
      <c r="AC76" s="236"/>
      <c r="AD76" s="236"/>
      <c r="AE76" s="236"/>
      <c r="AF76" s="236"/>
      <c r="AG76" s="236"/>
      <c r="AH76" s="236"/>
      <c r="AI76" s="236"/>
      <c r="AJ76" s="236"/>
      <c r="AK76" s="236"/>
      <c r="AL76" s="236"/>
      <c r="AM76" s="236"/>
      <c r="AN76" s="236"/>
      <c r="AO76" s="248"/>
      <c r="AP76" s="226"/>
      <c r="AQ76" s="226"/>
      <c r="AR76" s="226"/>
      <c r="AS76" s="226"/>
      <c r="AT76" s="226"/>
      <c r="AU76" s="226"/>
      <c r="AV76" s="226"/>
      <c r="AW76" s="226"/>
      <c r="AX76" s="226"/>
    </row>
    <row r="77" spans="1:50" ht="9" customHeight="1" x14ac:dyDescent="0.25">
      <c r="B77" s="226"/>
      <c r="C77" s="226"/>
      <c r="D77" s="226"/>
      <c r="E77" s="226"/>
      <c r="F77" s="226"/>
      <c r="G77" s="226"/>
      <c r="H77" s="226"/>
      <c r="I77" s="226"/>
      <c r="J77" s="226"/>
      <c r="K77" s="226"/>
      <c r="L77" s="226"/>
      <c r="M77" s="226"/>
      <c r="N77" s="226"/>
      <c r="O77" s="226"/>
      <c r="P77" s="226"/>
      <c r="Q77" s="226"/>
      <c r="R77" s="226"/>
      <c r="S77" s="226"/>
      <c r="T77" s="267"/>
      <c r="U77" s="210"/>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row>
    <row r="78" spans="1:50" s="274" customFormat="1" ht="10.5" customHeight="1" x14ac:dyDescent="0.25">
      <c r="A78" s="202" t="s">
        <v>681</v>
      </c>
      <c r="B78" s="202"/>
    </row>
    <row r="79" spans="1:50" ht="18.75" customHeight="1" x14ac:dyDescent="0.25"/>
    <row r="80" spans="1:50" ht="10.5" customHeight="1" x14ac:dyDescent="0.25"/>
    <row r="81" spans="2:40" ht="18.75" customHeight="1" x14ac:dyDescent="0.35">
      <c r="B81" s="1881"/>
      <c r="C81" s="1882"/>
      <c r="D81" s="1882"/>
      <c r="E81" s="1882"/>
      <c r="F81" s="1882"/>
      <c r="G81" s="1882"/>
      <c r="H81" s="1882"/>
      <c r="I81" s="1882"/>
      <c r="J81" s="1882"/>
      <c r="K81" s="1882"/>
      <c r="L81" s="1882"/>
      <c r="M81" s="1882"/>
      <c r="N81" s="1882"/>
      <c r="O81" s="1882"/>
      <c r="P81" s="1882"/>
      <c r="Q81" s="1882"/>
      <c r="R81" s="1883"/>
      <c r="S81" s="202" t="s">
        <v>682</v>
      </c>
      <c r="T81" s="1897"/>
      <c r="U81" s="1898"/>
      <c r="V81" s="1898"/>
      <c r="W81" s="1899"/>
      <c r="Y81" s="1897"/>
      <c r="Z81" s="1899"/>
      <c r="AB81" s="1897"/>
      <c r="AC81" s="1899"/>
    </row>
    <row r="83" spans="2:40" ht="17.25" customHeight="1" x14ac:dyDescent="0.25">
      <c r="B83" s="202" t="s">
        <v>985</v>
      </c>
    </row>
    <row r="85" spans="2:40" x14ac:dyDescent="0.25">
      <c r="J85" s="275"/>
      <c r="K85" s="276"/>
      <c r="L85" s="276"/>
      <c r="M85" s="276"/>
      <c r="N85" s="276"/>
      <c r="O85" s="276"/>
      <c r="P85" s="276"/>
      <c r="Q85" s="276"/>
      <c r="R85" s="276"/>
      <c r="S85" s="276"/>
      <c r="T85" s="276"/>
      <c r="U85" s="276"/>
      <c r="V85" s="277"/>
      <c r="AB85" s="275"/>
      <c r="AC85" s="276"/>
      <c r="AD85" s="276"/>
      <c r="AE85" s="276"/>
      <c r="AF85" s="276"/>
      <c r="AG85" s="276"/>
      <c r="AH85" s="276"/>
      <c r="AI85" s="276"/>
      <c r="AJ85" s="276"/>
      <c r="AK85" s="276"/>
      <c r="AL85" s="276"/>
      <c r="AM85" s="276"/>
      <c r="AN85" s="277"/>
    </row>
    <row r="86" spans="2:40" x14ac:dyDescent="0.25">
      <c r="J86" s="278"/>
      <c r="V86" s="279"/>
      <c r="AB86" s="278"/>
      <c r="AN86" s="279"/>
    </row>
    <row r="87" spans="2:40" x14ac:dyDescent="0.25">
      <c r="J87" s="278"/>
      <c r="V87" s="279"/>
      <c r="AB87" s="278"/>
      <c r="AN87" s="279"/>
    </row>
    <row r="88" spans="2:40" x14ac:dyDescent="0.25">
      <c r="J88" s="280"/>
      <c r="K88" s="281"/>
      <c r="L88" s="281"/>
      <c r="M88" s="281"/>
      <c r="N88" s="281"/>
      <c r="O88" s="281"/>
      <c r="P88" s="281"/>
      <c r="Q88" s="281"/>
      <c r="R88" s="281"/>
      <c r="S88" s="281"/>
      <c r="T88" s="281"/>
      <c r="U88" s="281"/>
      <c r="V88" s="282"/>
      <c r="AB88" s="280"/>
      <c r="AC88" s="281"/>
      <c r="AD88" s="281"/>
      <c r="AE88" s="281"/>
      <c r="AF88" s="281"/>
      <c r="AG88" s="281"/>
      <c r="AH88" s="281"/>
      <c r="AI88" s="281"/>
      <c r="AJ88" s="281"/>
      <c r="AK88" s="281"/>
      <c r="AL88" s="281"/>
      <c r="AM88" s="281"/>
      <c r="AN88" s="282"/>
    </row>
    <row r="89" spans="2:40" ht="14.4" x14ac:dyDescent="0.3">
      <c r="J89" s="1900" t="s">
        <v>976</v>
      </c>
      <c r="K89" s="1901"/>
      <c r="L89" s="1901"/>
      <c r="M89" s="1901"/>
      <c r="N89" s="1901"/>
      <c r="O89" s="1901"/>
      <c r="P89" s="1901"/>
      <c r="Q89" s="1901"/>
      <c r="R89" s="1901"/>
      <c r="S89" s="1901"/>
      <c r="T89" s="1901"/>
      <c r="U89" s="1901"/>
      <c r="V89" s="1901"/>
      <c r="W89" s="414"/>
      <c r="X89" s="414"/>
      <c r="Y89" s="414"/>
      <c r="AB89" s="1896" t="s">
        <v>977</v>
      </c>
      <c r="AC89" s="1895"/>
      <c r="AD89" s="1895"/>
      <c r="AE89" s="1895"/>
      <c r="AF89" s="1895"/>
      <c r="AG89" s="1895"/>
      <c r="AH89" s="1895"/>
      <c r="AI89" s="1895"/>
      <c r="AJ89" s="1895"/>
      <c r="AK89" s="1895"/>
      <c r="AL89" s="1895"/>
      <c r="AM89" s="1895"/>
      <c r="AN89" s="1895"/>
    </row>
  </sheetData>
  <sheetProtection selectLockedCells="1"/>
  <mergeCells count="39">
    <mergeCell ref="A1:AB1"/>
    <mergeCell ref="B5:F5"/>
    <mergeCell ref="G5:AN5"/>
    <mergeCell ref="B7:F7"/>
    <mergeCell ref="B9:F9"/>
    <mergeCell ref="G9:AN9"/>
    <mergeCell ref="G7:T7"/>
    <mergeCell ref="X7:AN7"/>
    <mergeCell ref="F68:V68"/>
    <mergeCell ref="AC68:AN68"/>
    <mergeCell ref="C50:AM50"/>
    <mergeCell ref="C53:AM53"/>
    <mergeCell ref="Z61:AN61"/>
    <mergeCell ref="AB89:AN89"/>
    <mergeCell ref="B81:R81"/>
    <mergeCell ref="T81:W81"/>
    <mergeCell ref="Y81:Z81"/>
    <mergeCell ref="AB81:AC81"/>
    <mergeCell ref="J89:V89"/>
    <mergeCell ref="G11:T11"/>
    <mergeCell ref="X11:AN11"/>
    <mergeCell ref="K13:AA13"/>
    <mergeCell ref="J42:K42"/>
    <mergeCell ref="B22:AO22"/>
    <mergeCell ref="S32:AE32"/>
    <mergeCell ref="J38:U38"/>
    <mergeCell ref="B40:I40"/>
    <mergeCell ref="J19:X19"/>
    <mergeCell ref="AE19:AH19"/>
    <mergeCell ref="AJ19:AK19"/>
    <mergeCell ref="AM19:AN19"/>
    <mergeCell ref="F70:M70"/>
    <mergeCell ref="O70:V70"/>
    <mergeCell ref="X70:AE70"/>
    <mergeCell ref="F75:M75"/>
    <mergeCell ref="O75:V75"/>
    <mergeCell ref="X75:AE75"/>
    <mergeCell ref="F73:V73"/>
    <mergeCell ref="AC73:AN73"/>
  </mergeCells>
  <pageMargins left="0.78740157480314965" right="0.51181102362204722" top="0.51181102362204722" bottom="0.39370078740157483" header="0.27559055118110237" footer="0.19685039370078741"/>
  <pageSetup paperSize="9" scale="44" orientation="portrait" horizontalDpi="4294967293" r:id="rId1"/>
  <headerFooter alignWithMargins="0">
    <oddFooter>&amp;L&amp;K06-049&amp;P/&amp;N&amp;C&amp;K06-048Gránit Bank Zrt. 
székhely: 1095 Budapest, Lechner Ödön fasor 8. ; cégjegyzékszáma: 01-10-041028&amp;R&amp;K06-049www.granitbank.hu</oddFooter>
  </headerFooter>
  <colBreaks count="1" manualBreakCount="1">
    <brk id="4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96"/>
  <sheetViews>
    <sheetView topLeftCell="B1" zoomScaleNormal="100" zoomScaleSheetLayoutView="85" workbookViewId="0">
      <selection activeCell="F43" sqref="F43:L43"/>
    </sheetView>
  </sheetViews>
  <sheetFormatPr defaultColWidth="9.109375" defaultRowHeight="14.4" x14ac:dyDescent="0.35"/>
  <cols>
    <col min="1" max="1" width="1" style="1093" customWidth="1"/>
    <col min="2" max="2" width="3.5546875" style="1093" customWidth="1"/>
    <col min="3" max="3" width="4" style="1093" customWidth="1"/>
    <col min="4" max="5" width="3.5546875" style="1093" customWidth="1"/>
    <col min="6" max="6" width="4.109375" style="1093" customWidth="1"/>
    <col min="7" max="13" width="3.5546875" style="1093" customWidth="1"/>
    <col min="14" max="14" width="3.44140625" style="1093" customWidth="1"/>
    <col min="15" max="36" width="3.5546875" style="1093" customWidth="1"/>
    <col min="37" max="37" width="4.5546875" style="1093" bestFit="1" customWidth="1"/>
    <col min="38" max="38" width="2.88671875" style="202" bestFit="1" customWidth="1"/>
    <col min="39" max="16384" width="9.109375" style="202"/>
  </cols>
  <sheetData>
    <row r="1" spans="1:38" s="187" customFormat="1" ht="53.25" customHeight="1" x14ac:dyDescent="0.3">
      <c r="A1" s="1962" t="s">
        <v>684</v>
      </c>
      <c r="B1" s="1963"/>
      <c r="C1" s="1963"/>
      <c r="D1" s="1963"/>
      <c r="E1" s="1963"/>
      <c r="F1" s="1963"/>
      <c r="G1" s="1963"/>
      <c r="H1" s="1963"/>
      <c r="I1" s="1963"/>
      <c r="J1" s="1963"/>
      <c r="K1" s="1963"/>
      <c r="L1" s="1963"/>
      <c r="M1" s="1963"/>
      <c r="N1" s="1963"/>
      <c r="O1" s="1963"/>
      <c r="P1" s="1963"/>
      <c r="Q1" s="1963"/>
      <c r="R1" s="1963"/>
      <c r="S1" s="1963"/>
      <c r="T1" s="1963"/>
      <c r="U1" s="1963"/>
      <c r="V1" s="1963"/>
      <c r="W1" s="1963"/>
      <c r="X1" s="1963"/>
      <c r="Y1" s="1091"/>
      <c r="Z1" s="1091"/>
      <c r="AA1" s="1091"/>
      <c r="AB1" s="1091"/>
      <c r="AC1" s="1091"/>
      <c r="AD1" s="1091"/>
      <c r="AE1" s="1091"/>
      <c r="AF1" s="1091"/>
      <c r="AG1" s="1091"/>
      <c r="AH1" s="1091"/>
      <c r="AI1" s="1091"/>
      <c r="AJ1" s="1091"/>
      <c r="AK1" s="1091"/>
      <c r="AL1" s="635"/>
    </row>
    <row r="2" spans="1:38" s="219" customFormat="1" ht="9" customHeight="1" thickBot="1" x14ac:dyDescent="0.4">
      <c r="A2" s="1092"/>
      <c r="B2" s="1093"/>
      <c r="C2" s="1093"/>
      <c r="D2" s="1093"/>
      <c r="E2" s="1093"/>
      <c r="F2" s="1093"/>
      <c r="G2" s="1093"/>
      <c r="H2" s="1093"/>
      <c r="I2" s="1093"/>
      <c r="J2" s="1093"/>
      <c r="K2" s="1093"/>
      <c r="L2" s="1093"/>
      <c r="M2" s="1093"/>
      <c r="N2" s="1093"/>
      <c r="O2" s="1092"/>
      <c r="P2" s="1094"/>
      <c r="Q2" s="1094"/>
      <c r="R2" s="1094"/>
      <c r="S2" s="1094"/>
      <c r="T2" s="1094"/>
      <c r="U2" s="1094"/>
      <c r="V2" s="1094"/>
      <c r="W2" s="1094"/>
      <c r="X2" s="1094"/>
      <c r="Y2" s="1094"/>
      <c r="Z2" s="1094"/>
      <c r="AA2" s="1094"/>
      <c r="AB2" s="1094"/>
      <c r="AC2" s="1094"/>
      <c r="AD2" s="1094"/>
      <c r="AE2" s="1094"/>
      <c r="AF2" s="1094"/>
      <c r="AG2" s="1094"/>
      <c r="AH2" s="1094"/>
      <c r="AI2" s="1094"/>
      <c r="AJ2" s="1094"/>
      <c r="AK2" s="1094"/>
    </row>
    <row r="3" spans="1:38" ht="3.75" customHeight="1" thickBot="1" x14ac:dyDescent="0.4">
      <c r="A3" s="1095"/>
      <c r="B3" s="1096"/>
      <c r="C3" s="1097"/>
      <c r="D3" s="1097"/>
      <c r="E3" s="1097"/>
      <c r="F3" s="1097"/>
      <c r="G3" s="1097"/>
      <c r="H3" s="1097"/>
      <c r="I3" s="1097"/>
      <c r="J3" s="1097"/>
      <c r="K3" s="1097"/>
      <c r="L3" s="1097"/>
      <c r="M3" s="1097"/>
      <c r="N3" s="1097"/>
      <c r="O3" s="1097"/>
      <c r="P3" s="1097"/>
      <c r="Q3" s="1097"/>
      <c r="R3" s="1097"/>
      <c r="S3" s="1097"/>
      <c r="T3" s="1097"/>
      <c r="U3" s="1097"/>
      <c r="V3" s="1098"/>
    </row>
    <row r="4" spans="1:38" ht="18.75" customHeight="1" thickBot="1" x14ac:dyDescent="0.4">
      <c r="A4" s="1095"/>
      <c r="B4" s="1099" t="s">
        <v>1037</v>
      </c>
      <c r="C4" s="1100"/>
      <c r="D4" s="1100"/>
      <c r="E4" s="1100"/>
      <c r="F4" s="1100"/>
      <c r="G4" s="1100"/>
      <c r="H4" s="1100"/>
      <c r="I4" s="1100"/>
      <c r="J4" s="1966"/>
      <c r="K4" s="1966"/>
      <c r="L4" s="1966"/>
      <c r="M4" s="1966"/>
      <c r="N4" s="1966"/>
      <c r="O4" s="1966"/>
      <c r="P4" s="1966"/>
      <c r="Q4" s="1966"/>
      <c r="R4" s="1966"/>
      <c r="S4" s="1966"/>
      <c r="T4" s="1966"/>
      <c r="U4" s="1101"/>
      <c r="V4" s="1102"/>
    </row>
    <row r="5" spans="1:38" ht="3.75" customHeight="1" thickBot="1" x14ac:dyDescent="0.4">
      <c r="A5" s="1095"/>
      <c r="B5" s="1103"/>
      <c r="C5" s="1104"/>
      <c r="D5" s="1104"/>
      <c r="E5" s="1104"/>
      <c r="F5" s="1104"/>
      <c r="G5" s="1104"/>
      <c r="H5" s="1104"/>
      <c r="I5" s="1104"/>
      <c r="J5" s="1105"/>
      <c r="K5" s="1105"/>
      <c r="L5" s="1105"/>
      <c r="M5" s="1105"/>
      <c r="N5" s="1105"/>
      <c r="O5" s="1105"/>
      <c r="P5" s="1105"/>
      <c r="Q5" s="1105"/>
      <c r="R5" s="1105"/>
      <c r="S5" s="1105"/>
      <c r="T5" s="1105"/>
      <c r="U5" s="1104"/>
      <c r="V5" s="1106"/>
      <c r="AG5" s="695"/>
      <c r="AH5" s="695"/>
      <c r="AI5" s="695"/>
      <c r="AJ5" s="695"/>
      <c r="AK5" s="695"/>
    </row>
    <row r="6" spans="1:38" s="204" customFormat="1" ht="5.25" customHeight="1" x14ac:dyDescent="0.35">
      <c r="A6" s="1107"/>
      <c r="B6" s="1108"/>
      <c r="C6" s="982"/>
      <c r="D6" s="982"/>
      <c r="E6" s="982"/>
      <c r="F6" s="982"/>
      <c r="G6" s="982"/>
      <c r="H6" s="982"/>
      <c r="I6" s="982"/>
      <c r="J6" s="982"/>
      <c r="K6" s="982"/>
      <c r="L6" s="982"/>
      <c r="M6" s="982"/>
      <c r="N6" s="982"/>
      <c r="O6" s="982"/>
      <c r="P6" s="982"/>
      <c r="Q6" s="982"/>
      <c r="R6" s="982"/>
      <c r="S6" s="982"/>
      <c r="T6" s="982"/>
      <c r="U6" s="982"/>
      <c r="V6" s="982"/>
      <c r="W6" s="982"/>
      <c r="X6" s="982"/>
      <c r="Y6" s="982"/>
      <c r="Z6" s="982"/>
      <c r="AA6" s="982"/>
      <c r="AB6" s="982"/>
      <c r="AC6" s="982"/>
      <c r="AD6" s="982"/>
      <c r="AE6" s="982"/>
      <c r="AF6" s="982"/>
      <c r="AG6" s="982"/>
      <c r="AH6" s="982"/>
      <c r="AI6" s="982"/>
      <c r="AJ6" s="982"/>
      <c r="AK6" s="1109"/>
      <c r="AL6" s="636"/>
    </row>
    <row r="7" spans="1:38" s="204" customFormat="1" ht="11.25" customHeight="1" x14ac:dyDescent="0.35">
      <c r="A7" s="1107"/>
      <c r="B7" s="1108"/>
      <c r="C7" s="982"/>
      <c r="D7" s="982"/>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1109"/>
      <c r="AL7" s="636"/>
    </row>
    <row r="8" spans="1:38" ht="18.75" customHeight="1" thickBot="1" x14ac:dyDescent="0.4">
      <c r="A8" s="1110"/>
      <c r="B8" s="1110"/>
      <c r="C8" s="1110"/>
      <c r="D8" s="1110"/>
      <c r="E8" s="1110"/>
      <c r="F8" s="1110"/>
      <c r="G8" s="1110"/>
      <c r="H8" s="1110"/>
      <c r="I8" s="1110"/>
      <c r="J8" s="1111"/>
      <c r="K8" s="1111"/>
      <c r="L8" s="1111"/>
      <c r="M8" s="1111"/>
      <c r="N8" s="1111"/>
      <c r="O8" s="1111"/>
      <c r="P8" s="1111"/>
      <c r="Q8" s="1111"/>
      <c r="R8" s="1111"/>
      <c r="S8" s="1111"/>
      <c r="T8" s="1111"/>
      <c r="U8" s="1110"/>
      <c r="V8" s="1111"/>
      <c r="W8" s="1111"/>
      <c r="X8" s="1111"/>
      <c r="Y8" s="1111"/>
      <c r="Z8" s="1111"/>
      <c r="AK8" s="1111"/>
      <c r="AL8" s="634"/>
    </row>
    <row r="9" spans="1:38" ht="3.75" customHeight="1" x14ac:dyDescent="0.35">
      <c r="A9" s="1110"/>
      <c r="B9" s="1112"/>
      <c r="C9" s="1113"/>
      <c r="D9" s="1113"/>
      <c r="E9" s="1113"/>
      <c r="F9" s="1113"/>
      <c r="G9" s="1113"/>
      <c r="H9" s="1113"/>
      <c r="I9" s="1113"/>
      <c r="J9" s="1114"/>
      <c r="K9" s="1114"/>
      <c r="L9" s="1114"/>
      <c r="M9" s="1114"/>
      <c r="N9" s="1114"/>
      <c r="O9" s="1114"/>
      <c r="P9" s="1114"/>
      <c r="Q9" s="1114"/>
      <c r="R9" s="1114"/>
      <c r="S9" s="1114"/>
      <c r="T9" s="1114"/>
      <c r="U9" s="1113"/>
      <c r="V9" s="1114"/>
      <c r="W9" s="1114"/>
      <c r="X9" s="1114"/>
      <c r="Y9" s="1114"/>
      <c r="Z9" s="1114"/>
      <c r="AA9" s="1115"/>
      <c r="AB9" s="1115"/>
      <c r="AC9" s="1115"/>
      <c r="AD9" s="1115"/>
      <c r="AE9" s="1115"/>
      <c r="AF9" s="1115"/>
      <c r="AG9" s="1115"/>
      <c r="AH9" s="1115"/>
      <c r="AI9" s="1115"/>
      <c r="AJ9" s="1115"/>
      <c r="AK9" s="1116"/>
      <c r="AL9" s="1117"/>
    </row>
    <row r="10" spans="1:38" ht="18.75" customHeight="1" x14ac:dyDescent="0.35">
      <c r="A10" s="1110"/>
      <c r="B10" s="1118"/>
      <c r="C10" s="1119"/>
      <c r="D10" s="1120" t="s">
        <v>685</v>
      </c>
      <c r="E10" s="1121"/>
      <c r="F10" s="1122"/>
      <c r="G10" s="1121"/>
      <c r="H10" s="1121"/>
      <c r="I10" s="1120" t="s">
        <v>686</v>
      </c>
      <c r="J10" s="1123"/>
      <c r="K10" s="1123"/>
      <c r="L10" s="1122"/>
      <c r="M10" s="1119"/>
      <c r="N10" s="1119"/>
      <c r="O10" s="1123"/>
      <c r="P10" s="1120" t="s">
        <v>687</v>
      </c>
      <c r="Q10" s="1123"/>
      <c r="R10" s="1119"/>
      <c r="S10" s="1123"/>
      <c r="T10" s="1122"/>
      <c r="U10" s="1119"/>
      <c r="V10" s="1119"/>
      <c r="W10" s="1120" t="s">
        <v>688</v>
      </c>
      <c r="X10" s="1124"/>
      <c r="Y10" s="1119"/>
      <c r="Z10" s="1119"/>
      <c r="AA10" s="1122"/>
      <c r="AB10" s="1119"/>
      <c r="AC10" s="1119"/>
      <c r="AD10" s="1119"/>
      <c r="AE10" s="1119"/>
      <c r="AF10" s="1119"/>
      <c r="AG10" s="1119"/>
      <c r="AH10" s="1119"/>
      <c r="AI10" s="1119"/>
      <c r="AJ10" s="1119"/>
      <c r="AK10" s="1125"/>
      <c r="AL10" s="1117"/>
    </row>
    <row r="11" spans="1:38" ht="4.5" customHeight="1" thickBot="1" x14ac:dyDescent="0.4">
      <c r="A11" s="1110"/>
      <c r="B11" s="1126"/>
      <c r="C11" s="1127"/>
      <c r="D11" s="1127"/>
      <c r="E11" s="1127"/>
      <c r="F11" s="1127"/>
      <c r="G11" s="1127"/>
      <c r="H11" s="1127"/>
      <c r="I11" s="1128"/>
      <c r="J11" s="1129"/>
      <c r="K11" s="1129"/>
      <c r="L11" s="1129"/>
      <c r="M11" s="1128"/>
      <c r="N11" s="1129"/>
      <c r="O11" s="1129"/>
      <c r="P11" s="1129"/>
      <c r="Q11" s="1129"/>
      <c r="R11" s="1129"/>
      <c r="S11" s="1129"/>
      <c r="T11" s="1129"/>
      <c r="U11" s="1127"/>
      <c r="V11" s="1129"/>
      <c r="W11" s="1129"/>
      <c r="X11" s="1129"/>
      <c r="Y11" s="1129"/>
      <c r="Z11" s="1130"/>
      <c r="AA11" s="1128"/>
      <c r="AB11" s="1128"/>
      <c r="AC11" s="1128"/>
      <c r="AD11" s="1128"/>
      <c r="AE11" s="1128"/>
      <c r="AF11" s="1128"/>
      <c r="AG11" s="1128"/>
      <c r="AH11" s="1128"/>
      <c r="AI11" s="1128"/>
      <c r="AJ11" s="1128"/>
      <c r="AK11" s="1131"/>
      <c r="AL11" s="1117"/>
    </row>
    <row r="12" spans="1:38" ht="4.5" customHeight="1" x14ac:dyDescent="0.35">
      <c r="A12" s="1110"/>
      <c r="B12" s="1132"/>
      <c r="C12" s="1110"/>
      <c r="D12" s="1110"/>
      <c r="E12" s="1110"/>
      <c r="F12" s="1110"/>
      <c r="G12" s="1110"/>
      <c r="H12" s="1110"/>
      <c r="J12" s="1111"/>
      <c r="K12" s="1111"/>
      <c r="L12" s="1111"/>
      <c r="N12" s="1111"/>
      <c r="O12" s="1111"/>
      <c r="P12" s="1111"/>
      <c r="Q12" s="1111"/>
      <c r="R12" s="1111"/>
      <c r="S12" s="1111"/>
      <c r="T12" s="1111"/>
      <c r="U12" s="1110"/>
      <c r="V12" s="1111"/>
      <c r="W12" s="1111"/>
      <c r="X12" s="1111"/>
      <c r="Y12" s="1111"/>
      <c r="Z12" s="1109"/>
      <c r="AL12" s="634"/>
    </row>
    <row r="13" spans="1:38" ht="21" customHeight="1" x14ac:dyDescent="0.25">
      <c r="A13" s="1110"/>
      <c r="B13" s="1964" t="s">
        <v>689</v>
      </c>
      <c r="C13" s="1964"/>
      <c r="D13" s="1964"/>
      <c r="E13" s="1964"/>
      <c r="F13" s="1964"/>
      <c r="G13" s="1964"/>
      <c r="H13" s="1964"/>
      <c r="I13" s="1964"/>
      <c r="J13" s="1964"/>
      <c r="K13" s="1964"/>
      <c r="L13" s="1964"/>
      <c r="M13" s="1964"/>
      <c r="N13" s="1964"/>
      <c r="O13" s="1964"/>
      <c r="P13" s="1964"/>
      <c r="Q13" s="1964"/>
      <c r="R13" s="1964"/>
      <c r="S13" s="1964"/>
      <c r="T13" s="1964"/>
      <c r="U13" s="1964"/>
      <c r="V13" s="1964"/>
      <c r="W13" s="1964"/>
      <c r="X13" s="1964"/>
      <c r="Y13" s="1964"/>
      <c r="Z13" s="1964"/>
      <c r="AA13" s="1964"/>
      <c r="AB13" s="1964"/>
      <c r="AC13" s="1964"/>
      <c r="AD13" s="1964"/>
      <c r="AE13" s="1964"/>
      <c r="AF13" s="1964"/>
      <c r="AG13" s="1964"/>
      <c r="AH13" s="1964"/>
      <c r="AI13" s="1964"/>
      <c r="AJ13" s="1964"/>
      <c r="AK13" s="1964"/>
      <c r="AL13" s="634"/>
    </row>
    <row r="14" spans="1:38" ht="27" customHeight="1" thickBot="1" x14ac:dyDescent="0.4">
      <c r="A14" s="1110"/>
      <c r="C14" s="1110"/>
      <c r="D14" s="1110"/>
      <c r="E14" s="1110"/>
      <c r="F14" s="1110"/>
      <c r="G14" s="1110"/>
      <c r="H14" s="1110"/>
      <c r="J14" s="1111"/>
      <c r="K14" s="1111"/>
      <c r="L14" s="1111"/>
      <c r="N14" s="1111"/>
      <c r="O14" s="1111"/>
      <c r="P14" s="1111"/>
      <c r="Q14" s="1111"/>
      <c r="R14" s="1111"/>
      <c r="T14" s="1111"/>
      <c r="U14" s="1110"/>
      <c r="W14" s="1111"/>
      <c r="X14" s="1111"/>
      <c r="Y14" s="1111"/>
      <c r="Z14" s="695"/>
      <c r="AK14" s="1119"/>
      <c r="AL14" s="634"/>
    </row>
    <row r="15" spans="1:38" ht="3.75" customHeight="1" x14ac:dyDescent="0.35">
      <c r="A15" s="1110"/>
      <c r="B15" s="1112"/>
      <c r="C15" s="1113"/>
      <c r="D15" s="1113"/>
      <c r="E15" s="1113"/>
      <c r="F15" s="1113"/>
      <c r="G15" s="1113"/>
      <c r="H15" s="1113"/>
      <c r="I15" s="1113"/>
      <c r="J15" s="1114"/>
      <c r="K15" s="1114"/>
      <c r="L15" s="1114"/>
      <c r="M15" s="1115"/>
      <c r="N15" s="1114"/>
      <c r="O15" s="1114"/>
      <c r="P15" s="1114"/>
      <c r="Q15" s="1114"/>
      <c r="R15" s="1114"/>
      <c r="S15" s="1114"/>
      <c r="T15" s="1114"/>
      <c r="U15" s="1113"/>
      <c r="V15" s="1114"/>
      <c r="W15" s="1114"/>
      <c r="X15" s="1114"/>
      <c r="Y15" s="1114"/>
      <c r="Z15" s="1133"/>
      <c r="AA15" s="1115"/>
      <c r="AB15" s="1115"/>
      <c r="AC15" s="1115"/>
      <c r="AD15" s="1115"/>
      <c r="AE15" s="1115"/>
      <c r="AF15" s="1115"/>
      <c r="AG15" s="1115"/>
      <c r="AH15" s="1115"/>
      <c r="AI15" s="1115"/>
      <c r="AJ15" s="1115"/>
      <c r="AK15" s="1134"/>
      <c r="AL15" s="1117"/>
    </row>
    <row r="16" spans="1:38" ht="18.75" customHeight="1" x14ac:dyDescent="0.35">
      <c r="A16" s="1110"/>
      <c r="B16" s="1118" t="s">
        <v>690</v>
      </c>
      <c r="C16" s="1119"/>
      <c r="D16" s="1122"/>
      <c r="E16" s="1119" t="s">
        <v>691</v>
      </c>
      <c r="F16" s="1122"/>
      <c r="G16" s="1119" t="s">
        <v>692</v>
      </c>
      <c r="H16" s="1122"/>
      <c r="I16" s="1119" t="s">
        <v>693</v>
      </c>
      <c r="J16" s="1122"/>
      <c r="K16" s="1119" t="s">
        <v>694</v>
      </c>
      <c r="L16" s="1119"/>
      <c r="M16" s="1122"/>
      <c r="N16" s="1119" t="s">
        <v>538</v>
      </c>
      <c r="O16" s="1119"/>
      <c r="P16" s="1119"/>
      <c r="Q16" s="1119"/>
      <c r="R16" s="1119"/>
      <c r="S16" s="1119"/>
      <c r="T16" s="1119"/>
      <c r="U16" s="1119"/>
      <c r="V16" s="1119"/>
      <c r="W16" s="1119"/>
      <c r="X16" s="1119"/>
      <c r="Y16" s="1119"/>
      <c r="Z16" s="1119"/>
      <c r="AA16" s="1119"/>
      <c r="AB16" s="1119"/>
      <c r="AC16" s="1119"/>
      <c r="AD16" s="1119"/>
      <c r="AE16" s="1119"/>
      <c r="AF16" s="1119"/>
      <c r="AG16" s="1119"/>
      <c r="AH16" s="1119"/>
      <c r="AI16" s="1119"/>
      <c r="AJ16" s="1119"/>
      <c r="AK16" s="1125"/>
      <c r="AL16" s="1135"/>
    </row>
    <row r="17" spans="1:38" ht="3.75" customHeight="1" x14ac:dyDescent="0.35">
      <c r="A17" s="1110"/>
      <c r="B17" s="1118"/>
      <c r="C17" s="1119"/>
      <c r="D17" s="1119"/>
      <c r="E17" s="1119"/>
      <c r="F17" s="1119"/>
      <c r="G17" s="1119"/>
      <c r="H17" s="1119"/>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19"/>
      <c r="AI17" s="1119"/>
      <c r="AJ17" s="1119"/>
      <c r="AK17" s="1125"/>
      <c r="AL17" s="1135"/>
    </row>
    <row r="18" spans="1:38" ht="18.75" customHeight="1" x14ac:dyDescent="0.35">
      <c r="A18" s="1110"/>
      <c r="B18" s="1118" t="s">
        <v>695</v>
      </c>
      <c r="C18" s="1123"/>
      <c r="D18" s="1123"/>
      <c r="E18" s="1123"/>
      <c r="F18" s="1965"/>
      <c r="G18" s="1965"/>
      <c r="H18" s="1965"/>
      <c r="I18" s="1965"/>
      <c r="J18" s="1965"/>
      <c r="K18" s="1965"/>
      <c r="L18" s="1965"/>
      <c r="M18" s="1965"/>
      <c r="N18" s="1965"/>
      <c r="O18" s="1965"/>
      <c r="P18" s="1965"/>
      <c r="Q18" s="1965"/>
      <c r="R18" s="1965"/>
      <c r="S18" s="1123"/>
      <c r="T18" s="1119" t="s">
        <v>696</v>
      </c>
      <c r="U18" s="1123"/>
      <c r="V18" s="1123"/>
      <c r="W18" s="1119"/>
      <c r="X18" s="1965"/>
      <c r="Y18" s="1965"/>
      <c r="Z18" s="1965"/>
      <c r="AA18" s="1965"/>
      <c r="AB18" s="1965"/>
      <c r="AC18" s="1965"/>
      <c r="AD18" s="1965"/>
      <c r="AE18" s="1965"/>
      <c r="AF18" s="1965"/>
      <c r="AG18" s="1965"/>
      <c r="AH18" s="1965"/>
      <c r="AI18" s="1965"/>
      <c r="AJ18" s="1965"/>
      <c r="AK18" s="1136"/>
      <c r="AL18" s="1117"/>
    </row>
    <row r="19" spans="1:38" ht="3.75" customHeight="1" x14ac:dyDescent="0.35">
      <c r="A19" s="1110"/>
      <c r="B19" s="1118"/>
      <c r="C19" s="1119"/>
      <c r="D19" s="1119"/>
      <c r="E19" s="1119"/>
      <c r="F19" s="1119"/>
      <c r="G19" s="1119"/>
      <c r="H19" s="1119"/>
      <c r="I19" s="1119"/>
      <c r="J19" s="1119"/>
      <c r="K19" s="1119"/>
      <c r="L19" s="1119"/>
      <c r="M19" s="1119"/>
      <c r="N19" s="1119"/>
      <c r="O19" s="1119"/>
      <c r="P19" s="1119"/>
      <c r="Q19" s="1119"/>
      <c r="R19" s="1119"/>
      <c r="S19" s="1119"/>
      <c r="T19" s="1119"/>
      <c r="U19" s="1119"/>
      <c r="V19" s="1119"/>
      <c r="W19" s="1119"/>
      <c r="X19" s="1119"/>
      <c r="Y19" s="1119"/>
      <c r="Z19" s="1119"/>
      <c r="AA19" s="1119"/>
      <c r="AB19" s="1119"/>
      <c r="AC19" s="1119"/>
      <c r="AD19" s="1119"/>
      <c r="AE19" s="1119"/>
      <c r="AF19" s="1119"/>
      <c r="AG19" s="1119"/>
      <c r="AH19" s="1119"/>
      <c r="AI19" s="1119"/>
      <c r="AJ19" s="1119"/>
      <c r="AK19" s="1125"/>
      <c r="AL19" s="1135"/>
    </row>
    <row r="20" spans="1:38" ht="18.75" customHeight="1" x14ac:dyDescent="0.35">
      <c r="A20" s="1110"/>
      <c r="B20" s="1118" t="s">
        <v>697</v>
      </c>
      <c r="C20" s="1123"/>
      <c r="D20" s="1123"/>
      <c r="E20" s="1123"/>
      <c r="F20" s="1965"/>
      <c r="G20" s="1965"/>
      <c r="H20" s="1965"/>
      <c r="I20" s="1965"/>
      <c r="J20" s="1965"/>
      <c r="K20" s="1965"/>
      <c r="L20" s="1965"/>
      <c r="M20" s="1965"/>
      <c r="N20" s="1965"/>
      <c r="O20" s="1965"/>
      <c r="P20" s="1965"/>
      <c r="Q20" s="1965"/>
      <c r="R20" s="1965"/>
      <c r="S20" s="1123"/>
      <c r="T20" s="1119" t="s">
        <v>698</v>
      </c>
      <c r="U20" s="1123"/>
      <c r="V20" s="1123"/>
      <c r="W20" s="1119"/>
      <c r="X20" s="1965"/>
      <c r="Y20" s="1965"/>
      <c r="Z20" s="1965"/>
      <c r="AA20" s="1965"/>
      <c r="AB20" s="1965"/>
      <c r="AC20" s="1965"/>
      <c r="AD20" s="1965"/>
      <c r="AE20" s="1965"/>
      <c r="AF20" s="1965"/>
      <c r="AG20" s="1965"/>
      <c r="AH20" s="1965"/>
      <c r="AI20" s="1965"/>
      <c r="AJ20" s="1965"/>
      <c r="AK20" s="1136"/>
      <c r="AL20" s="1117"/>
    </row>
    <row r="21" spans="1:38" ht="3.75" customHeight="1" x14ac:dyDescent="0.35">
      <c r="A21" s="1110"/>
      <c r="B21" s="1118"/>
      <c r="C21" s="1119"/>
      <c r="D21" s="1119"/>
      <c r="E21" s="1119"/>
      <c r="F21" s="1119"/>
      <c r="G21" s="1119"/>
      <c r="H21" s="1119"/>
      <c r="I21" s="1119"/>
      <c r="J21" s="1119"/>
      <c r="K21" s="1119"/>
      <c r="L21" s="1119"/>
      <c r="M21" s="1119"/>
      <c r="N21" s="1119"/>
      <c r="O21" s="1119"/>
      <c r="P21" s="1119"/>
      <c r="Q21" s="1119"/>
      <c r="R21" s="1119"/>
      <c r="S21" s="1119"/>
      <c r="T21" s="1119"/>
      <c r="U21" s="1119"/>
      <c r="V21" s="1119"/>
      <c r="W21" s="1119"/>
      <c r="X21" s="1119"/>
      <c r="Y21" s="1119"/>
      <c r="Z21" s="1119"/>
      <c r="AA21" s="1119"/>
      <c r="AB21" s="1119"/>
      <c r="AC21" s="1119"/>
      <c r="AD21" s="1119"/>
      <c r="AE21" s="1119"/>
      <c r="AF21" s="1119"/>
      <c r="AG21" s="1119"/>
      <c r="AH21" s="1119"/>
      <c r="AI21" s="1119"/>
      <c r="AJ21" s="1119"/>
      <c r="AK21" s="1125"/>
      <c r="AL21" s="1135"/>
    </row>
    <row r="22" spans="1:38" ht="18.75" customHeight="1" x14ac:dyDescent="0.35">
      <c r="A22" s="1110"/>
      <c r="B22" s="1118" t="s">
        <v>699</v>
      </c>
      <c r="C22" s="1123"/>
      <c r="D22" s="1123"/>
      <c r="E22" s="1123"/>
      <c r="F22" s="1965"/>
      <c r="G22" s="1965"/>
      <c r="H22" s="1965"/>
      <c r="I22" s="1965"/>
      <c r="J22" s="1965"/>
      <c r="K22" s="1965"/>
      <c r="L22" s="1965"/>
      <c r="M22" s="1965"/>
      <c r="N22" s="1965"/>
      <c r="O22" s="1965"/>
      <c r="P22" s="1965"/>
      <c r="Q22" s="1965"/>
      <c r="R22" s="1965"/>
      <c r="S22" s="1123"/>
      <c r="T22" s="1119" t="s">
        <v>1953</v>
      </c>
      <c r="U22" s="1123"/>
      <c r="V22" s="1123"/>
      <c r="W22" s="1119"/>
      <c r="X22" s="1122"/>
      <c r="Y22" s="1119" t="s">
        <v>85</v>
      </c>
      <c r="Z22" s="1119"/>
      <c r="AA22" s="1119"/>
      <c r="AB22" s="1122"/>
      <c r="AC22" s="1119" t="s">
        <v>87</v>
      </c>
      <c r="AD22" s="1119"/>
      <c r="AE22" s="1119"/>
      <c r="AF22" s="1119"/>
      <c r="AG22" s="1119"/>
      <c r="AH22" s="1119"/>
      <c r="AI22" s="1119"/>
      <c r="AJ22" s="1119"/>
      <c r="AK22" s="1125"/>
      <c r="AL22" s="1135"/>
    </row>
    <row r="23" spans="1:38" ht="3.75" customHeight="1" x14ac:dyDescent="0.35">
      <c r="A23" s="1110"/>
      <c r="B23" s="1118"/>
      <c r="C23" s="1119"/>
      <c r="D23" s="1119"/>
      <c r="E23" s="1119"/>
      <c r="F23" s="1119"/>
      <c r="G23" s="1119"/>
      <c r="H23" s="1119"/>
      <c r="I23" s="1119"/>
      <c r="J23" s="1119"/>
      <c r="K23" s="1119"/>
      <c r="L23" s="1119"/>
      <c r="M23" s="1119"/>
      <c r="N23" s="1119"/>
      <c r="O23" s="1119"/>
      <c r="P23" s="1119"/>
      <c r="Q23" s="1119"/>
      <c r="R23" s="1119"/>
      <c r="S23" s="1119"/>
      <c r="T23" s="1119"/>
      <c r="U23" s="1119"/>
      <c r="V23" s="1119"/>
      <c r="W23" s="1119"/>
      <c r="X23" s="1119"/>
      <c r="Y23" s="1119"/>
      <c r="Z23" s="1119"/>
      <c r="AA23" s="1119"/>
      <c r="AB23" s="1119"/>
      <c r="AC23" s="1119"/>
      <c r="AD23" s="1119"/>
      <c r="AE23" s="1119"/>
      <c r="AF23" s="1119"/>
      <c r="AG23" s="1119"/>
      <c r="AH23" s="1119"/>
      <c r="AI23" s="1119"/>
      <c r="AJ23" s="1119"/>
      <c r="AK23" s="1125"/>
      <c r="AL23" s="1135"/>
    </row>
    <row r="24" spans="1:38" ht="18.75" customHeight="1" x14ac:dyDescent="0.35">
      <c r="A24" s="1110"/>
      <c r="B24" s="1118" t="s">
        <v>700</v>
      </c>
      <c r="C24" s="1123"/>
      <c r="D24" s="1123"/>
      <c r="E24" s="1123"/>
      <c r="F24" s="1965"/>
      <c r="G24" s="1965"/>
      <c r="H24" s="1965"/>
      <c r="I24" s="1965"/>
      <c r="J24" s="1965"/>
      <c r="K24" s="1965"/>
      <c r="L24" s="1965"/>
      <c r="M24" s="1965"/>
      <c r="N24" s="1965"/>
      <c r="O24" s="1965"/>
      <c r="P24" s="1965"/>
      <c r="Q24" s="1965"/>
      <c r="R24" s="1965"/>
      <c r="S24" s="1123"/>
      <c r="T24" s="1119" t="s">
        <v>701</v>
      </c>
      <c r="U24" s="1123"/>
      <c r="V24" s="1123"/>
      <c r="W24" s="1119"/>
      <c r="X24" s="1965"/>
      <c r="Y24" s="1965"/>
      <c r="Z24" s="1965"/>
      <c r="AA24" s="1965"/>
      <c r="AB24" s="1119" t="s">
        <v>702</v>
      </c>
      <c r="AC24" s="1965"/>
      <c r="AD24" s="1965"/>
      <c r="AE24" s="1119" t="s">
        <v>703</v>
      </c>
      <c r="AF24" s="1965"/>
      <c r="AG24" s="1965"/>
      <c r="AH24" s="1119" t="s">
        <v>704</v>
      </c>
      <c r="AI24" s="1119"/>
      <c r="AJ24" s="1119"/>
      <c r="AK24" s="1125"/>
      <c r="AL24" s="1135"/>
    </row>
    <row r="25" spans="1:38" ht="3.75" customHeight="1" thickBot="1" x14ac:dyDescent="0.4">
      <c r="A25" s="1110"/>
      <c r="B25" s="1137"/>
      <c r="C25" s="1129"/>
      <c r="D25" s="1129"/>
      <c r="E25" s="1129"/>
      <c r="F25" s="1130"/>
      <c r="G25" s="1130"/>
      <c r="H25" s="1130"/>
      <c r="I25" s="1130"/>
      <c r="J25" s="1130"/>
      <c r="K25" s="1130"/>
      <c r="L25" s="1130"/>
      <c r="M25" s="1130"/>
      <c r="N25" s="1130"/>
      <c r="O25" s="1130"/>
      <c r="P25" s="1130"/>
      <c r="Q25" s="1130"/>
      <c r="R25" s="1129"/>
      <c r="S25" s="1129"/>
      <c r="T25" s="1129"/>
      <c r="U25" s="1129"/>
      <c r="V25" s="1129"/>
      <c r="W25" s="1128"/>
      <c r="X25" s="1128"/>
      <c r="Y25" s="1128"/>
      <c r="Z25" s="1128"/>
      <c r="AA25" s="1128"/>
      <c r="AB25" s="1128"/>
      <c r="AC25" s="1128"/>
      <c r="AD25" s="1128"/>
      <c r="AE25" s="1128"/>
      <c r="AF25" s="1128"/>
      <c r="AG25" s="1128"/>
      <c r="AH25" s="1128"/>
      <c r="AI25" s="1128"/>
      <c r="AJ25" s="1128"/>
      <c r="AK25" s="1131"/>
      <c r="AL25" s="1135"/>
    </row>
    <row r="26" spans="1:38" ht="3.75" customHeight="1" x14ac:dyDescent="0.35">
      <c r="A26" s="1110"/>
      <c r="C26" s="1111"/>
      <c r="D26" s="1111"/>
      <c r="E26" s="1111"/>
      <c r="F26" s="1109"/>
      <c r="G26" s="1109"/>
      <c r="H26" s="1109"/>
      <c r="I26" s="1109"/>
      <c r="J26" s="1109"/>
      <c r="K26" s="1109"/>
      <c r="L26" s="1109"/>
      <c r="M26" s="1109"/>
      <c r="N26" s="1109"/>
      <c r="O26" s="1109"/>
      <c r="P26" s="1109"/>
      <c r="Q26" s="1109"/>
      <c r="R26" s="1111"/>
      <c r="S26" s="1111"/>
      <c r="T26" s="1111"/>
      <c r="U26" s="1111"/>
      <c r="V26" s="1111"/>
    </row>
    <row r="27" spans="1:38" ht="8.25" customHeight="1" x14ac:dyDescent="0.35">
      <c r="A27" s="1110"/>
      <c r="C27" s="1111"/>
      <c r="D27" s="1111"/>
      <c r="E27" s="1111"/>
      <c r="F27" s="1109"/>
      <c r="G27" s="1109"/>
      <c r="H27" s="1109"/>
      <c r="I27" s="1109"/>
      <c r="J27" s="1109"/>
      <c r="K27" s="1109"/>
      <c r="L27" s="1109"/>
      <c r="M27" s="1109"/>
      <c r="N27" s="1109"/>
      <c r="O27" s="1109"/>
      <c r="P27" s="1109"/>
      <c r="Q27" s="1109"/>
      <c r="R27" s="1111"/>
      <c r="S27" s="1111"/>
      <c r="T27" s="1111"/>
      <c r="U27" s="1111"/>
      <c r="V27" s="1111"/>
    </row>
    <row r="28" spans="1:38" ht="12.75" customHeight="1" thickBot="1" x14ac:dyDescent="0.4">
      <c r="A28" s="1110"/>
      <c r="B28" s="1110"/>
      <c r="C28" s="1110"/>
      <c r="D28" s="1110"/>
      <c r="E28" s="1110"/>
      <c r="F28" s="1110"/>
      <c r="G28" s="1110"/>
      <c r="H28" s="1110"/>
      <c r="I28" s="1110"/>
      <c r="J28" s="1111"/>
      <c r="K28" s="1111"/>
      <c r="L28" s="1111"/>
      <c r="N28" s="1111"/>
      <c r="O28" s="1111"/>
      <c r="P28" s="1111"/>
      <c r="Q28" s="1111"/>
      <c r="R28" s="1111"/>
      <c r="S28" s="1111"/>
      <c r="T28" s="1111"/>
      <c r="U28" s="1111"/>
      <c r="V28" s="1111"/>
      <c r="W28" s="1111"/>
      <c r="X28" s="1111"/>
      <c r="Y28" s="1111"/>
      <c r="Z28" s="1111"/>
      <c r="AK28" s="1111"/>
      <c r="AL28" s="634"/>
    </row>
    <row r="29" spans="1:38" ht="18.75" customHeight="1" x14ac:dyDescent="0.35">
      <c r="A29" s="1110"/>
      <c r="B29" s="1138" t="s">
        <v>705</v>
      </c>
      <c r="C29" s="1113"/>
      <c r="D29" s="1113"/>
      <c r="E29" s="1113"/>
      <c r="F29" s="1113"/>
      <c r="G29" s="1113"/>
      <c r="H29" s="1113"/>
      <c r="I29" s="1113"/>
      <c r="J29" s="1114"/>
      <c r="K29" s="1114"/>
      <c r="L29" s="1114"/>
      <c r="M29" s="1115"/>
      <c r="N29" s="1115"/>
      <c r="O29" s="1114"/>
      <c r="P29" s="1114"/>
      <c r="Q29" s="1115"/>
      <c r="R29" s="1115"/>
      <c r="S29" s="1115"/>
      <c r="T29" s="1115"/>
      <c r="U29" s="1115"/>
      <c r="V29" s="1115"/>
      <c r="W29" s="1115"/>
      <c r="X29" s="1115"/>
      <c r="Y29" s="1115"/>
      <c r="Z29" s="1115"/>
      <c r="AA29" s="1115"/>
      <c r="AB29" s="1115"/>
      <c r="AC29" s="1115"/>
      <c r="AD29" s="1115"/>
      <c r="AE29" s="1115"/>
      <c r="AF29" s="1115"/>
      <c r="AG29" s="1115"/>
      <c r="AH29" s="1115"/>
      <c r="AI29" s="1115"/>
      <c r="AJ29" s="1115"/>
      <c r="AK29" s="1116"/>
      <c r="AL29" s="634"/>
    </row>
    <row r="30" spans="1:38" ht="3.75" customHeight="1" x14ac:dyDescent="0.35">
      <c r="A30" s="1110"/>
      <c r="B30" s="1139"/>
      <c r="C30" s="1121"/>
      <c r="D30" s="1121"/>
      <c r="E30" s="1121"/>
      <c r="F30" s="1121"/>
      <c r="G30" s="1121"/>
      <c r="H30" s="1121"/>
      <c r="I30" s="1121"/>
      <c r="J30" s="1123"/>
      <c r="K30" s="1123"/>
      <c r="L30" s="1123"/>
      <c r="M30" s="1119"/>
      <c r="N30" s="1123"/>
      <c r="O30" s="1123"/>
      <c r="P30" s="1123"/>
      <c r="Q30" s="1119"/>
      <c r="R30" s="1119"/>
      <c r="S30" s="1119"/>
      <c r="T30" s="1119"/>
      <c r="U30" s="1119"/>
      <c r="V30" s="1119"/>
      <c r="W30" s="1119"/>
      <c r="X30" s="1119"/>
      <c r="Y30" s="1119"/>
      <c r="Z30" s="1119"/>
      <c r="AA30" s="1119"/>
      <c r="AB30" s="1119"/>
      <c r="AC30" s="1119"/>
      <c r="AD30" s="1119"/>
      <c r="AE30" s="1119"/>
      <c r="AF30" s="1119"/>
      <c r="AG30" s="1119"/>
      <c r="AH30" s="1119"/>
      <c r="AI30" s="1119"/>
      <c r="AJ30" s="1119"/>
      <c r="AK30" s="1136"/>
      <c r="AL30" s="634"/>
    </row>
    <row r="31" spans="1:38" ht="18.75" customHeight="1" x14ac:dyDescent="0.35">
      <c r="A31" s="1110"/>
      <c r="B31" s="1140"/>
      <c r="C31" s="1122"/>
      <c r="D31" s="1119" t="s">
        <v>706</v>
      </c>
      <c r="E31" s="1121"/>
      <c r="F31" s="1121"/>
      <c r="G31" s="1121"/>
      <c r="H31" s="1121"/>
      <c r="I31" s="1121"/>
      <c r="J31" s="1123"/>
      <c r="K31" s="1123"/>
      <c r="L31" s="1123"/>
      <c r="M31" s="1119"/>
      <c r="N31" s="1123"/>
      <c r="O31" s="1123"/>
      <c r="P31" s="1123"/>
      <c r="Q31" s="1119" t="s">
        <v>1038</v>
      </c>
      <c r="R31" s="1119"/>
      <c r="S31" s="1119"/>
      <c r="T31" s="1119"/>
      <c r="U31" s="1123"/>
      <c r="V31" s="1123"/>
      <c r="W31" s="1123"/>
      <c r="X31" s="1141"/>
      <c r="Y31" s="1965"/>
      <c r="Z31" s="1965"/>
      <c r="AA31" s="1965"/>
      <c r="AB31" s="1965"/>
      <c r="AC31" s="1965"/>
      <c r="AD31" s="1965"/>
      <c r="AE31" s="1965"/>
      <c r="AF31" s="1965"/>
      <c r="AG31" s="1965"/>
      <c r="AH31" s="1965"/>
      <c r="AI31" s="1965"/>
      <c r="AJ31" s="1965"/>
      <c r="AK31" s="1136"/>
      <c r="AL31" s="634"/>
    </row>
    <row r="32" spans="1:38" ht="3.75" customHeight="1" x14ac:dyDescent="0.35">
      <c r="A32" s="1110"/>
      <c r="B32" s="1139"/>
      <c r="C32" s="1121"/>
      <c r="D32" s="1121"/>
      <c r="E32" s="1121"/>
      <c r="F32" s="1121"/>
      <c r="G32" s="1121"/>
      <c r="H32" s="1121"/>
      <c r="I32" s="1121"/>
      <c r="J32" s="1123"/>
      <c r="K32" s="1123"/>
      <c r="L32" s="1123"/>
      <c r="M32" s="1119"/>
      <c r="N32" s="1123"/>
      <c r="O32" s="1123"/>
      <c r="P32" s="1123"/>
      <c r="Q32" s="1123"/>
      <c r="R32" s="1123"/>
      <c r="S32" s="1123"/>
      <c r="T32" s="1123"/>
      <c r="U32" s="1123"/>
      <c r="V32" s="1123"/>
      <c r="W32" s="1123"/>
      <c r="X32" s="1123"/>
      <c r="Y32" s="1123"/>
      <c r="Z32" s="1119"/>
      <c r="AA32" s="1119"/>
      <c r="AB32" s="1119"/>
      <c r="AC32" s="1119"/>
      <c r="AD32" s="1119"/>
      <c r="AE32" s="1119"/>
      <c r="AF32" s="1119"/>
      <c r="AG32" s="1119"/>
      <c r="AH32" s="1119"/>
      <c r="AI32" s="1119"/>
      <c r="AJ32" s="1119"/>
      <c r="AK32" s="1136"/>
      <c r="AL32" s="634"/>
    </row>
    <row r="33" spans="1:38" ht="18.75" customHeight="1" x14ac:dyDescent="0.35">
      <c r="A33" s="1110"/>
      <c r="B33" s="1118"/>
      <c r="C33" s="1122"/>
      <c r="D33" s="1120" t="s">
        <v>707</v>
      </c>
      <c r="E33" s="1119"/>
      <c r="F33" s="1119"/>
      <c r="G33" s="1119"/>
      <c r="H33" s="1119"/>
      <c r="I33" s="1119"/>
      <c r="J33" s="1119"/>
      <c r="K33" s="1119"/>
      <c r="L33" s="1119"/>
      <c r="M33" s="1119"/>
      <c r="N33" s="1119"/>
      <c r="O33" s="1119"/>
      <c r="P33" s="1119"/>
      <c r="Q33" s="1119" t="s">
        <v>708</v>
      </c>
      <c r="R33" s="1142"/>
      <c r="S33" s="1123"/>
      <c r="T33" s="1119"/>
      <c r="U33" s="1119"/>
      <c r="V33" s="1119"/>
      <c r="W33" s="1119"/>
      <c r="X33" s="1141"/>
      <c r="Y33" s="1965"/>
      <c r="Z33" s="1965"/>
      <c r="AA33" s="1965"/>
      <c r="AB33" s="1965"/>
      <c r="AC33" s="1965"/>
      <c r="AD33" s="1965"/>
      <c r="AE33" s="1965"/>
      <c r="AF33" s="1965"/>
      <c r="AG33" s="1965"/>
      <c r="AH33" s="1965"/>
      <c r="AI33" s="1965"/>
      <c r="AJ33" s="1965"/>
      <c r="AK33" s="1136"/>
      <c r="AL33" s="634"/>
    </row>
    <row r="34" spans="1:38" ht="3.75" customHeight="1" x14ac:dyDescent="0.35">
      <c r="A34" s="1110"/>
      <c r="B34" s="1118"/>
      <c r="C34" s="1119"/>
      <c r="D34" s="1119"/>
      <c r="E34" s="1119"/>
      <c r="F34" s="1119"/>
      <c r="G34" s="1119"/>
      <c r="H34" s="1119"/>
      <c r="I34" s="1119"/>
      <c r="J34" s="1119"/>
      <c r="K34" s="1119"/>
      <c r="L34" s="1119"/>
      <c r="M34" s="1119"/>
      <c r="N34" s="1119"/>
      <c r="O34" s="1119"/>
      <c r="P34" s="1119"/>
      <c r="Q34" s="1123"/>
      <c r="R34" s="1123"/>
      <c r="S34" s="1123"/>
      <c r="T34" s="1123"/>
      <c r="U34" s="1123"/>
      <c r="V34" s="1123"/>
      <c r="W34" s="1123"/>
      <c r="X34" s="1123"/>
      <c r="Y34" s="1123"/>
      <c r="Z34" s="1119"/>
      <c r="AA34" s="1119"/>
      <c r="AB34" s="1119"/>
      <c r="AC34" s="1119"/>
      <c r="AD34" s="1119"/>
      <c r="AE34" s="1119"/>
      <c r="AF34" s="1119"/>
      <c r="AG34" s="1119"/>
      <c r="AH34" s="1119"/>
      <c r="AI34" s="1119"/>
      <c r="AJ34" s="1119"/>
      <c r="AK34" s="1125"/>
    </row>
    <row r="35" spans="1:38" ht="18.75" customHeight="1" x14ac:dyDescent="0.35">
      <c r="A35" s="1110"/>
      <c r="B35" s="1118"/>
      <c r="C35" s="1122"/>
      <c r="D35" s="1119" t="s">
        <v>709</v>
      </c>
      <c r="E35" s="1119"/>
      <c r="F35" s="1119"/>
      <c r="G35" s="1119"/>
      <c r="H35" s="1123"/>
      <c r="I35" s="1123"/>
      <c r="J35" s="1142"/>
      <c r="K35" s="1142"/>
      <c r="L35" s="1142"/>
      <c r="M35" s="1142"/>
      <c r="N35" s="1142"/>
      <c r="O35" s="1142"/>
      <c r="P35" s="1142"/>
      <c r="Q35" s="1119" t="s">
        <v>710</v>
      </c>
      <c r="R35" s="1119"/>
      <c r="S35" s="1119"/>
      <c r="T35" s="1119"/>
      <c r="U35" s="1119"/>
      <c r="V35" s="1119"/>
      <c r="W35" s="1119"/>
      <c r="X35" s="1141"/>
      <c r="Y35" s="1965"/>
      <c r="Z35" s="1965"/>
      <c r="AA35" s="1965"/>
      <c r="AB35" s="1965"/>
      <c r="AC35" s="1965"/>
      <c r="AD35" s="1965"/>
      <c r="AE35" s="1965"/>
      <c r="AF35" s="1965"/>
      <c r="AG35" s="1965"/>
      <c r="AH35" s="1965"/>
      <c r="AI35" s="1965"/>
      <c r="AJ35" s="1965"/>
      <c r="AK35" s="1136"/>
      <c r="AL35" s="634"/>
    </row>
    <row r="36" spans="1:38" ht="3.75" customHeight="1" x14ac:dyDescent="0.35">
      <c r="A36" s="1110"/>
      <c r="B36" s="1118"/>
      <c r="C36" s="1119"/>
      <c r="D36" s="1119"/>
      <c r="E36" s="1119"/>
      <c r="F36" s="1119"/>
      <c r="G36" s="1119"/>
      <c r="H36" s="1119"/>
      <c r="I36" s="1119"/>
      <c r="J36" s="1119"/>
      <c r="K36" s="1119"/>
      <c r="L36" s="1119"/>
      <c r="M36" s="1119"/>
      <c r="N36" s="1119"/>
      <c r="O36" s="1119"/>
      <c r="P36" s="1119"/>
      <c r="Q36" s="1119"/>
      <c r="R36" s="1119"/>
      <c r="S36" s="1119"/>
      <c r="T36" s="1119"/>
      <c r="U36" s="1119"/>
      <c r="V36" s="1119"/>
      <c r="W36" s="1119"/>
      <c r="X36" s="1119"/>
      <c r="Y36" s="1119"/>
      <c r="Z36" s="1119"/>
      <c r="AA36" s="1119"/>
      <c r="AB36" s="1119"/>
      <c r="AC36" s="1119"/>
      <c r="AD36" s="1119"/>
      <c r="AE36" s="1119"/>
      <c r="AF36" s="1119"/>
      <c r="AG36" s="1119"/>
      <c r="AH36" s="1119"/>
      <c r="AI36" s="1119"/>
      <c r="AJ36" s="1119"/>
      <c r="AK36" s="1125"/>
    </row>
    <row r="37" spans="1:38" ht="18.75" customHeight="1" x14ac:dyDescent="0.35">
      <c r="A37" s="1110"/>
      <c r="B37" s="1118"/>
      <c r="C37" s="1122"/>
      <c r="D37" s="1119" t="s">
        <v>711</v>
      </c>
      <c r="E37" s="1119"/>
      <c r="F37" s="1119"/>
      <c r="G37" s="1119"/>
      <c r="H37" s="1119"/>
      <c r="I37" s="1119"/>
      <c r="J37" s="1119"/>
      <c r="K37" s="1119"/>
      <c r="L37" s="1119"/>
      <c r="M37" s="1119"/>
      <c r="N37" s="1119"/>
      <c r="O37" s="1119"/>
      <c r="P37" s="1119"/>
      <c r="Q37" s="1119" t="s">
        <v>712</v>
      </c>
      <c r="R37" s="1142"/>
      <c r="S37" s="1119"/>
      <c r="T37" s="1119"/>
      <c r="U37" s="1119"/>
      <c r="V37" s="1119"/>
      <c r="W37" s="1119"/>
      <c r="X37" s="1141"/>
      <c r="Y37" s="1965"/>
      <c r="Z37" s="1965"/>
      <c r="AA37" s="1965"/>
      <c r="AB37" s="1965"/>
      <c r="AC37" s="1965"/>
      <c r="AD37" s="1965"/>
      <c r="AE37" s="1965"/>
      <c r="AF37" s="1965"/>
      <c r="AG37" s="1965"/>
      <c r="AH37" s="1965"/>
      <c r="AI37" s="1965"/>
      <c r="AJ37" s="1965"/>
      <c r="AK37" s="1125"/>
    </row>
    <row r="38" spans="1:38" ht="3.75" customHeight="1" thickBot="1" x14ac:dyDescent="0.4">
      <c r="A38" s="1110"/>
      <c r="B38" s="1143"/>
      <c r="C38" s="1127"/>
      <c r="D38" s="1127"/>
      <c r="E38" s="1127"/>
      <c r="F38" s="1127"/>
      <c r="G38" s="1127"/>
      <c r="H38" s="1127"/>
      <c r="I38" s="1127"/>
      <c r="J38" s="1129"/>
      <c r="K38" s="1129"/>
      <c r="L38" s="1129"/>
      <c r="M38" s="1128"/>
      <c r="N38" s="1129"/>
      <c r="O38" s="1129"/>
      <c r="P38" s="1129"/>
      <c r="Q38" s="1129"/>
      <c r="R38" s="1129"/>
      <c r="S38" s="1129"/>
      <c r="T38" s="1129"/>
      <c r="U38" s="1129"/>
      <c r="V38" s="1129"/>
      <c r="W38" s="1129"/>
      <c r="X38" s="1129"/>
      <c r="Y38" s="1129"/>
      <c r="Z38" s="1129"/>
      <c r="AA38" s="1128"/>
      <c r="AB38" s="1128"/>
      <c r="AC38" s="1128"/>
      <c r="AD38" s="1128"/>
      <c r="AE38" s="1128"/>
      <c r="AF38" s="1128"/>
      <c r="AG38" s="1128"/>
      <c r="AH38" s="1128"/>
      <c r="AI38" s="1128"/>
      <c r="AJ38" s="1128"/>
      <c r="AK38" s="1144"/>
      <c r="AL38" s="634"/>
    </row>
    <row r="39" spans="1:38" ht="3.75" customHeight="1" x14ac:dyDescent="0.35">
      <c r="A39" s="1110"/>
      <c r="B39" s="1110"/>
      <c r="C39" s="1110"/>
      <c r="D39" s="1110"/>
      <c r="E39" s="1110"/>
      <c r="F39" s="1110"/>
      <c r="G39" s="1110"/>
      <c r="H39" s="1110"/>
      <c r="I39" s="1110"/>
      <c r="J39" s="1111"/>
      <c r="K39" s="1111"/>
      <c r="L39" s="1111"/>
      <c r="N39" s="1111"/>
      <c r="O39" s="1111"/>
      <c r="P39" s="1111"/>
      <c r="Q39" s="1111"/>
      <c r="R39" s="1111"/>
      <c r="S39" s="1111"/>
      <c r="T39" s="1111"/>
      <c r="U39" s="1111"/>
      <c r="V39" s="1111"/>
      <c r="W39" s="1111"/>
      <c r="X39" s="1111"/>
      <c r="Y39" s="1111"/>
      <c r="Z39" s="1111"/>
      <c r="AK39" s="1111"/>
      <c r="AL39" s="634"/>
    </row>
    <row r="40" spans="1:38" ht="8.25" customHeight="1" x14ac:dyDescent="0.35">
      <c r="A40" s="1110"/>
      <c r="C40" s="1111"/>
      <c r="D40" s="1111"/>
      <c r="E40" s="1111"/>
      <c r="F40" s="1109"/>
      <c r="G40" s="1109"/>
      <c r="H40" s="1109"/>
      <c r="I40" s="1109"/>
      <c r="J40" s="1109"/>
      <c r="K40" s="1109"/>
      <c r="L40" s="1109"/>
      <c r="M40" s="1109"/>
      <c r="N40" s="1109"/>
      <c r="O40" s="1109"/>
      <c r="P40" s="1109"/>
      <c r="Q40" s="1109"/>
      <c r="R40" s="1111"/>
      <c r="S40" s="1111"/>
      <c r="T40" s="1111"/>
      <c r="U40" s="1111"/>
      <c r="V40" s="1111"/>
    </row>
    <row r="41" spans="1:38" ht="12" customHeight="1" thickBot="1" x14ac:dyDescent="0.4">
      <c r="A41" s="1110"/>
      <c r="B41" s="1110"/>
      <c r="C41" s="1110"/>
      <c r="D41" s="1110"/>
      <c r="E41" s="1110"/>
      <c r="F41" s="1110"/>
      <c r="G41" s="1110"/>
      <c r="H41" s="1110"/>
      <c r="I41" s="1110"/>
      <c r="J41" s="1111"/>
      <c r="K41" s="1111"/>
      <c r="L41" s="1111"/>
      <c r="N41" s="1111"/>
      <c r="O41" s="1111"/>
      <c r="P41" s="1111"/>
      <c r="Q41" s="1111"/>
      <c r="R41" s="1111"/>
      <c r="S41" s="1111"/>
      <c r="T41" s="1111"/>
      <c r="U41" s="1111"/>
      <c r="V41" s="1111"/>
      <c r="W41" s="1111"/>
      <c r="X41" s="1111"/>
      <c r="Y41" s="1111"/>
      <c r="Z41" s="1111"/>
      <c r="AK41" s="1111"/>
      <c r="AL41" s="634"/>
    </row>
    <row r="42" spans="1:38" ht="6.75" customHeight="1" x14ac:dyDescent="0.35">
      <c r="A42" s="1110"/>
      <c r="B42" s="1112"/>
      <c r="C42" s="1113"/>
      <c r="D42" s="1113"/>
      <c r="E42" s="1113"/>
      <c r="F42" s="1113"/>
      <c r="G42" s="1113"/>
      <c r="H42" s="1113"/>
      <c r="I42" s="1113"/>
      <c r="J42" s="1114"/>
      <c r="K42" s="1114"/>
      <c r="L42" s="1114"/>
      <c r="M42" s="1115"/>
      <c r="N42" s="1114"/>
      <c r="O42" s="1114"/>
      <c r="P42" s="1114"/>
      <c r="Q42" s="1114"/>
      <c r="R42" s="1114"/>
      <c r="S42" s="1114"/>
      <c r="T42" s="1114"/>
      <c r="U42" s="1114"/>
      <c r="V42" s="1114"/>
      <c r="W42" s="1114"/>
      <c r="X42" s="1114"/>
      <c r="Y42" s="1114"/>
      <c r="Z42" s="1114"/>
      <c r="AA42" s="1115"/>
      <c r="AB42" s="1115"/>
      <c r="AC42" s="1115"/>
      <c r="AD42" s="1115"/>
      <c r="AE42" s="1115"/>
      <c r="AF42" s="1115"/>
      <c r="AG42" s="1115"/>
      <c r="AH42" s="1115"/>
      <c r="AI42" s="1115"/>
      <c r="AJ42" s="1115"/>
      <c r="AK42" s="1116"/>
      <c r="AL42" s="634"/>
    </row>
    <row r="43" spans="1:38" ht="18.75" customHeight="1" x14ac:dyDescent="0.35">
      <c r="A43" s="1110"/>
      <c r="B43" s="1118" t="s">
        <v>1954</v>
      </c>
      <c r="C43" s="1119"/>
      <c r="D43" s="1119"/>
      <c r="E43" s="1119"/>
      <c r="F43" s="1917"/>
      <c r="G43" s="1934"/>
      <c r="H43" s="1934"/>
      <c r="I43" s="1934"/>
      <c r="J43" s="1934"/>
      <c r="K43" s="1934"/>
      <c r="L43" s="1918"/>
      <c r="M43" s="1145" t="s">
        <v>713</v>
      </c>
      <c r="N43" s="1142"/>
      <c r="O43" s="1917"/>
      <c r="P43" s="1934"/>
      <c r="Q43" s="1934"/>
      <c r="R43" s="1918"/>
      <c r="S43" s="1145" t="s">
        <v>714</v>
      </c>
      <c r="T43" s="1120"/>
      <c r="U43" s="1917"/>
      <c r="V43" s="1934"/>
      <c r="W43" s="1934"/>
      <c r="X43" s="1934"/>
      <c r="Y43" s="1934"/>
      <c r="Z43" s="1934"/>
      <c r="AA43" s="1934"/>
      <c r="AB43" s="1932"/>
      <c r="AC43" s="1932"/>
      <c r="AD43" s="1932"/>
      <c r="AE43" s="1933"/>
      <c r="AF43" s="1145" t="s">
        <v>715</v>
      </c>
      <c r="AG43" s="1142"/>
      <c r="AH43" s="1142"/>
      <c r="AI43" s="1142"/>
      <c r="AJ43" s="1142"/>
      <c r="AK43" s="1136"/>
      <c r="AL43" s="634"/>
    </row>
    <row r="44" spans="1:38" ht="3.75" customHeight="1" x14ac:dyDescent="0.35">
      <c r="A44" s="1110"/>
      <c r="B44" s="1118"/>
      <c r="C44" s="1119"/>
      <c r="D44" s="1119"/>
      <c r="E44" s="1119"/>
      <c r="F44" s="1119"/>
      <c r="G44" s="1119"/>
      <c r="H44" s="1119"/>
      <c r="I44" s="1119"/>
      <c r="J44" s="1119"/>
      <c r="K44" s="1119"/>
      <c r="L44" s="1119"/>
      <c r="M44" s="1119"/>
      <c r="N44" s="1119"/>
      <c r="O44" s="1119"/>
      <c r="P44" s="1119"/>
      <c r="Q44" s="1119"/>
      <c r="R44" s="1119"/>
      <c r="S44" s="1119"/>
      <c r="T44" s="1119"/>
      <c r="U44" s="1119"/>
      <c r="V44" s="1119"/>
      <c r="W44" s="1119"/>
      <c r="X44" s="1119"/>
      <c r="Y44" s="1119"/>
      <c r="Z44" s="1119"/>
      <c r="AA44" s="1119"/>
      <c r="AB44" s="1119"/>
      <c r="AC44" s="1119"/>
      <c r="AD44" s="1119"/>
      <c r="AE44" s="1119"/>
      <c r="AF44" s="1119"/>
      <c r="AG44" s="1119"/>
      <c r="AH44" s="1119"/>
      <c r="AI44" s="1119"/>
      <c r="AJ44" s="1119"/>
      <c r="AK44" s="1125"/>
    </row>
    <row r="45" spans="1:38" ht="18.75" customHeight="1" x14ac:dyDescent="0.35">
      <c r="A45" s="1110"/>
      <c r="B45" s="1118"/>
      <c r="C45" s="1119"/>
      <c r="D45" s="1119"/>
      <c r="E45" s="1119"/>
      <c r="F45" s="1917"/>
      <c r="G45" s="1934"/>
      <c r="H45" s="1934"/>
      <c r="I45" s="1934"/>
      <c r="J45" s="1934"/>
      <c r="K45" s="1934"/>
      <c r="L45" s="1934"/>
      <c r="M45" s="1932"/>
      <c r="N45" s="1932"/>
      <c r="O45" s="1932"/>
      <c r="P45" s="1932"/>
      <c r="Q45" s="1932"/>
      <c r="R45" s="1935"/>
      <c r="S45" s="1142" t="s">
        <v>716</v>
      </c>
      <c r="T45" s="1119"/>
      <c r="U45" s="1917"/>
      <c r="V45" s="1934"/>
      <c r="W45" s="1918"/>
      <c r="X45" s="1145" t="s">
        <v>717</v>
      </c>
      <c r="Y45" s="1119"/>
      <c r="Z45" s="1123"/>
      <c r="AA45" s="1917"/>
      <c r="AB45" s="1918"/>
      <c r="AC45" s="1120" t="s">
        <v>718</v>
      </c>
      <c r="AD45" s="1119"/>
      <c r="AE45" s="1142"/>
      <c r="AF45" s="1917"/>
      <c r="AG45" s="1918"/>
      <c r="AH45" s="1145" t="s">
        <v>719</v>
      </c>
      <c r="AI45" s="1917"/>
      <c r="AJ45" s="1918"/>
      <c r="AK45" s="1146" t="s">
        <v>720</v>
      </c>
      <c r="AL45" s="634"/>
    </row>
    <row r="46" spans="1:38" ht="3.75" customHeight="1" x14ac:dyDescent="0.35">
      <c r="A46" s="1110"/>
      <c r="B46" s="1118"/>
      <c r="C46" s="1119"/>
      <c r="D46" s="1119"/>
      <c r="E46" s="1119"/>
      <c r="F46" s="1119"/>
      <c r="G46" s="1119"/>
      <c r="H46" s="1119"/>
      <c r="I46" s="1119"/>
      <c r="J46" s="1119"/>
      <c r="K46" s="1119"/>
      <c r="L46" s="1119"/>
      <c r="M46" s="1119"/>
      <c r="N46" s="1119"/>
      <c r="O46" s="1119"/>
      <c r="P46" s="1119"/>
      <c r="Q46" s="1119"/>
      <c r="R46" s="1119"/>
      <c r="S46" s="1119"/>
      <c r="T46" s="1119"/>
      <c r="U46" s="1119"/>
      <c r="V46" s="1119"/>
      <c r="W46" s="1119"/>
      <c r="X46" s="1119"/>
      <c r="Y46" s="1119"/>
      <c r="Z46" s="1119"/>
      <c r="AA46" s="1119"/>
      <c r="AB46" s="1119"/>
      <c r="AC46" s="1119"/>
      <c r="AD46" s="1119"/>
      <c r="AE46" s="1119"/>
      <c r="AF46" s="1119"/>
      <c r="AG46" s="1119"/>
      <c r="AH46" s="1119"/>
      <c r="AI46" s="1119"/>
      <c r="AJ46" s="1119"/>
      <c r="AK46" s="1125"/>
    </row>
    <row r="47" spans="1:38" ht="18.75" customHeight="1" x14ac:dyDescent="0.35">
      <c r="A47" s="1110"/>
      <c r="B47" s="1118" t="s">
        <v>721</v>
      </c>
      <c r="C47" s="1119"/>
      <c r="D47" s="1119"/>
      <c r="E47" s="1119"/>
      <c r="F47" s="1119"/>
      <c r="G47" s="1122" t="s">
        <v>1971</v>
      </c>
      <c r="H47" s="1119" t="s">
        <v>722</v>
      </c>
      <c r="I47" s="1119"/>
      <c r="J47" s="1119"/>
      <c r="K47" s="1119"/>
      <c r="L47" s="1122"/>
      <c r="M47" s="1119" t="s">
        <v>723</v>
      </c>
      <c r="N47" s="1119"/>
      <c r="O47" s="1119"/>
      <c r="P47" s="1119"/>
      <c r="Q47" s="1119"/>
      <c r="R47" s="1122"/>
      <c r="S47" s="1119" t="s">
        <v>724</v>
      </c>
      <c r="T47" s="1119"/>
      <c r="U47" s="1119"/>
      <c r="V47" s="1122"/>
      <c r="W47" s="1119" t="s">
        <v>725</v>
      </c>
      <c r="X47" s="1119"/>
      <c r="Y47" s="1119"/>
      <c r="Z47" s="1119"/>
      <c r="AA47" s="1119"/>
      <c r="AB47" s="1119"/>
      <c r="AC47" s="1119"/>
      <c r="AD47" s="1119"/>
      <c r="AE47" s="1119"/>
      <c r="AF47" s="1119"/>
      <c r="AG47" s="1119"/>
      <c r="AH47" s="1119"/>
      <c r="AI47" s="1119"/>
      <c r="AJ47" s="1119"/>
      <c r="AK47" s="1125"/>
    </row>
    <row r="48" spans="1:38" ht="3.75" customHeight="1" x14ac:dyDescent="0.35">
      <c r="A48" s="1110"/>
      <c r="B48" s="1118"/>
      <c r="C48" s="1119"/>
      <c r="D48" s="1119"/>
      <c r="E48" s="1119"/>
      <c r="F48" s="1119"/>
      <c r="G48" s="1119"/>
      <c r="H48" s="1119"/>
      <c r="I48" s="1119"/>
      <c r="J48" s="1119"/>
      <c r="K48" s="1119"/>
      <c r="L48" s="1119"/>
      <c r="M48" s="1119"/>
      <c r="N48" s="1119"/>
      <c r="O48" s="1119"/>
      <c r="P48" s="1119"/>
      <c r="Q48" s="1119"/>
      <c r="R48" s="1119"/>
      <c r="S48" s="1119"/>
      <c r="T48" s="1119"/>
      <c r="U48" s="1119"/>
      <c r="V48" s="1119"/>
      <c r="W48" s="1119"/>
      <c r="X48" s="1119"/>
      <c r="Y48" s="1119"/>
      <c r="Z48" s="1119"/>
      <c r="AA48" s="1119"/>
      <c r="AB48" s="1119"/>
      <c r="AC48" s="1119"/>
      <c r="AD48" s="1119"/>
      <c r="AE48" s="1119"/>
      <c r="AF48" s="1119"/>
      <c r="AG48" s="1119"/>
      <c r="AH48" s="1119"/>
      <c r="AI48" s="1119"/>
      <c r="AJ48" s="1119"/>
      <c r="AK48" s="1125"/>
    </row>
    <row r="49" spans="1:38" ht="18.75" customHeight="1" x14ac:dyDescent="0.35">
      <c r="A49" s="1110"/>
      <c r="B49" s="1118" t="s">
        <v>726</v>
      </c>
      <c r="C49" s="1119"/>
      <c r="D49" s="1119"/>
      <c r="E49" s="1119"/>
      <c r="F49" s="1119"/>
      <c r="G49" s="1122"/>
      <c r="H49" s="1119" t="s">
        <v>727</v>
      </c>
      <c r="I49" s="1119"/>
      <c r="J49" s="1119"/>
      <c r="K49" s="1119"/>
      <c r="L49" s="1119"/>
      <c r="M49" s="1119"/>
      <c r="N49" s="1119"/>
      <c r="O49" s="1119"/>
      <c r="P49" s="1122"/>
      <c r="Q49" s="1119" t="s">
        <v>664</v>
      </c>
      <c r="R49" s="1119"/>
      <c r="S49" s="1119"/>
      <c r="T49" s="1119"/>
      <c r="U49" s="1119"/>
      <c r="V49" s="1119"/>
      <c r="W49" s="1119"/>
      <c r="X49" s="1119"/>
      <c r="Y49" s="1119"/>
      <c r="Z49" s="1119"/>
      <c r="AA49" s="1119"/>
      <c r="AB49" s="1119"/>
      <c r="AC49" s="1119"/>
      <c r="AD49" s="1119"/>
      <c r="AE49" s="1119"/>
      <c r="AF49" s="1119"/>
      <c r="AG49" s="1119"/>
      <c r="AH49" s="1119"/>
      <c r="AI49" s="1119"/>
      <c r="AJ49" s="1119"/>
      <c r="AK49" s="1125"/>
    </row>
    <row r="50" spans="1:38" ht="3.75" customHeight="1" x14ac:dyDescent="0.35">
      <c r="A50" s="1110"/>
      <c r="B50" s="1118"/>
      <c r="C50" s="1119"/>
      <c r="D50" s="1119"/>
      <c r="E50" s="1119"/>
      <c r="F50" s="1119"/>
      <c r="G50" s="1119"/>
      <c r="H50" s="1119"/>
      <c r="I50" s="1119"/>
      <c r="J50" s="1119"/>
      <c r="K50" s="1119"/>
      <c r="L50" s="1119"/>
      <c r="M50" s="1119"/>
      <c r="N50" s="1119"/>
      <c r="O50" s="1119"/>
      <c r="P50" s="1119"/>
      <c r="Q50" s="1119"/>
      <c r="R50" s="1119"/>
      <c r="S50" s="1119"/>
      <c r="T50" s="1119"/>
      <c r="U50" s="1119"/>
      <c r="V50" s="1119"/>
      <c r="W50" s="1119"/>
      <c r="X50" s="1119"/>
      <c r="Y50" s="1119"/>
      <c r="Z50" s="1119"/>
      <c r="AA50" s="1119"/>
      <c r="AB50" s="1119"/>
      <c r="AC50" s="1119"/>
      <c r="AD50" s="1119"/>
      <c r="AE50" s="1119"/>
      <c r="AF50" s="1119"/>
      <c r="AG50" s="1119"/>
      <c r="AH50" s="1119"/>
      <c r="AI50" s="1119"/>
      <c r="AJ50" s="1119"/>
      <c r="AK50" s="1125"/>
    </row>
    <row r="51" spans="1:38" ht="18.75" customHeight="1" x14ac:dyDescent="0.35">
      <c r="A51" s="1110"/>
      <c r="B51" s="1118"/>
      <c r="C51" s="1119"/>
      <c r="D51" s="1119"/>
      <c r="E51" s="1119"/>
      <c r="F51" s="1917"/>
      <c r="G51" s="1934"/>
      <c r="H51" s="1934"/>
      <c r="I51" s="1934"/>
      <c r="J51" s="1934"/>
      <c r="K51" s="1934"/>
      <c r="L51" s="1918"/>
      <c r="M51" s="1145" t="s">
        <v>713</v>
      </c>
      <c r="N51" s="1142"/>
      <c r="O51" s="1917"/>
      <c r="P51" s="1934"/>
      <c r="Q51" s="1934"/>
      <c r="R51" s="1918"/>
      <c r="S51" s="1145" t="s">
        <v>714</v>
      </c>
      <c r="T51" s="1120"/>
      <c r="U51" s="1917"/>
      <c r="V51" s="1934"/>
      <c r="W51" s="1934"/>
      <c r="X51" s="1934"/>
      <c r="Y51" s="1934"/>
      <c r="Z51" s="1934"/>
      <c r="AA51" s="1934"/>
      <c r="AB51" s="1932"/>
      <c r="AC51" s="1932"/>
      <c r="AD51" s="1932"/>
      <c r="AE51" s="1933"/>
      <c r="AF51" s="1145" t="s">
        <v>715</v>
      </c>
      <c r="AG51" s="1142"/>
      <c r="AH51" s="1142"/>
      <c r="AI51" s="1142"/>
      <c r="AJ51" s="1142"/>
      <c r="AK51" s="1136"/>
      <c r="AL51" s="634"/>
    </row>
    <row r="52" spans="1:38" ht="3.75" customHeight="1" x14ac:dyDescent="0.35">
      <c r="A52" s="1110"/>
      <c r="B52" s="1118"/>
      <c r="C52" s="1119"/>
      <c r="D52" s="1119"/>
      <c r="E52" s="1119"/>
      <c r="F52" s="1119"/>
      <c r="G52" s="1119"/>
      <c r="H52" s="1119"/>
      <c r="I52" s="1119"/>
      <c r="J52" s="1119"/>
      <c r="K52" s="1119"/>
      <c r="L52" s="1119"/>
      <c r="M52" s="1119"/>
      <c r="N52" s="1119"/>
      <c r="O52" s="1119"/>
      <c r="P52" s="1119"/>
      <c r="Q52" s="1119"/>
      <c r="R52" s="1119"/>
      <c r="S52" s="1119"/>
      <c r="T52" s="1119"/>
      <c r="U52" s="1119"/>
      <c r="V52" s="1119"/>
      <c r="W52" s="1119"/>
      <c r="X52" s="1119"/>
      <c r="Y52" s="1119"/>
      <c r="Z52" s="1119"/>
      <c r="AA52" s="1119"/>
      <c r="AB52" s="1119"/>
      <c r="AC52" s="1119"/>
      <c r="AD52" s="1119"/>
      <c r="AE52" s="1119"/>
      <c r="AF52" s="1119"/>
      <c r="AG52" s="1119"/>
      <c r="AH52" s="1119"/>
      <c r="AI52" s="1119"/>
      <c r="AJ52" s="1119"/>
      <c r="AK52" s="1125"/>
    </row>
    <row r="53" spans="1:38" ht="18.75" customHeight="1" x14ac:dyDescent="0.35">
      <c r="A53" s="1110"/>
      <c r="B53" s="1118"/>
      <c r="C53" s="1119"/>
      <c r="D53" s="1119"/>
      <c r="E53" s="1119"/>
      <c r="F53" s="1917"/>
      <c r="G53" s="1934"/>
      <c r="H53" s="1934"/>
      <c r="I53" s="1934"/>
      <c r="J53" s="1934"/>
      <c r="K53" s="1934"/>
      <c r="L53" s="1934"/>
      <c r="M53" s="1932"/>
      <c r="N53" s="1932"/>
      <c r="O53" s="1932"/>
      <c r="P53" s="1932"/>
      <c r="Q53" s="1932"/>
      <c r="R53" s="1935"/>
      <c r="S53" s="1142" t="s">
        <v>716</v>
      </c>
      <c r="T53" s="1119"/>
      <c r="U53" s="1917"/>
      <c r="V53" s="1934"/>
      <c r="W53" s="1918"/>
      <c r="X53" s="1145" t="s">
        <v>717</v>
      </c>
      <c r="Y53" s="1119"/>
      <c r="Z53" s="1123"/>
      <c r="AA53" s="1917"/>
      <c r="AB53" s="1918"/>
      <c r="AC53" s="1120" t="s">
        <v>718</v>
      </c>
      <c r="AD53" s="1119"/>
      <c r="AE53" s="1142"/>
      <c r="AF53" s="1917"/>
      <c r="AG53" s="1918"/>
      <c r="AH53" s="1145" t="s">
        <v>719</v>
      </c>
      <c r="AI53" s="1917"/>
      <c r="AJ53" s="1918"/>
      <c r="AK53" s="1146" t="s">
        <v>720</v>
      </c>
      <c r="AL53" s="634"/>
    </row>
    <row r="54" spans="1:38" ht="6.75" customHeight="1" thickBot="1" x14ac:dyDescent="0.4">
      <c r="A54" s="1110"/>
      <c r="B54" s="1143"/>
      <c r="C54" s="1127"/>
      <c r="D54" s="1127"/>
      <c r="E54" s="1127"/>
      <c r="F54" s="1127"/>
      <c r="G54" s="1127"/>
      <c r="H54" s="1127"/>
      <c r="I54" s="1127"/>
      <c r="J54" s="1129"/>
      <c r="K54" s="1129"/>
      <c r="L54" s="1129"/>
      <c r="M54" s="1128"/>
      <c r="N54" s="1129"/>
      <c r="O54" s="1129"/>
      <c r="P54" s="1129"/>
      <c r="Q54" s="1129"/>
      <c r="R54" s="1129"/>
      <c r="S54" s="1129"/>
      <c r="T54" s="1129"/>
      <c r="U54" s="1129"/>
      <c r="V54" s="1129"/>
      <c r="W54" s="1129"/>
      <c r="X54" s="1129"/>
      <c r="Y54" s="1129"/>
      <c r="Z54" s="1129"/>
      <c r="AA54" s="1128"/>
      <c r="AB54" s="1128"/>
      <c r="AC54" s="1128"/>
      <c r="AD54" s="1128"/>
      <c r="AE54" s="1128"/>
      <c r="AF54" s="1128"/>
      <c r="AG54" s="1128"/>
      <c r="AH54" s="1128"/>
      <c r="AI54" s="1128"/>
      <c r="AJ54" s="1128"/>
      <c r="AK54" s="1144"/>
      <c r="AL54" s="634"/>
    </row>
    <row r="55" spans="1:38" ht="3.75" customHeight="1" x14ac:dyDescent="0.35">
      <c r="A55" s="1110"/>
      <c r="B55" s="1110"/>
      <c r="C55" s="1110"/>
      <c r="D55" s="1110"/>
      <c r="E55" s="1110"/>
      <c r="F55" s="1110"/>
      <c r="G55" s="1110"/>
      <c r="H55" s="1110"/>
      <c r="I55" s="1110"/>
      <c r="J55" s="1111"/>
      <c r="K55" s="1111"/>
      <c r="L55" s="1111"/>
      <c r="N55" s="1111"/>
      <c r="O55" s="1111"/>
      <c r="P55" s="1111"/>
      <c r="Q55" s="1111"/>
      <c r="R55" s="1111"/>
      <c r="S55" s="1111"/>
      <c r="T55" s="1111"/>
      <c r="U55" s="1111"/>
      <c r="V55" s="1111"/>
      <c r="W55" s="1111"/>
      <c r="X55" s="1111"/>
      <c r="Y55" s="1111"/>
      <c r="Z55" s="1111"/>
      <c r="AK55" s="1111"/>
      <c r="AL55" s="634"/>
    </row>
    <row r="56" spans="1:38" ht="15.75" customHeight="1" thickBot="1" x14ac:dyDescent="0.4">
      <c r="A56" s="1110"/>
      <c r="B56" s="1110"/>
      <c r="C56" s="1110"/>
      <c r="D56" s="1110"/>
      <c r="E56" s="1110"/>
      <c r="F56" s="1110"/>
      <c r="G56" s="1110"/>
      <c r="H56" s="1110"/>
      <c r="I56" s="1110"/>
      <c r="J56" s="1111"/>
      <c r="K56" s="1111"/>
      <c r="L56" s="1111"/>
      <c r="N56" s="1111"/>
      <c r="O56" s="1111"/>
      <c r="P56" s="1111"/>
      <c r="Q56" s="1111"/>
      <c r="R56" s="1111"/>
      <c r="S56" s="1111"/>
      <c r="T56" s="1111"/>
      <c r="U56" s="1111"/>
      <c r="V56" s="1111"/>
      <c r="W56" s="1111"/>
      <c r="X56" s="1111"/>
      <c r="Y56" s="1111"/>
      <c r="Z56" s="1111"/>
      <c r="AK56" s="1111"/>
      <c r="AL56" s="634"/>
    </row>
    <row r="57" spans="1:38" ht="3.75" customHeight="1" x14ac:dyDescent="0.35">
      <c r="A57" s="1110"/>
      <c r="B57" s="1112"/>
      <c r="C57" s="1113"/>
      <c r="D57" s="1113"/>
      <c r="E57" s="1113"/>
      <c r="F57" s="1113"/>
      <c r="G57" s="1113"/>
      <c r="H57" s="1113"/>
      <c r="I57" s="1113"/>
      <c r="J57" s="1114"/>
      <c r="K57" s="1114"/>
      <c r="L57" s="1114"/>
      <c r="M57" s="1115"/>
      <c r="N57" s="1114"/>
      <c r="O57" s="1114"/>
      <c r="P57" s="1114"/>
      <c r="Q57" s="1114"/>
      <c r="R57" s="1114"/>
      <c r="S57" s="1114"/>
      <c r="T57" s="1114"/>
      <c r="U57" s="1114"/>
      <c r="V57" s="1114"/>
      <c r="W57" s="1114"/>
      <c r="X57" s="1114"/>
      <c r="Y57" s="1114"/>
      <c r="Z57" s="1114"/>
      <c r="AA57" s="1115"/>
      <c r="AB57" s="1115"/>
      <c r="AC57" s="1115"/>
      <c r="AD57" s="1115"/>
      <c r="AE57" s="1115"/>
      <c r="AF57" s="1115"/>
      <c r="AG57" s="1115"/>
      <c r="AH57" s="1115"/>
      <c r="AI57" s="1115"/>
      <c r="AJ57" s="1115"/>
      <c r="AK57" s="1116"/>
      <c r="AL57" s="634"/>
    </row>
    <row r="58" spans="1:38" ht="18.75" customHeight="1" x14ac:dyDescent="0.35">
      <c r="A58" s="1110"/>
      <c r="B58" s="1118" t="s">
        <v>728</v>
      </c>
      <c r="C58" s="1119"/>
      <c r="D58" s="1119"/>
      <c r="E58" s="1119"/>
      <c r="F58" s="1917"/>
      <c r="G58" s="1934"/>
      <c r="H58" s="1934"/>
      <c r="I58" s="1934"/>
      <c r="J58" s="1934"/>
      <c r="K58" s="1934"/>
      <c r="L58" s="1918"/>
      <c r="M58" s="1123" t="s">
        <v>729</v>
      </c>
      <c r="N58" s="1917"/>
      <c r="O58" s="1934"/>
      <c r="P58" s="1934"/>
      <c r="Q58" s="1934"/>
      <c r="R58" s="1934"/>
      <c r="S58" s="1934"/>
      <c r="T58" s="1918"/>
      <c r="U58" s="1119" t="s">
        <v>730</v>
      </c>
      <c r="V58" s="1119"/>
      <c r="W58" s="1119"/>
      <c r="X58" s="1119"/>
      <c r="Y58" s="1119"/>
      <c r="Z58" s="1119"/>
      <c r="AA58" s="1917"/>
      <c r="AB58" s="1934"/>
      <c r="AC58" s="1934"/>
      <c r="AD58" s="1934"/>
      <c r="AE58" s="1934"/>
      <c r="AF58" s="1934"/>
      <c r="AG58" s="1934"/>
      <c r="AH58" s="1934"/>
      <c r="AI58" s="1934"/>
      <c r="AJ58" s="1918"/>
      <c r="AK58" s="1125"/>
    </row>
    <row r="59" spans="1:38" ht="3.75" customHeight="1" x14ac:dyDescent="0.35">
      <c r="A59" s="1110"/>
      <c r="B59" s="1118"/>
      <c r="C59" s="1119"/>
      <c r="D59" s="1119"/>
      <c r="E59" s="1119"/>
      <c r="F59" s="1119"/>
      <c r="G59" s="1119"/>
      <c r="H59" s="1119"/>
      <c r="I59" s="1119"/>
      <c r="J59" s="1119"/>
      <c r="K59" s="1119"/>
      <c r="L59" s="1119"/>
      <c r="M59" s="1119"/>
      <c r="N59" s="1119"/>
      <c r="O59" s="1119"/>
      <c r="P59" s="1119"/>
      <c r="Q59" s="1119"/>
      <c r="R59" s="1119"/>
      <c r="S59" s="1119"/>
      <c r="T59" s="1119"/>
      <c r="U59" s="1119"/>
      <c r="V59" s="1119"/>
      <c r="W59" s="1119"/>
      <c r="X59" s="1119"/>
      <c r="Y59" s="1119"/>
      <c r="Z59" s="1119"/>
      <c r="AA59" s="1119"/>
      <c r="AB59" s="1119"/>
      <c r="AC59" s="1119"/>
      <c r="AD59" s="1119"/>
      <c r="AE59" s="1119"/>
      <c r="AF59" s="1119"/>
      <c r="AG59" s="1119"/>
      <c r="AH59" s="1119"/>
      <c r="AI59" s="1119"/>
      <c r="AJ59" s="1119"/>
      <c r="AK59" s="1125"/>
    </row>
    <row r="60" spans="1:38" ht="18.75" customHeight="1" x14ac:dyDescent="0.35">
      <c r="A60" s="1110"/>
      <c r="B60" s="1118" t="s">
        <v>731</v>
      </c>
      <c r="C60" s="1119"/>
      <c r="D60" s="1119"/>
      <c r="E60" s="1119"/>
      <c r="F60" s="1917"/>
      <c r="G60" s="1934"/>
      <c r="H60" s="1934"/>
      <c r="I60" s="1934"/>
      <c r="J60" s="1934"/>
      <c r="K60" s="1934"/>
      <c r="L60" s="1918"/>
      <c r="M60" s="1123" t="s">
        <v>729</v>
      </c>
      <c r="N60" s="1917"/>
      <c r="O60" s="1934"/>
      <c r="P60" s="1934"/>
      <c r="Q60" s="1934"/>
      <c r="R60" s="1934"/>
      <c r="S60" s="1934"/>
      <c r="T60" s="1918"/>
      <c r="U60" s="1119" t="s">
        <v>732</v>
      </c>
      <c r="V60" s="1119"/>
      <c r="W60" s="1119"/>
      <c r="X60" s="1119"/>
      <c r="Y60" s="1119"/>
      <c r="Z60" s="1119"/>
      <c r="AA60" s="1917"/>
      <c r="AB60" s="1934"/>
      <c r="AC60" s="1934"/>
      <c r="AD60" s="1934"/>
      <c r="AE60" s="1934"/>
      <c r="AF60" s="1934"/>
      <c r="AG60" s="1934"/>
      <c r="AH60" s="1934"/>
      <c r="AI60" s="1934"/>
      <c r="AJ60" s="1918"/>
      <c r="AK60" s="1125"/>
    </row>
    <row r="61" spans="1:38" ht="3.75" customHeight="1" x14ac:dyDescent="0.35">
      <c r="A61" s="1110"/>
      <c r="B61" s="1118"/>
      <c r="C61" s="1119"/>
      <c r="D61" s="1119"/>
      <c r="E61" s="1119"/>
      <c r="F61" s="1119"/>
      <c r="G61" s="1119"/>
      <c r="H61" s="1119"/>
      <c r="I61" s="1119"/>
      <c r="J61" s="1119"/>
      <c r="K61" s="1119"/>
      <c r="L61" s="1119"/>
      <c r="M61" s="1119"/>
      <c r="N61" s="1119"/>
      <c r="O61" s="1119"/>
      <c r="P61" s="1119"/>
      <c r="Q61" s="1119"/>
      <c r="R61" s="1119"/>
      <c r="S61" s="1119"/>
      <c r="T61" s="1119"/>
      <c r="U61" s="1119"/>
      <c r="V61" s="1119"/>
      <c r="W61" s="1119"/>
      <c r="X61" s="1119"/>
      <c r="Y61" s="1119"/>
      <c r="Z61" s="1119"/>
      <c r="AA61" s="1119"/>
      <c r="AB61" s="1119"/>
      <c r="AC61" s="1119"/>
      <c r="AD61" s="1119"/>
      <c r="AE61" s="1119"/>
      <c r="AF61" s="1119"/>
      <c r="AG61" s="1119"/>
      <c r="AH61" s="1119"/>
      <c r="AI61" s="1119"/>
      <c r="AJ61" s="1119"/>
      <c r="AK61" s="1125"/>
    </row>
    <row r="62" spans="1:38" ht="18.75" customHeight="1" x14ac:dyDescent="0.35">
      <c r="A62" s="1110"/>
      <c r="B62" s="1118" t="s">
        <v>733</v>
      </c>
      <c r="C62" s="1119"/>
      <c r="D62" s="1119"/>
      <c r="E62" s="1119"/>
      <c r="F62" s="1917"/>
      <c r="G62" s="1934"/>
      <c r="H62" s="1934"/>
      <c r="I62" s="1934"/>
      <c r="J62" s="1934"/>
      <c r="K62" s="1934"/>
      <c r="L62" s="1918"/>
      <c r="M62" s="1123" t="s">
        <v>729</v>
      </c>
      <c r="N62" s="1917"/>
      <c r="O62" s="1934"/>
      <c r="P62" s="1934"/>
      <c r="Q62" s="1934"/>
      <c r="R62" s="1934"/>
      <c r="S62" s="1934"/>
      <c r="T62" s="1918"/>
      <c r="U62" s="1119" t="s">
        <v>734</v>
      </c>
      <c r="V62" s="1119"/>
      <c r="W62" s="1119"/>
      <c r="X62" s="1119"/>
      <c r="Y62" s="1119"/>
      <c r="Z62" s="1119"/>
      <c r="AA62" s="1917"/>
      <c r="AB62" s="1934"/>
      <c r="AC62" s="1934"/>
      <c r="AD62" s="1934"/>
      <c r="AE62" s="1934"/>
      <c r="AF62" s="1934"/>
      <c r="AG62" s="1934"/>
      <c r="AH62" s="1934"/>
      <c r="AI62" s="1934"/>
      <c r="AJ62" s="1918"/>
      <c r="AK62" s="1125"/>
    </row>
    <row r="63" spans="1:38" ht="3.75" customHeight="1" thickBot="1" x14ac:dyDescent="0.4">
      <c r="A63" s="1110"/>
      <c r="B63" s="1143"/>
      <c r="C63" s="1127"/>
      <c r="D63" s="1127"/>
      <c r="E63" s="1127"/>
      <c r="F63" s="1127"/>
      <c r="G63" s="1127"/>
      <c r="H63" s="1127"/>
      <c r="I63" s="1127"/>
      <c r="J63" s="1129"/>
      <c r="K63" s="1129"/>
      <c r="L63" s="1129"/>
      <c r="M63" s="1128"/>
      <c r="N63" s="1129"/>
      <c r="O63" s="1129"/>
      <c r="P63" s="1129"/>
      <c r="Q63" s="1129"/>
      <c r="R63" s="1129"/>
      <c r="S63" s="1129"/>
      <c r="T63" s="1129"/>
      <c r="U63" s="1129"/>
      <c r="V63" s="1129"/>
      <c r="W63" s="1129"/>
      <c r="X63" s="1129"/>
      <c r="Y63" s="1129"/>
      <c r="Z63" s="1129"/>
      <c r="AA63" s="1128"/>
      <c r="AB63" s="1128"/>
      <c r="AC63" s="1128"/>
      <c r="AD63" s="1128"/>
      <c r="AE63" s="1128"/>
      <c r="AF63" s="1128"/>
      <c r="AG63" s="1128"/>
      <c r="AH63" s="1128"/>
      <c r="AI63" s="1128"/>
      <c r="AJ63" s="1128"/>
      <c r="AK63" s="1144"/>
      <c r="AL63" s="634"/>
    </row>
    <row r="64" spans="1:38" ht="3.75" customHeight="1" x14ac:dyDescent="0.35">
      <c r="A64" s="1110"/>
      <c r="B64" s="1110"/>
      <c r="C64" s="1110"/>
      <c r="D64" s="1110"/>
      <c r="E64" s="1110"/>
      <c r="F64" s="1110"/>
      <c r="G64" s="1110"/>
      <c r="H64" s="1110"/>
      <c r="I64" s="1110"/>
      <c r="J64" s="1111"/>
      <c r="K64" s="1111"/>
      <c r="L64" s="1111"/>
      <c r="N64" s="1111"/>
      <c r="O64" s="1111"/>
      <c r="P64" s="1111"/>
      <c r="Q64" s="1111"/>
      <c r="R64" s="1111"/>
      <c r="S64" s="1111"/>
      <c r="T64" s="1111"/>
      <c r="U64" s="1111"/>
      <c r="V64" s="1111"/>
      <c r="W64" s="1111"/>
      <c r="X64" s="1111"/>
      <c r="Y64" s="1111"/>
      <c r="Z64" s="1111"/>
      <c r="AK64" s="1111"/>
      <c r="AL64" s="634"/>
    </row>
    <row r="65" spans="1:38" ht="32.25" customHeight="1" x14ac:dyDescent="0.25">
      <c r="A65" s="1110"/>
      <c r="B65" s="1964" t="s">
        <v>735</v>
      </c>
      <c r="C65" s="1964"/>
      <c r="D65" s="1964"/>
      <c r="E65" s="1964"/>
      <c r="F65" s="1964"/>
      <c r="G65" s="1964"/>
      <c r="H65" s="1964"/>
      <c r="I65" s="1964"/>
      <c r="J65" s="1964"/>
      <c r="K65" s="1964"/>
      <c r="L65" s="1964"/>
      <c r="M65" s="1964"/>
      <c r="N65" s="1964"/>
      <c r="O65" s="1964"/>
      <c r="P65" s="1964"/>
      <c r="Q65" s="1964"/>
      <c r="R65" s="1964"/>
      <c r="S65" s="1964"/>
      <c r="T65" s="1964"/>
      <c r="U65" s="1964"/>
      <c r="V65" s="1964"/>
      <c r="W65" s="1964"/>
      <c r="X65" s="1964"/>
      <c r="Y65" s="1964"/>
      <c r="Z65" s="1964"/>
      <c r="AA65" s="1964"/>
      <c r="AB65" s="1964"/>
      <c r="AC65" s="1964"/>
      <c r="AD65" s="1964"/>
      <c r="AE65" s="1964"/>
      <c r="AF65" s="1964"/>
      <c r="AG65" s="1964"/>
      <c r="AH65" s="1964"/>
      <c r="AI65" s="1964"/>
      <c r="AJ65" s="1964"/>
      <c r="AK65" s="1964"/>
      <c r="AL65" s="634"/>
    </row>
    <row r="66" spans="1:38" ht="24" customHeight="1" thickBot="1" x14ac:dyDescent="0.4">
      <c r="A66" s="1110"/>
      <c r="B66" s="1110"/>
      <c r="C66" s="1110"/>
      <c r="D66" s="1110"/>
      <c r="E66" s="1110"/>
      <c r="F66" s="1110"/>
      <c r="G66" s="1110"/>
      <c r="H66" s="1110"/>
      <c r="I66" s="1110"/>
      <c r="J66" s="1111"/>
      <c r="K66" s="1111"/>
      <c r="L66" s="1111"/>
      <c r="N66" s="1111"/>
      <c r="O66" s="1111"/>
      <c r="P66" s="1111"/>
      <c r="Q66" s="1111"/>
      <c r="R66" s="1111"/>
      <c r="S66" s="1111"/>
      <c r="T66" s="1111"/>
      <c r="U66" s="1111"/>
      <c r="V66" s="1111"/>
      <c r="W66" s="1111"/>
      <c r="X66" s="1111"/>
      <c r="Y66" s="1111"/>
      <c r="Z66" s="1111"/>
      <c r="AK66" s="1111"/>
      <c r="AL66" s="634"/>
    </row>
    <row r="67" spans="1:38" ht="4.5" customHeight="1" x14ac:dyDescent="0.35">
      <c r="A67" s="1110"/>
      <c r="B67" s="1112"/>
      <c r="C67" s="1113"/>
      <c r="D67" s="1113"/>
      <c r="E67" s="1113"/>
      <c r="F67" s="1113"/>
      <c r="G67" s="1147"/>
      <c r="H67" s="1110"/>
      <c r="I67" s="1112"/>
      <c r="J67" s="1114"/>
      <c r="K67" s="1114"/>
      <c r="L67" s="1114"/>
      <c r="M67" s="1115"/>
      <c r="N67" s="1114"/>
      <c r="O67" s="1114"/>
      <c r="P67" s="1114"/>
      <c r="Q67" s="1114"/>
      <c r="R67" s="1114"/>
      <c r="S67" s="1114"/>
      <c r="T67" s="1114"/>
      <c r="U67" s="1116"/>
      <c r="V67" s="1111"/>
      <c r="W67" s="1148"/>
      <c r="X67" s="1114"/>
      <c r="Y67" s="1114"/>
      <c r="Z67" s="1114"/>
      <c r="AA67" s="1115"/>
      <c r="AB67" s="1115"/>
      <c r="AC67" s="1115"/>
      <c r="AD67" s="1115"/>
      <c r="AE67" s="1115"/>
      <c r="AF67" s="1115"/>
      <c r="AG67" s="1115"/>
      <c r="AH67" s="1115"/>
      <c r="AI67" s="1115"/>
      <c r="AJ67" s="1115"/>
      <c r="AK67" s="1116"/>
      <c r="AL67" s="634"/>
    </row>
    <row r="68" spans="1:38" ht="18.75" customHeight="1" x14ac:dyDescent="0.35">
      <c r="A68" s="1110"/>
      <c r="B68" s="1118"/>
      <c r="C68" s="1122"/>
      <c r="D68" s="1119" t="s">
        <v>736</v>
      </c>
      <c r="E68" s="1119"/>
      <c r="F68" s="1119"/>
      <c r="G68" s="1125"/>
      <c r="I68" s="1118"/>
      <c r="J68" s="1122"/>
      <c r="K68" s="1119" t="s">
        <v>737</v>
      </c>
      <c r="L68" s="1119"/>
      <c r="M68" s="1119"/>
      <c r="N68" s="1119"/>
      <c r="O68" s="1119"/>
      <c r="P68" s="1122"/>
      <c r="Q68" s="1119" t="s">
        <v>738</v>
      </c>
      <c r="R68" s="1123"/>
      <c r="S68" s="1119"/>
      <c r="T68" s="1119"/>
      <c r="U68" s="1125"/>
      <c r="W68" s="1118" t="s">
        <v>739</v>
      </c>
      <c r="X68" s="1119"/>
      <c r="Y68" s="1119"/>
      <c r="Z68" s="1119"/>
      <c r="AA68" s="1119"/>
      <c r="AB68" s="1119"/>
      <c r="AC68" s="1119"/>
      <c r="AD68" s="1119"/>
      <c r="AE68" s="1119"/>
      <c r="AF68" s="1119" t="s">
        <v>1955</v>
      </c>
      <c r="AG68" s="1119"/>
      <c r="AH68" s="1119"/>
      <c r="AI68" s="1119"/>
      <c r="AJ68" s="1119"/>
      <c r="AK68" s="1136"/>
      <c r="AL68" s="634"/>
    </row>
    <row r="69" spans="1:38" ht="3.75" customHeight="1" x14ac:dyDescent="0.35">
      <c r="A69" s="1110"/>
      <c r="B69" s="1139"/>
      <c r="C69" s="1121"/>
      <c r="D69" s="1121"/>
      <c r="E69" s="1121"/>
      <c r="F69" s="1121"/>
      <c r="G69" s="1149"/>
      <c r="H69" s="1110"/>
      <c r="I69" s="1139"/>
      <c r="J69" s="1121"/>
      <c r="K69" s="1123"/>
      <c r="L69" s="1123"/>
      <c r="M69" s="1119"/>
      <c r="N69" s="1123"/>
      <c r="O69" s="1123"/>
      <c r="P69" s="1123"/>
      <c r="Q69" s="1123"/>
      <c r="R69" s="1123"/>
      <c r="S69" s="1123"/>
      <c r="T69" s="1123"/>
      <c r="U69" s="1136"/>
      <c r="V69" s="1111"/>
      <c r="W69" s="1118"/>
      <c r="X69" s="1123"/>
      <c r="Y69" s="1123"/>
      <c r="Z69" s="1123"/>
      <c r="AA69" s="1123"/>
      <c r="AB69" s="1119"/>
      <c r="AC69" s="1119"/>
      <c r="AD69" s="1119"/>
      <c r="AE69" s="1119"/>
      <c r="AF69" s="1119"/>
      <c r="AG69" s="1119"/>
      <c r="AH69" s="1119"/>
      <c r="AI69" s="1119"/>
      <c r="AJ69" s="1119"/>
      <c r="AK69" s="1136"/>
      <c r="AL69" s="634"/>
    </row>
    <row r="70" spans="1:38" ht="18.75" customHeight="1" x14ac:dyDescent="0.35">
      <c r="A70" s="1110"/>
      <c r="B70" s="1139"/>
      <c r="C70" s="1122"/>
      <c r="D70" s="1119" t="s">
        <v>740</v>
      </c>
      <c r="E70" s="1121"/>
      <c r="F70" s="1121"/>
      <c r="G70" s="1149"/>
      <c r="H70" s="1110"/>
      <c r="I70" s="1139"/>
      <c r="J70" s="1122"/>
      <c r="K70" s="1119" t="s">
        <v>741</v>
      </c>
      <c r="L70" s="1119"/>
      <c r="M70" s="1119"/>
      <c r="N70" s="1142"/>
      <c r="O70" s="1150"/>
      <c r="P70" s="1122"/>
      <c r="Q70" s="1119" t="s">
        <v>742</v>
      </c>
      <c r="R70" s="1151"/>
      <c r="S70" s="1142"/>
      <c r="T70" s="1142"/>
      <c r="U70" s="1136"/>
      <c r="V70" s="1111"/>
      <c r="W70" s="1118"/>
      <c r="X70" s="1122"/>
      <c r="Y70" s="1120" t="s">
        <v>743</v>
      </c>
      <c r="Z70" s="1123"/>
      <c r="AA70" s="1123"/>
      <c r="AB70" s="1119"/>
      <c r="AC70" s="1119"/>
      <c r="AD70" s="1119"/>
      <c r="AE70" s="1119"/>
      <c r="AF70" s="1119"/>
      <c r="AG70" s="1119"/>
      <c r="AH70" s="1119"/>
      <c r="AI70" s="1152"/>
      <c r="AJ70" s="1119" t="s">
        <v>744</v>
      </c>
      <c r="AK70" s="1136"/>
      <c r="AL70" s="634"/>
    </row>
    <row r="71" spans="1:38" ht="3.75" customHeight="1" x14ac:dyDescent="0.35">
      <c r="A71" s="1110"/>
      <c r="B71" s="1139"/>
      <c r="C71" s="1121"/>
      <c r="D71" s="1121"/>
      <c r="E71" s="1121"/>
      <c r="F71" s="1121"/>
      <c r="G71" s="1149"/>
      <c r="H71" s="1110"/>
      <c r="I71" s="1139"/>
      <c r="J71" s="1121"/>
      <c r="K71" s="1123"/>
      <c r="L71" s="1123"/>
      <c r="M71" s="1119"/>
      <c r="N71" s="1142"/>
      <c r="O71" s="1151"/>
      <c r="P71" s="1151"/>
      <c r="Q71" s="1151"/>
      <c r="R71" s="1151"/>
      <c r="S71" s="1142"/>
      <c r="T71" s="1142"/>
      <c r="U71" s="1136"/>
      <c r="V71" s="1111"/>
      <c r="W71" s="1118"/>
      <c r="X71" s="1123"/>
      <c r="Y71" s="1123"/>
      <c r="Z71" s="1123"/>
      <c r="AA71" s="1123"/>
      <c r="AB71" s="1119"/>
      <c r="AC71" s="1119"/>
      <c r="AD71" s="1119"/>
      <c r="AE71" s="1119"/>
      <c r="AF71" s="1119"/>
      <c r="AG71" s="1119"/>
      <c r="AH71" s="1119"/>
      <c r="AI71" s="1119"/>
      <c r="AJ71" s="1119"/>
      <c r="AK71" s="1136"/>
      <c r="AL71" s="634"/>
    </row>
    <row r="72" spans="1:38" ht="18.75" customHeight="1" x14ac:dyDescent="0.35">
      <c r="A72" s="1110"/>
      <c r="B72" s="1139"/>
      <c r="C72" s="1122"/>
      <c r="D72" s="1119" t="s">
        <v>745</v>
      </c>
      <c r="E72" s="1121"/>
      <c r="F72" s="1121"/>
      <c r="G72" s="1149"/>
      <c r="H72" s="1110"/>
      <c r="I72" s="1139"/>
      <c r="J72" s="1122"/>
      <c r="K72" s="1119" t="s">
        <v>746</v>
      </c>
      <c r="L72" s="1123"/>
      <c r="M72" s="1119"/>
      <c r="N72" s="1142"/>
      <c r="O72" s="1119"/>
      <c r="P72" s="1151"/>
      <c r="Q72" s="1151"/>
      <c r="R72" s="1151"/>
      <c r="S72" s="1142"/>
      <c r="T72" s="1124"/>
      <c r="U72" s="1125"/>
      <c r="V72" s="1111"/>
      <c r="W72" s="1118"/>
      <c r="X72" s="1122"/>
      <c r="Y72" s="1120" t="s">
        <v>747</v>
      </c>
      <c r="Z72" s="1123"/>
      <c r="AA72" s="1123"/>
      <c r="AB72" s="1119"/>
      <c r="AC72" s="1119"/>
      <c r="AD72" s="1119"/>
      <c r="AE72" s="1119"/>
      <c r="AF72" s="1119"/>
      <c r="AG72" s="1119"/>
      <c r="AH72" s="1119"/>
      <c r="AI72" s="1152"/>
      <c r="AJ72" s="1119" t="s">
        <v>744</v>
      </c>
      <c r="AK72" s="1136"/>
      <c r="AL72" s="634"/>
    </row>
    <row r="73" spans="1:38" ht="3.75" customHeight="1" x14ac:dyDescent="0.35">
      <c r="A73" s="1110"/>
      <c r="B73" s="1139"/>
      <c r="C73" s="1121"/>
      <c r="D73" s="1121"/>
      <c r="E73" s="1121"/>
      <c r="F73" s="1121"/>
      <c r="G73" s="1149"/>
      <c r="H73" s="1110"/>
      <c r="I73" s="1139"/>
      <c r="J73" s="1121"/>
      <c r="K73" s="1123"/>
      <c r="L73" s="1123"/>
      <c r="M73" s="1119"/>
      <c r="N73" s="1142"/>
      <c r="O73" s="1151"/>
      <c r="P73" s="1151"/>
      <c r="Q73" s="1151"/>
      <c r="R73" s="1151"/>
      <c r="S73" s="1142"/>
      <c r="T73" s="1142"/>
      <c r="U73" s="1136"/>
      <c r="V73" s="1111"/>
      <c r="W73" s="1118"/>
      <c r="X73" s="1123"/>
      <c r="Y73" s="1123"/>
      <c r="Z73" s="1123"/>
      <c r="AA73" s="1123"/>
      <c r="AB73" s="1119"/>
      <c r="AC73" s="1119"/>
      <c r="AD73" s="1119"/>
      <c r="AE73" s="1119"/>
      <c r="AF73" s="1119"/>
      <c r="AG73" s="1119"/>
      <c r="AH73" s="1119"/>
      <c r="AI73" s="1119"/>
      <c r="AJ73" s="1119"/>
      <c r="AK73" s="1136"/>
      <c r="AL73" s="634"/>
    </row>
    <row r="74" spans="1:38" ht="18.75" customHeight="1" x14ac:dyDescent="0.35">
      <c r="A74" s="1110"/>
      <c r="B74" s="1139"/>
      <c r="C74" s="1122"/>
      <c r="D74" s="1119" t="s">
        <v>748</v>
      </c>
      <c r="E74" s="1121"/>
      <c r="F74" s="1121"/>
      <c r="G74" s="1149"/>
      <c r="H74" s="1110"/>
      <c r="I74" s="1139"/>
      <c r="J74" s="1122"/>
      <c r="K74" s="1119" t="s">
        <v>664</v>
      </c>
      <c r="L74" s="1123"/>
      <c r="M74" s="1953"/>
      <c r="N74" s="1954"/>
      <c r="O74" s="1954"/>
      <c r="P74" s="1954"/>
      <c r="Q74" s="1954"/>
      <c r="R74" s="1954"/>
      <c r="S74" s="1954"/>
      <c r="T74" s="1935"/>
      <c r="U74" s="1125"/>
      <c r="V74" s="1111"/>
      <c r="W74" s="1118"/>
      <c r="X74" s="1122"/>
      <c r="Y74" s="1120" t="s">
        <v>749</v>
      </c>
      <c r="Z74" s="1123"/>
      <c r="AA74" s="1123"/>
      <c r="AB74" s="1119"/>
      <c r="AC74" s="1119"/>
      <c r="AD74" s="1119"/>
      <c r="AE74" s="1119"/>
      <c r="AF74" s="1119"/>
      <c r="AG74" s="1119"/>
      <c r="AH74" s="1119"/>
      <c r="AI74" s="1152"/>
      <c r="AJ74" s="1119" t="s">
        <v>744</v>
      </c>
      <c r="AK74" s="1136"/>
      <c r="AL74" s="634"/>
    </row>
    <row r="75" spans="1:38" ht="3.75" customHeight="1" thickBot="1" x14ac:dyDescent="0.4">
      <c r="A75" s="1110"/>
      <c r="B75" s="1139"/>
      <c r="C75" s="1121"/>
      <c r="D75" s="1121"/>
      <c r="E75" s="1121"/>
      <c r="F75" s="1121"/>
      <c r="G75" s="1149"/>
      <c r="H75" s="1110"/>
      <c r="I75" s="1139"/>
      <c r="J75" s="1121"/>
      <c r="K75" s="1123"/>
      <c r="L75" s="1123"/>
      <c r="M75" s="1119"/>
      <c r="N75" s="1123"/>
      <c r="O75" s="1153"/>
      <c r="P75" s="1154"/>
      <c r="Q75" s="1154"/>
      <c r="R75" s="1154"/>
      <c r="S75" s="1142"/>
      <c r="T75" s="1119"/>
      <c r="U75" s="1125"/>
      <c r="V75" s="1111"/>
      <c r="W75" s="1137"/>
      <c r="X75" s="1129"/>
      <c r="Y75" s="1129"/>
      <c r="Z75" s="1129"/>
      <c r="AA75" s="1129"/>
      <c r="AB75" s="1128"/>
      <c r="AC75" s="1128"/>
      <c r="AD75" s="1128"/>
      <c r="AE75" s="1128"/>
      <c r="AF75" s="1128"/>
      <c r="AG75" s="1128"/>
      <c r="AH75" s="1128"/>
      <c r="AI75" s="1128"/>
      <c r="AJ75" s="1128"/>
      <c r="AK75" s="1144"/>
      <c r="AL75" s="634"/>
    </row>
    <row r="76" spans="1:38" ht="18.75" customHeight="1" thickBot="1" x14ac:dyDescent="0.4">
      <c r="A76" s="1110"/>
      <c r="B76" s="1139"/>
      <c r="C76" s="1122"/>
      <c r="D76" s="1119" t="s">
        <v>750</v>
      </c>
      <c r="E76" s="1121"/>
      <c r="F76" s="1121"/>
      <c r="G76" s="1149"/>
      <c r="H76" s="1110"/>
      <c r="I76" s="1139"/>
      <c r="J76" s="1119" t="s">
        <v>751</v>
      </c>
      <c r="K76" s="1119"/>
      <c r="L76" s="1119"/>
      <c r="M76" s="1119"/>
      <c r="N76" s="1123"/>
      <c r="O76" s="1119"/>
      <c r="P76" s="1153"/>
      <c r="Q76" s="1153"/>
      <c r="R76" s="1119"/>
      <c r="S76" s="1152"/>
      <c r="T76" s="1120" t="s">
        <v>744</v>
      </c>
      <c r="U76" s="1125"/>
      <c r="V76" s="1111"/>
      <c r="W76" s="1111"/>
      <c r="X76" s="1111"/>
      <c r="Y76" s="1111"/>
      <c r="Z76" s="1111"/>
      <c r="AK76" s="1111"/>
      <c r="AL76" s="634"/>
    </row>
    <row r="77" spans="1:38" ht="3.75" customHeight="1" x14ac:dyDescent="0.35">
      <c r="A77" s="1110"/>
      <c r="B77" s="1139"/>
      <c r="C77" s="1121"/>
      <c r="D77" s="1121"/>
      <c r="E77" s="1121"/>
      <c r="F77" s="1121"/>
      <c r="G77" s="1149"/>
      <c r="H77" s="1110"/>
      <c r="I77" s="1139"/>
      <c r="J77" s="1121"/>
      <c r="K77" s="1123"/>
      <c r="L77" s="1123"/>
      <c r="M77" s="1119"/>
      <c r="N77" s="1123"/>
      <c r="O77" s="1123"/>
      <c r="P77" s="1123"/>
      <c r="Q77" s="1123"/>
      <c r="R77" s="1119"/>
      <c r="S77" s="1142"/>
      <c r="T77" s="1142"/>
      <c r="U77" s="1136"/>
      <c r="V77" s="1111"/>
      <c r="W77" s="1148"/>
      <c r="X77" s="1114"/>
      <c r="Y77" s="1114"/>
      <c r="Z77" s="1114"/>
      <c r="AA77" s="1115"/>
      <c r="AB77" s="1115"/>
      <c r="AC77" s="1115"/>
      <c r="AD77" s="1115"/>
      <c r="AE77" s="1115"/>
      <c r="AF77" s="1115"/>
      <c r="AG77" s="1115"/>
      <c r="AH77" s="1115"/>
      <c r="AI77" s="1115"/>
      <c r="AJ77" s="1115"/>
      <c r="AK77" s="1116"/>
      <c r="AL77" s="634"/>
    </row>
    <row r="78" spans="1:38" ht="18.75" customHeight="1" x14ac:dyDescent="0.35">
      <c r="A78" s="1110"/>
      <c r="B78" s="1139"/>
      <c r="C78" s="1122"/>
      <c r="D78" s="1119" t="s">
        <v>752</v>
      </c>
      <c r="E78" s="1121"/>
      <c r="F78" s="1121"/>
      <c r="G78" s="1149"/>
      <c r="H78" s="1110"/>
      <c r="I78" s="1139"/>
      <c r="J78" s="1119" t="s">
        <v>753</v>
      </c>
      <c r="K78" s="1119"/>
      <c r="L78" s="1119"/>
      <c r="M78" s="1119"/>
      <c r="N78" s="1119"/>
      <c r="O78" s="1119"/>
      <c r="P78" s="1119"/>
      <c r="Q78" s="1119"/>
      <c r="R78" s="1119"/>
      <c r="S78" s="1122"/>
      <c r="T78" s="1119" t="s">
        <v>744</v>
      </c>
      <c r="U78" s="1136"/>
      <c r="V78" s="1111"/>
      <c r="W78" s="1118" t="s">
        <v>754</v>
      </c>
      <c r="X78" s="1123"/>
      <c r="Y78" s="1123"/>
      <c r="Z78" s="1123"/>
      <c r="AA78" s="1119"/>
      <c r="AB78" s="1119"/>
      <c r="AC78" s="1119"/>
      <c r="AD78" s="1119"/>
      <c r="AE78" s="1119"/>
      <c r="AF78" s="1119"/>
      <c r="AG78" s="1122"/>
      <c r="AH78" s="1119" t="s">
        <v>85</v>
      </c>
      <c r="AI78" s="1119"/>
      <c r="AJ78" s="1122"/>
      <c r="AK78" s="1136" t="s">
        <v>87</v>
      </c>
      <c r="AL78" s="634"/>
    </row>
    <row r="79" spans="1:38" ht="3.75" customHeight="1" thickBot="1" x14ac:dyDescent="0.4">
      <c r="A79" s="1110"/>
      <c r="B79" s="1143"/>
      <c r="C79" s="1127"/>
      <c r="D79" s="1127"/>
      <c r="E79" s="1127"/>
      <c r="F79" s="1127"/>
      <c r="G79" s="1155"/>
      <c r="H79" s="1110"/>
      <c r="I79" s="1143"/>
      <c r="J79" s="1129"/>
      <c r="K79" s="1129"/>
      <c r="L79" s="1129"/>
      <c r="M79" s="1128"/>
      <c r="N79" s="1129"/>
      <c r="O79" s="1129"/>
      <c r="P79" s="1129"/>
      <c r="Q79" s="1129"/>
      <c r="R79" s="1129"/>
      <c r="S79" s="1129"/>
      <c r="T79" s="1129"/>
      <c r="U79" s="1144"/>
      <c r="V79" s="1111"/>
      <c r="W79" s="1156"/>
      <c r="X79" s="1129"/>
      <c r="Y79" s="1129"/>
      <c r="Z79" s="1129"/>
      <c r="AA79" s="1128"/>
      <c r="AB79" s="1128"/>
      <c r="AC79" s="1128"/>
      <c r="AD79" s="1128"/>
      <c r="AE79" s="1128"/>
      <c r="AF79" s="1128"/>
      <c r="AG79" s="1128"/>
      <c r="AH79" s="1128"/>
      <c r="AI79" s="1128"/>
      <c r="AJ79" s="1128"/>
      <c r="AK79" s="1144"/>
      <c r="AL79" s="634"/>
    </row>
    <row r="80" spans="1:38" ht="12" customHeight="1" x14ac:dyDescent="0.35">
      <c r="A80" s="1110"/>
      <c r="B80" s="1110"/>
      <c r="C80" s="1110"/>
      <c r="D80" s="1110"/>
      <c r="E80" s="1110"/>
      <c r="F80" s="1110"/>
      <c r="G80" s="1110"/>
      <c r="H80" s="1110"/>
      <c r="I80" s="1110"/>
      <c r="J80" s="1111"/>
      <c r="K80" s="1111"/>
      <c r="L80" s="1111"/>
      <c r="N80" s="1111"/>
      <c r="O80" s="1111"/>
      <c r="P80" s="1111"/>
      <c r="Q80" s="1111"/>
      <c r="R80" s="1111"/>
      <c r="S80" s="1111"/>
      <c r="T80" s="1111"/>
      <c r="U80" s="1111"/>
      <c r="V80" s="1111"/>
      <c r="W80" s="1111"/>
      <c r="X80" s="1111"/>
      <c r="Y80" s="1111"/>
      <c r="Z80" s="1111"/>
      <c r="AK80" s="1111"/>
      <c r="AL80" s="634"/>
    </row>
    <row r="81" spans="1:38" ht="10.5" customHeight="1" thickBot="1" x14ac:dyDescent="0.4">
      <c r="A81" s="1110"/>
      <c r="B81" s="1110"/>
      <c r="C81" s="1110"/>
      <c r="D81" s="1110"/>
      <c r="E81" s="1110"/>
      <c r="F81" s="1110"/>
      <c r="G81" s="1110"/>
      <c r="H81" s="1110"/>
      <c r="I81" s="1110"/>
      <c r="J81" s="1111"/>
      <c r="K81" s="1111"/>
      <c r="L81" s="1111"/>
      <c r="N81" s="1111"/>
      <c r="O81" s="1111"/>
      <c r="P81" s="1111"/>
      <c r="Q81" s="1111"/>
      <c r="R81" s="1111"/>
      <c r="S81" s="1111"/>
      <c r="T81" s="1111"/>
      <c r="U81" s="1111"/>
      <c r="V81" s="1111"/>
      <c r="W81" s="1111"/>
      <c r="X81" s="1111"/>
      <c r="Y81" s="1111"/>
      <c r="Z81" s="1111"/>
      <c r="AK81" s="1111"/>
      <c r="AL81" s="634"/>
    </row>
    <row r="82" spans="1:38" ht="3.75" customHeight="1" x14ac:dyDescent="0.35">
      <c r="A82" s="1110"/>
      <c r="B82" s="1112"/>
      <c r="C82" s="1113"/>
      <c r="D82" s="1113"/>
      <c r="E82" s="1113"/>
      <c r="F82" s="1113"/>
      <c r="G82" s="1113"/>
      <c r="H82" s="1113"/>
      <c r="I82" s="1113"/>
      <c r="J82" s="1114"/>
      <c r="K82" s="1114"/>
      <c r="L82" s="1114"/>
      <c r="M82" s="1115"/>
      <c r="N82" s="1114"/>
      <c r="O82" s="1114"/>
      <c r="P82" s="1114"/>
      <c r="Q82" s="1114"/>
      <c r="R82" s="1114"/>
      <c r="S82" s="1114"/>
      <c r="T82" s="1114"/>
      <c r="U82" s="1114"/>
      <c r="V82" s="1114"/>
      <c r="W82" s="1114"/>
      <c r="X82" s="1114"/>
      <c r="Y82" s="1114"/>
      <c r="Z82" s="1114"/>
      <c r="AA82" s="1115"/>
      <c r="AB82" s="1115"/>
      <c r="AC82" s="1115"/>
      <c r="AD82" s="1115"/>
      <c r="AE82" s="1115"/>
      <c r="AF82" s="1115"/>
      <c r="AG82" s="1115"/>
      <c r="AH82" s="1115"/>
      <c r="AI82" s="1115"/>
      <c r="AJ82" s="1115"/>
      <c r="AK82" s="1116"/>
      <c r="AL82" s="634"/>
    </row>
    <row r="83" spans="1:38" ht="18.75" customHeight="1" x14ac:dyDescent="0.35">
      <c r="A83" s="1110"/>
      <c r="B83" s="1118" t="s">
        <v>755</v>
      </c>
      <c r="C83" s="1119"/>
      <c r="D83" s="1119"/>
      <c r="E83" s="1119"/>
      <c r="F83" s="1119"/>
      <c r="G83" s="1119" t="s">
        <v>1956</v>
      </c>
      <c r="H83" s="1119"/>
      <c r="I83" s="1119"/>
      <c r="J83" s="1119"/>
      <c r="K83" s="1119"/>
      <c r="L83" s="1119"/>
      <c r="M83" s="1119"/>
      <c r="N83" s="1123"/>
      <c r="O83" s="1119" t="s">
        <v>1881</v>
      </c>
      <c r="P83" s="1123"/>
      <c r="Q83" s="1119"/>
      <c r="R83" s="1119"/>
      <c r="S83" s="1119"/>
      <c r="T83" s="1119"/>
      <c r="U83" s="1119"/>
      <c r="V83" s="1119"/>
      <c r="W83" s="1119"/>
      <c r="X83" s="1119"/>
      <c r="Y83" s="1119"/>
      <c r="Z83" s="1119"/>
      <c r="AA83" s="1119"/>
      <c r="AB83" s="1119"/>
      <c r="AC83" s="1119"/>
      <c r="AD83" s="1119"/>
      <c r="AE83" s="1119"/>
      <c r="AF83" s="1119"/>
      <c r="AG83" s="1122"/>
      <c r="AH83" s="1119" t="s">
        <v>85</v>
      </c>
      <c r="AI83" s="1119"/>
      <c r="AJ83" s="1122"/>
      <c r="AK83" s="1125" t="s">
        <v>87</v>
      </c>
    </row>
    <row r="84" spans="1:38" ht="3.75" customHeight="1" x14ac:dyDescent="0.35">
      <c r="A84" s="1110"/>
      <c r="B84" s="1139"/>
      <c r="C84" s="1121"/>
      <c r="D84" s="1121"/>
      <c r="E84" s="1121"/>
      <c r="F84" s="1121"/>
      <c r="G84" s="1121"/>
      <c r="H84" s="1121"/>
      <c r="I84" s="1121"/>
      <c r="J84" s="1123"/>
      <c r="K84" s="1123"/>
      <c r="L84" s="1123"/>
      <c r="M84" s="1119"/>
      <c r="N84" s="1123"/>
      <c r="O84" s="1123"/>
      <c r="P84" s="1123"/>
      <c r="Q84" s="1123"/>
      <c r="R84" s="1123"/>
      <c r="S84" s="1123"/>
      <c r="T84" s="1123"/>
      <c r="U84" s="1123"/>
      <c r="V84" s="1123"/>
      <c r="W84" s="1123"/>
      <c r="X84" s="1123"/>
      <c r="Y84" s="1123"/>
      <c r="Z84" s="1123"/>
      <c r="AA84" s="1119"/>
      <c r="AB84" s="1119"/>
      <c r="AC84" s="1119"/>
      <c r="AD84" s="1119"/>
      <c r="AE84" s="1119"/>
      <c r="AF84" s="1119"/>
      <c r="AG84" s="1119"/>
      <c r="AH84" s="1119"/>
      <c r="AI84" s="1119"/>
      <c r="AJ84" s="1119"/>
      <c r="AK84" s="1136"/>
      <c r="AL84" s="634"/>
    </row>
    <row r="85" spans="1:38" ht="18.75" customHeight="1" x14ac:dyDescent="0.35">
      <c r="A85" s="1110"/>
      <c r="B85" s="1118"/>
      <c r="C85" s="1122"/>
      <c r="D85" s="1119" t="s">
        <v>171</v>
      </c>
      <c r="E85" s="1119"/>
      <c r="F85" s="1119"/>
      <c r="G85" s="1959"/>
      <c r="H85" s="1960"/>
      <c r="I85" s="1960"/>
      <c r="J85" s="1960"/>
      <c r="K85" s="1960"/>
      <c r="L85" s="1960"/>
      <c r="M85" s="1961"/>
      <c r="N85" s="1119" t="s">
        <v>760</v>
      </c>
      <c r="O85" s="1119" t="s">
        <v>756</v>
      </c>
      <c r="P85" s="1119"/>
      <c r="Q85" s="1119"/>
      <c r="R85" s="1119"/>
      <c r="S85" s="1119"/>
      <c r="T85" s="1119"/>
      <c r="U85" s="1119"/>
      <c r="V85" s="1119"/>
      <c r="W85" s="1928"/>
      <c r="X85" s="1929"/>
      <c r="Y85" s="1929"/>
      <c r="Z85" s="1929"/>
      <c r="AA85" s="1929"/>
      <c r="AB85" s="1929"/>
      <c r="AC85" s="1929"/>
      <c r="AD85" s="1930"/>
      <c r="AE85" s="1123" t="s">
        <v>679</v>
      </c>
      <c r="AF85" s="1122"/>
      <c r="AG85" s="1123" t="s">
        <v>679</v>
      </c>
      <c r="AH85" s="1917"/>
      <c r="AI85" s="1918"/>
      <c r="AJ85" s="1119"/>
      <c r="AK85" s="1125"/>
    </row>
    <row r="86" spans="1:38" ht="3.75" customHeight="1" x14ac:dyDescent="0.35">
      <c r="A86" s="1110"/>
      <c r="B86" s="1118"/>
      <c r="C86" s="1119"/>
      <c r="D86" s="1119"/>
      <c r="E86" s="1119"/>
      <c r="F86" s="1119"/>
      <c r="G86" s="1119"/>
      <c r="H86" s="1119"/>
      <c r="I86" s="1119"/>
      <c r="J86" s="1119"/>
      <c r="K86" s="1119"/>
      <c r="L86" s="1119"/>
      <c r="M86" s="1119"/>
      <c r="N86" s="1123"/>
      <c r="O86" s="1123"/>
      <c r="P86" s="1123"/>
      <c r="Q86" s="1123"/>
      <c r="R86" s="1123"/>
      <c r="S86" s="1123"/>
      <c r="T86" s="1123"/>
      <c r="U86" s="1123"/>
      <c r="V86" s="1123"/>
      <c r="W86" s="1123"/>
      <c r="X86" s="1123"/>
      <c r="Y86" s="1123"/>
      <c r="Z86" s="1123"/>
      <c r="AA86" s="1119"/>
      <c r="AB86" s="1119"/>
      <c r="AC86" s="1119"/>
      <c r="AD86" s="1119"/>
      <c r="AE86" s="1119"/>
      <c r="AF86" s="1119"/>
      <c r="AG86" s="1119"/>
      <c r="AH86" s="1119"/>
      <c r="AI86" s="1119"/>
      <c r="AJ86" s="1119"/>
      <c r="AK86" s="1136"/>
      <c r="AL86" s="634"/>
    </row>
    <row r="87" spans="1:38" ht="18.75" customHeight="1" x14ac:dyDescent="0.35">
      <c r="A87" s="1110"/>
      <c r="B87" s="1118"/>
      <c r="C87" s="1122"/>
      <c r="D87" s="1119" t="s">
        <v>172</v>
      </c>
      <c r="E87" s="1119"/>
      <c r="F87" s="1119"/>
      <c r="G87" s="1959"/>
      <c r="H87" s="1960"/>
      <c r="I87" s="1960"/>
      <c r="J87" s="1960"/>
      <c r="K87" s="1960"/>
      <c r="L87" s="1960"/>
      <c r="M87" s="1961"/>
      <c r="N87" s="1119" t="s">
        <v>760</v>
      </c>
      <c r="O87" s="1119" t="s">
        <v>757</v>
      </c>
      <c r="P87" s="1123"/>
      <c r="Q87" s="1123"/>
      <c r="R87" s="1123"/>
      <c r="S87" s="1123"/>
      <c r="T87" s="1928"/>
      <c r="U87" s="1929"/>
      <c r="V87" s="1929"/>
      <c r="W87" s="1929"/>
      <c r="X87" s="1929"/>
      <c r="Y87" s="1929"/>
      <c r="Z87" s="1929"/>
      <c r="AA87" s="1929"/>
      <c r="AB87" s="1929"/>
      <c r="AC87" s="1929"/>
      <c r="AD87" s="1929"/>
      <c r="AE87" s="1929"/>
      <c r="AF87" s="1929"/>
      <c r="AG87" s="1930"/>
      <c r="AH87" s="1119"/>
      <c r="AI87" s="1119"/>
      <c r="AJ87" s="1119"/>
      <c r="AK87" s="1125"/>
    </row>
    <row r="88" spans="1:38" ht="3.75" customHeight="1" x14ac:dyDescent="0.35">
      <c r="A88" s="1110"/>
      <c r="B88" s="1118"/>
      <c r="C88" s="1119"/>
      <c r="D88" s="1119"/>
      <c r="E88" s="1119"/>
      <c r="F88" s="1119"/>
      <c r="G88" s="1119"/>
      <c r="H88" s="1119"/>
      <c r="I88" s="1119"/>
      <c r="J88" s="1119"/>
      <c r="K88" s="1119"/>
      <c r="L88" s="1119"/>
      <c r="M88" s="1119"/>
      <c r="N88" s="1119"/>
      <c r="O88" s="1119"/>
      <c r="P88" s="1119"/>
      <c r="Q88" s="1119"/>
      <c r="R88" s="1119"/>
      <c r="S88" s="1119"/>
      <c r="T88" s="1119"/>
      <c r="U88" s="1119"/>
      <c r="V88" s="1119"/>
      <c r="W88" s="1119"/>
      <c r="X88" s="1119"/>
      <c r="Y88" s="1119"/>
      <c r="Z88" s="1119"/>
      <c r="AA88" s="1119"/>
      <c r="AB88" s="1119"/>
      <c r="AC88" s="1119"/>
      <c r="AD88" s="1119"/>
      <c r="AE88" s="1119"/>
      <c r="AF88" s="1119"/>
      <c r="AG88" s="1119"/>
      <c r="AH88" s="1119"/>
      <c r="AI88" s="1119"/>
      <c r="AJ88" s="1119"/>
      <c r="AK88" s="1125"/>
    </row>
    <row r="89" spans="1:38" ht="18.75" customHeight="1" x14ac:dyDescent="0.35">
      <c r="A89" s="1110"/>
      <c r="B89" s="1118"/>
      <c r="C89" s="1122"/>
      <c r="D89" s="1119" t="s">
        <v>534</v>
      </c>
      <c r="E89" s="1119"/>
      <c r="F89" s="1119"/>
      <c r="G89" s="1959"/>
      <c r="H89" s="1960"/>
      <c r="I89" s="1960"/>
      <c r="J89" s="1960"/>
      <c r="K89" s="1960"/>
      <c r="L89" s="1960"/>
      <c r="M89" s="1961"/>
      <c r="N89" s="1119" t="s">
        <v>760</v>
      </c>
      <c r="O89" s="1119" t="s">
        <v>758</v>
      </c>
      <c r="P89" s="1119"/>
      <c r="Q89" s="1119"/>
      <c r="R89" s="1119"/>
      <c r="S89" s="1119"/>
      <c r="T89" s="1928"/>
      <c r="U89" s="1929"/>
      <c r="V89" s="1929"/>
      <c r="W89" s="1929"/>
      <c r="X89" s="1929"/>
      <c r="Y89" s="1929"/>
      <c r="Z89" s="1929"/>
      <c r="AA89" s="1929"/>
      <c r="AB89" s="1929"/>
      <c r="AC89" s="1929"/>
      <c r="AD89" s="1929"/>
      <c r="AE89" s="1929"/>
      <c r="AF89" s="1929"/>
      <c r="AG89" s="1929"/>
      <c r="AH89" s="1929"/>
      <c r="AI89" s="1929"/>
      <c r="AJ89" s="1930"/>
      <c r="AK89" s="1125"/>
    </row>
    <row r="90" spans="1:38" ht="3.75" customHeight="1" x14ac:dyDescent="0.35">
      <c r="A90" s="1110"/>
      <c r="B90" s="1118"/>
      <c r="C90" s="1119"/>
      <c r="D90" s="1119"/>
      <c r="E90" s="1119"/>
      <c r="F90" s="1119"/>
      <c r="G90" s="1119"/>
      <c r="H90" s="1119"/>
      <c r="I90" s="1119"/>
      <c r="J90" s="1119"/>
      <c r="K90" s="1119"/>
      <c r="L90" s="1119"/>
      <c r="M90" s="1119"/>
      <c r="N90" s="1119"/>
      <c r="O90" s="1119"/>
      <c r="P90" s="1119"/>
      <c r="Q90" s="1119"/>
      <c r="R90" s="1119"/>
      <c r="S90" s="1119"/>
      <c r="T90" s="1119"/>
      <c r="U90" s="1119"/>
      <c r="V90" s="1119"/>
      <c r="W90" s="1119"/>
      <c r="X90" s="1119"/>
      <c r="Y90" s="1119"/>
      <c r="Z90" s="1119"/>
      <c r="AA90" s="1119"/>
      <c r="AB90" s="1119"/>
      <c r="AC90" s="1119"/>
      <c r="AD90" s="1119"/>
      <c r="AE90" s="1119"/>
      <c r="AF90" s="1119"/>
      <c r="AG90" s="1119"/>
      <c r="AH90" s="1119"/>
      <c r="AI90" s="1119"/>
      <c r="AJ90" s="1119"/>
      <c r="AK90" s="1125"/>
    </row>
    <row r="91" spans="1:38" ht="18.75" customHeight="1" x14ac:dyDescent="0.35">
      <c r="A91" s="1110"/>
      <c r="B91" s="1118"/>
      <c r="C91" s="1122"/>
      <c r="D91" s="1119" t="s">
        <v>1040</v>
      </c>
      <c r="E91" s="1119"/>
      <c r="F91" s="1157"/>
      <c r="G91" s="1959"/>
      <c r="H91" s="1960"/>
      <c r="I91" s="1960"/>
      <c r="J91" s="1960"/>
      <c r="K91" s="1960"/>
      <c r="L91" s="1960"/>
      <c r="M91" s="1961"/>
      <c r="N91" s="1119" t="s">
        <v>760</v>
      </c>
      <c r="O91" s="1119" t="s">
        <v>759</v>
      </c>
      <c r="P91" s="1119"/>
      <c r="Q91" s="1119"/>
      <c r="R91" s="1119"/>
      <c r="S91" s="1119"/>
      <c r="T91" s="1928"/>
      <c r="U91" s="1929"/>
      <c r="V91" s="1929"/>
      <c r="W91" s="1929"/>
      <c r="X91" s="1929"/>
      <c r="Y91" s="1929"/>
      <c r="Z91" s="1929"/>
      <c r="AA91" s="1929"/>
      <c r="AB91" s="1929"/>
      <c r="AC91" s="1929"/>
      <c r="AD91" s="1929"/>
      <c r="AE91" s="1929"/>
      <c r="AF91" s="1929"/>
      <c r="AG91" s="1929"/>
      <c r="AH91" s="1929"/>
      <c r="AI91" s="1929"/>
      <c r="AJ91" s="1930"/>
      <c r="AK91" s="1125"/>
    </row>
    <row r="92" spans="1:38" ht="3.75" customHeight="1" x14ac:dyDescent="0.35">
      <c r="A92" s="1110"/>
      <c r="B92" s="1118"/>
      <c r="C92" s="1119"/>
      <c r="D92" s="1119"/>
      <c r="E92" s="1119"/>
      <c r="F92" s="1119"/>
      <c r="G92" s="1119"/>
      <c r="H92" s="1119"/>
      <c r="I92" s="1119"/>
      <c r="J92" s="1119"/>
      <c r="K92" s="1119"/>
      <c r="L92" s="1119"/>
      <c r="M92" s="1119"/>
      <c r="N92" s="1119"/>
      <c r="O92" s="1121"/>
      <c r="P92" s="1121"/>
      <c r="Q92" s="1121"/>
      <c r="R92" s="1121"/>
      <c r="S92" s="1121"/>
      <c r="T92" s="1121"/>
      <c r="U92" s="1121"/>
      <c r="V92" s="1121"/>
      <c r="W92" s="1123"/>
      <c r="X92" s="1123"/>
      <c r="Y92" s="1123"/>
      <c r="Z92" s="1119"/>
      <c r="AA92" s="1123"/>
      <c r="AB92" s="1123"/>
      <c r="AC92" s="1123"/>
      <c r="AD92" s="1123"/>
      <c r="AE92" s="1123"/>
      <c r="AF92" s="1123"/>
      <c r="AG92" s="1123"/>
      <c r="AH92" s="1123"/>
      <c r="AI92" s="1123"/>
      <c r="AJ92" s="1119"/>
      <c r="AK92" s="1125"/>
    </row>
    <row r="93" spans="1:38" ht="18.75" customHeight="1" x14ac:dyDescent="0.35">
      <c r="A93" s="1110"/>
      <c r="B93" s="1118"/>
      <c r="C93" s="1119"/>
      <c r="D93" s="1119"/>
      <c r="E93" s="1119"/>
      <c r="F93" s="1119"/>
      <c r="G93" s="1119"/>
      <c r="H93" s="1119"/>
      <c r="I93" s="1119"/>
      <c r="J93" s="1119"/>
      <c r="K93" s="1119"/>
      <c r="L93" s="1119"/>
      <c r="M93" s="1119"/>
      <c r="N93" s="1119"/>
      <c r="O93" s="1119" t="s">
        <v>1420</v>
      </c>
      <c r="P93" s="1121"/>
      <c r="Q93" s="1121"/>
      <c r="R93" s="1121"/>
      <c r="S93" s="1121"/>
      <c r="T93" s="1121"/>
      <c r="U93" s="1121"/>
      <c r="V93" s="1121"/>
      <c r="W93" s="1123"/>
      <c r="X93" s="1123"/>
      <c r="Y93" s="1123"/>
      <c r="Z93" s="1119"/>
      <c r="AA93" s="1123"/>
      <c r="AB93" s="1123"/>
      <c r="AC93" s="1123"/>
      <c r="AD93" s="1123"/>
      <c r="AE93" s="1123"/>
      <c r="AF93" s="1123"/>
      <c r="AG93" s="1122"/>
      <c r="AH93" s="1119" t="s">
        <v>85</v>
      </c>
      <c r="AI93" s="1119"/>
      <c r="AJ93" s="1122"/>
      <c r="AK93" s="1125" t="s">
        <v>87</v>
      </c>
    </row>
    <row r="94" spans="1:38" ht="3.75" customHeight="1" x14ac:dyDescent="0.35">
      <c r="A94" s="1110"/>
      <c r="B94" s="1118"/>
      <c r="C94" s="1119"/>
      <c r="D94" s="1119"/>
      <c r="E94" s="1119"/>
      <c r="F94" s="1119"/>
      <c r="G94" s="1119"/>
      <c r="H94" s="1119"/>
      <c r="I94" s="1119"/>
      <c r="J94" s="1119"/>
      <c r="K94" s="1119"/>
      <c r="L94" s="1119"/>
      <c r="M94" s="1119"/>
      <c r="N94" s="1119"/>
      <c r="O94" s="1121"/>
      <c r="P94" s="1121"/>
      <c r="Q94" s="1121"/>
      <c r="R94" s="1121"/>
      <c r="S94" s="1121"/>
      <c r="T94" s="1121"/>
      <c r="U94" s="1121"/>
      <c r="V94" s="1121"/>
      <c r="W94" s="1123"/>
      <c r="X94" s="1123"/>
      <c r="Y94" s="1123"/>
      <c r="Z94" s="1119"/>
      <c r="AA94" s="1123"/>
      <c r="AB94" s="1123"/>
      <c r="AC94" s="1123"/>
      <c r="AD94" s="1123"/>
      <c r="AE94" s="1123"/>
      <c r="AF94" s="1123"/>
      <c r="AG94" s="1123"/>
      <c r="AH94" s="1123"/>
      <c r="AI94" s="1123"/>
      <c r="AJ94" s="1119"/>
      <c r="AK94" s="1125"/>
    </row>
    <row r="95" spans="1:38" ht="18.75" customHeight="1" x14ac:dyDescent="0.35">
      <c r="A95" s="1110"/>
      <c r="B95" s="1118"/>
      <c r="C95" s="1119"/>
      <c r="D95" s="1119" t="s">
        <v>1041</v>
      </c>
      <c r="E95" s="1119"/>
      <c r="F95" s="1119"/>
      <c r="G95" s="1119"/>
      <c r="H95" s="1119"/>
      <c r="I95" s="1119"/>
      <c r="J95" s="1119"/>
      <c r="K95" s="1119"/>
      <c r="L95" s="1119"/>
      <c r="M95" s="1119"/>
      <c r="N95" s="1119"/>
      <c r="O95" s="1950"/>
      <c r="P95" s="1951"/>
      <c r="Q95" s="1951"/>
      <c r="R95" s="1951"/>
      <c r="S95" s="1951"/>
      <c r="T95" s="1951"/>
      <c r="U95" s="1951"/>
      <c r="V95" s="1951"/>
      <c r="W95" s="1951"/>
      <c r="X95" s="1951"/>
      <c r="Y95" s="1951"/>
      <c r="Z95" s="1951"/>
      <c r="AA95" s="1951"/>
      <c r="AB95" s="1951"/>
      <c r="AC95" s="1951"/>
      <c r="AD95" s="1951"/>
      <c r="AE95" s="1951"/>
      <c r="AF95" s="1951"/>
      <c r="AG95" s="1951"/>
      <c r="AH95" s="1951"/>
      <c r="AI95" s="1951"/>
      <c r="AJ95" s="1952"/>
      <c r="AK95" s="1125"/>
    </row>
    <row r="96" spans="1:38" ht="3.75" customHeight="1" x14ac:dyDescent="0.35">
      <c r="A96" s="1110"/>
      <c r="B96" s="1118"/>
      <c r="C96" s="1119"/>
      <c r="D96" s="1119"/>
      <c r="E96" s="1119"/>
      <c r="F96" s="1119"/>
      <c r="G96" s="1119"/>
      <c r="H96" s="1119"/>
      <c r="I96" s="1119"/>
      <c r="J96" s="1119"/>
      <c r="K96" s="1119"/>
      <c r="L96" s="1119"/>
      <c r="M96" s="1119"/>
      <c r="N96" s="1119"/>
      <c r="O96" s="1121"/>
      <c r="P96" s="1121"/>
      <c r="Q96" s="1121"/>
      <c r="R96" s="1121"/>
      <c r="S96" s="1121"/>
      <c r="T96" s="1121"/>
      <c r="U96" s="1121"/>
      <c r="V96" s="1121"/>
      <c r="W96" s="1123"/>
      <c r="X96" s="1123"/>
      <c r="Y96" s="1123"/>
      <c r="Z96" s="1119"/>
      <c r="AA96" s="1123"/>
      <c r="AB96" s="1123"/>
      <c r="AC96" s="1123"/>
      <c r="AD96" s="1123"/>
      <c r="AE96" s="1123"/>
      <c r="AF96" s="1123"/>
      <c r="AG96" s="1123"/>
      <c r="AH96" s="1123"/>
      <c r="AI96" s="1123"/>
      <c r="AJ96" s="1119"/>
      <c r="AK96" s="1125"/>
    </row>
    <row r="97" spans="1:38" ht="18.75" customHeight="1" x14ac:dyDescent="0.35">
      <c r="A97" s="1110"/>
      <c r="B97" s="1118"/>
      <c r="C97" s="1119" t="s">
        <v>1039</v>
      </c>
      <c r="D97" s="1119"/>
      <c r="E97" s="1119"/>
      <c r="F97" s="1119"/>
      <c r="G97" s="1119"/>
      <c r="H97" s="1119"/>
      <c r="I97" s="1119"/>
      <c r="J97" s="1119"/>
      <c r="K97" s="1119"/>
      <c r="L97" s="1119"/>
      <c r="M97" s="1119"/>
      <c r="N97" s="1119"/>
      <c r="O97" s="1119"/>
      <c r="P97" s="1121"/>
      <c r="Q97" s="1121"/>
      <c r="R97" s="1121"/>
      <c r="S97" s="1121"/>
      <c r="T97" s="1121"/>
      <c r="U97" s="1121"/>
      <c r="V97" s="1121"/>
      <c r="W97" s="1121"/>
      <c r="X97" s="1121"/>
      <c r="Y97" s="1121"/>
      <c r="Z97" s="1121"/>
      <c r="AA97" s="1121"/>
      <c r="AB97" s="1121"/>
      <c r="AC97" s="1121"/>
      <c r="AD97" s="1121"/>
      <c r="AE97" s="1121"/>
      <c r="AF97" s="1121"/>
      <c r="AG97" s="1121"/>
      <c r="AH97" s="1121"/>
      <c r="AI97" s="1121"/>
      <c r="AJ97" s="1119"/>
      <c r="AK97" s="1125"/>
    </row>
    <row r="98" spans="1:38" ht="3.75" customHeight="1" thickBot="1" x14ac:dyDescent="0.4">
      <c r="A98" s="1110"/>
      <c r="B98" s="1137"/>
      <c r="C98" s="1128"/>
      <c r="D98" s="1128"/>
      <c r="E98" s="1128"/>
      <c r="F98" s="1128"/>
      <c r="G98" s="1128"/>
      <c r="H98" s="1128"/>
      <c r="I98" s="1128"/>
      <c r="J98" s="1128"/>
      <c r="K98" s="1128"/>
      <c r="L98" s="1128"/>
      <c r="M98" s="1128"/>
      <c r="N98" s="1128"/>
      <c r="O98" s="1128"/>
      <c r="P98" s="1128"/>
      <c r="Q98" s="1128"/>
      <c r="R98" s="1128"/>
      <c r="S98" s="1128"/>
      <c r="T98" s="1128"/>
      <c r="U98" s="1128"/>
      <c r="V98" s="1128"/>
      <c r="W98" s="1129"/>
      <c r="X98" s="1129"/>
      <c r="Y98" s="1129"/>
      <c r="Z98" s="1129"/>
      <c r="AA98" s="1128"/>
      <c r="AB98" s="1128"/>
      <c r="AC98" s="1128"/>
      <c r="AD98" s="1128"/>
      <c r="AE98" s="1128"/>
      <c r="AF98" s="1128"/>
      <c r="AG98" s="1128"/>
      <c r="AH98" s="1128"/>
      <c r="AI98" s="1128"/>
      <c r="AJ98" s="1128"/>
      <c r="AK98" s="1144"/>
      <c r="AL98" s="634"/>
    </row>
    <row r="99" spans="1:38" ht="3" customHeight="1" x14ac:dyDescent="0.35">
      <c r="A99" s="1110"/>
      <c r="C99" s="1110"/>
      <c r="D99" s="1110"/>
      <c r="E99" s="1110"/>
      <c r="F99" s="1110"/>
      <c r="G99" s="1110"/>
      <c r="H99" s="1110"/>
      <c r="I99" s="1110"/>
      <c r="J99" s="1111"/>
      <c r="K99" s="1111"/>
      <c r="L99" s="1111"/>
      <c r="N99" s="1111"/>
      <c r="O99" s="1111"/>
      <c r="P99" s="1111"/>
      <c r="Q99" s="1111"/>
      <c r="R99" s="1111"/>
      <c r="S99" s="1111"/>
      <c r="T99" s="1111"/>
      <c r="U99" s="1111"/>
      <c r="V99" s="1111"/>
      <c r="W99" s="1111"/>
      <c r="X99" s="1111"/>
      <c r="Y99" s="1111"/>
      <c r="Z99" s="1111"/>
      <c r="AK99" s="1111"/>
      <c r="AL99" s="634"/>
    </row>
    <row r="100" spans="1:38" s="187" customFormat="1" ht="53.25" customHeight="1" x14ac:dyDescent="0.3">
      <c r="A100" s="1962" t="s">
        <v>684</v>
      </c>
      <c r="B100" s="1963"/>
      <c r="C100" s="1963"/>
      <c r="D100" s="1963"/>
      <c r="E100" s="1963"/>
      <c r="F100" s="1963"/>
      <c r="G100" s="1963"/>
      <c r="H100" s="1963"/>
      <c r="I100" s="1963"/>
      <c r="J100" s="1963"/>
      <c r="K100" s="1963"/>
      <c r="L100" s="1963"/>
      <c r="M100" s="1963"/>
      <c r="N100" s="1963"/>
      <c r="O100" s="1963"/>
      <c r="P100" s="1963"/>
      <c r="Q100" s="1963"/>
      <c r="R100" s="1963"/>
      <c r="S100" s="1963"/>
      <c r="T100" s="1963"/>
      <c r="U100" s="1963"/>
      <c r="V100" s="1963"/>
      <c r="W100" s="1963"/>
      <c r="X100" s="1963"/>
      <c r="Y100" s="1091"/>
      <c r="Z100" s="1091"/>
      <c r="AA100" s="1091"/>
      <c r="AB100" s="1091"/>
      <c r="AC100" s="1091"/>
      <c r="AD100" s="1091"/>
      <c r="AE100" s="1091"/>
      <c r="AF100" s="1091"/>
      <c r="AG100" s="1091"/>
      <c r="AH100" s="1091"/>
      <c r="AI100" s="1091"/>
      <c r="AJ100" s="1091"/>
      <c r="AK100" s="1091"/>
      <c r="AL100" s="635"/>
    </row>
    <row r="101" spans="1:38" s="219" customFormat="1" ht="0.75" customHeight="1" thickBot="1" x14ac:dyDescent="0.4">
      <c r="A101" s="1092"/>
      <c r="B101" s="1093"/>
      <c r="C101" s="1093"/>
      <c r="D101" s="1093"/>
      <c r="E101" s="1093"/>
      <c r="F101" s="1093"/>
      <c r="G101" s="1093"/>
      <c r="H101" s="1093"/>
      <c r="I101" s="1093"/>
      <c r="J101" s="1093"/>
      <c r="K101" s="1093"/>
      <c r="L101" s="1093"/>
      <c r="M101" s="1093"/>
      <c r="N101" s="1093"/>
      <c r="O101" s="1092"/>
      <c r="P101" s="1094"/>
      <c r="Q101" s="1094"/>
      <c r="R101" s="1094"/>
      <c r="S101" s="1094"/>
      <c r="T101" s="1094"/>
      <c r="U101" s="1094"/>
      <c r="V101" s="1094"/>
      <c r="W101" s="1094"/>
      <c r="X101" s="1094"/>
      <c r="Y101" s="1094"/>
      <c r="Z101" s="1094"/>
      <c r="AA101" s="1094"/>
      <c r="AB101" s="1094"/>
      <c r="AC101" s="1094"/>
      <c r="AD101" s="1094"/>
      <c r="AE101" s="1094"/>
      <c r="AF101" s="1094"/>
      <c r="AG101" s="1094"/>
      <c r="AH101" s="1094"/>
      <c r="AI101" s="1094"/>
      <c r="AJ101" s="1094"/>
      <c r="AK101" s="1094"/>
    </row>
    <row r="102" spans="1:38" ht="3.75" customHeight="1" x14ac:dyDescent="0.35">
      <c r="A102" s="1095"/>
      <c r="B102" s="1158"/>
      <c r="C102" s="1159"/>
      <c r="D102" s="1159"/>
      <c r="E102" s="1159"/>
      <c r="F102" s="1159"/>
      <c r="G102" s="1159"/>
      <c r="H102" s="1159"/>
      <c r="I102" s="1159"/>
      <c r="J102" s="1159"/>
      <c r="K102" s="1159"/>
      <c r="L102" s="1159"/>
      <c r="M102" s="1159"/>
      <c r="N102" s="1159"/>
      <c r="O102" s="1159"/>
      <c r="P102" s="1159"/>
      <c r="Q102" s="1159"/>
      <c r="R102" s="1159"/>
      <c r="S102" s="1159"/>
      <c r="T102" s="1159"/>
      <c r="U102" s="1159"/>
      <c r="V102" s="1160"/>
    </row>
    <row r="103" spans="1:38" ht="18.75" customHeight="1" x14ac:dyDescent="0.35">
      <c r="A103" s="1095"/>
      <c r="B103" s="1161" t="s">
        <v>652</v>
      </c>
      <c r="C103" s="1162"/>
      <c r="D103" s="1162"/>
      <c r="E103" s="1162"/>
      <c r="F103" s="1162"/>
      <c r="G103" s="1162"/>
      <c r="H103" s="1162"/>
      <c r="I103" s="1162"/>
      <c r="J103" s="1955"/>
      <c r="K103" s="1955"/>
      <c r="L103" s="1955"/>
      <c r="M103" s="1955"/>
      <c r="N103" s="1955"/>
      <c r="O103" s="1955"/>
      <c r="P103" s="1955"/>
      <c r="Q103" s="1955"/>
      <c r="R103" s="1955"/>
      <c r="S103" s="1955"/>
      <c r="T103" s="1955"/>
      <c r="U103" s="1163"/>
      <c r="V103" s="1164"/>
    </row>
    <row r="104" spans="1:38" ht="3.75" customHeight="1" thickBot="1" x14ac:dyDescent="0.4">
      <c r="A104" s="1095"/>
      <c r="B104" s="1103"/>
      <c r="C104" s="1104"/>
      <c r="D104" s="1104"/>
      <c r="E104" s="1104"/>
      <c r="F104" s="1104"/>
      <c r="G104" s="1104"/>
      <c r="H104" s="1104"/>
      <c r="I104" s="1104"/>
      <c r="J104" s="1105"/>
      <c r="K104" s="1105"/>
      <c r="L104" s="1105"/>
      <c r="M104" s="1105"/>
      <c r="N104" s="1105"/>
      <c r="O104" s="1105"/>
      <c r="P104" s="1105"/>
      <c r="Q104" s="1105"/>
      <c r="R104" s="1105"/>
      <c r="S104" s="1105"/>
      <c r="T104" s="1105"/>
      <c r="U104" s="1104"/>
      <c r="V104" s="1106"/>
      <c r="AG104" s="695"/>
      <c r="AH104" s="695"/>
      <c r="AI104" s="695"/>
      <c r="AJ104" s="695"/>
      <c r="AK104" s="695"/>
    </row>
    <row r="105" spans="1:38" ht="6" customHeight="1" x14ac:dyDescent="0.35">
      <c r="A105" s="1095"/>
      <c r="B105" s="1107"/>
      <c r="C105" s="1107"/>
      <c r="D105" s="1107"/>
      <c r="E105" s="1107"/>
      <c r="F105" s="1107"/>
      <c r="G105" s="1107"/>
      <c r="H105" s="1107"/>
      <c r="I105" s="1107"/>
      <c r="J105" s="1109"/>
      <c r="K105" s="1109"/>
      <c r="L105" s="1109"/>
      <c r="M105" s="1109"/>
      <c r="N105" s="1109"/>
      <c r="O105" s="1109"/>
      <c r="P105" s="1109"/>
      <c r="Q105" s="1109"/>
      <c r="R105" s="1109"/>
      <c r="S105" s="1109"/>
      <c r="T105" s="1109"/>
      <c r="U105" s="1107"/>
      <c r="V105" s="1109"/>
      <c r="AG105" s="695"/>
      <c r="AH105" s="695"/>
      <c r="AI105" s="695"/>
      <c r="AJ105" s="695"/>
      <c r="AK105" s="695"/>
    </row>
    <row r="106" spans="1:38" ht="24.75" customHeight="1" thickBot="1" x14ac:dyDescent="0.4">
      <c r="A106" s="1095"/>
      <c r="B106" s="1107"/>
      <c r="C106" s="1107"/>
      <c r="D106" s="1107"/>
      <c r="E106" s="1107"/>
      <c r="F106" s="1107"/>
      <c r="G106" s="1107"/>
      <c r="H106" s="1107"/>
      <c r="I106" s="1107"/>
      <c r="J106" s="1109"/>
      <c r="K106" s="1109"/>
      <c r="L106" s="1109"/>
      <c r="M106" s="1109"/>
      <c r="N106" s="1109"/>
      <c r="O106" s="1109"/>
      <c r="P106" s="1109"/>
      <c r="Q106" s="1109"/>
      <c r="R106" s="1109"/>
      <c r="S106" s="1109"/>
      <c r="T106" s="1109"/>
      <c r="U106" s="1107"/>
      <c r="V106" s="1109"/>
      <c r="AG106" s="695"/>
      <c r="AH106" s="695"/>
      <c r="AI106" s="695"/>
      <c r="AJ106" s="695"/>
      <c r="AK106" s="695"/>
    </row>
    <row r="107" spans="1:38" ht="8.25" customHeight="1" x14ac:dyDescent="0.35">
      <c r="A107" s="1095"/>
      <c r="B107" s="1138"/>
      <c r="C107" s="1113"/>
      <c r="D107" s="1113"/>
      <c r="E107" s="1113"/>
      <c r="F107" s="1113"/>
      <c r="G107" s="1113"/>
      <c r="H107" s="1113"/>
      <c r="I107" s="1113"/>
      <c r="J107" s="1114"/>
      <c r="K107" s="1114"/>
      <c r="L107" s="1114"/>
      <c r="M107" s="1115"/>
      <c r="N107" s="1114"/>
      <c r="O107" s="1114"/>
      <c r="P107" s="1114"/>
      <c r="Q107" s="1114"/>
      <c r="R107" s="1114"/>
      <c r="S107" s="1114"/>
      <c r="T107" s="1956" t="s">
        <v>761</v>
      </c>
      <c r="U107" s="1956"/>
      <c r="V107" s="1956"/>
      <c r="W107" s="1956"/>
      <c r="X107" s="1956"/>
      <c r="Y107" s="1956"/>
      <c r="Z107" s="1956"/>
      <c r="AA107" s="1956"/>
      <c r="AB107" s="1956"/>
      <c r="AC107" s="1956"/>
      <c r="AD107" s="1956"/>
      <c r="AE107" s="1956"/>
      <c r="AF107" s="1956"/>
      <c r="AG107" s="1956"/>
      <c r="AH107" s="1956"/>
      <c r="AI107" s="1956"/>
      <c r="AJ107" s="1956"/>
      <c r="AK107" s="1116"/>
    </row>
    <row r="108" spans="1:38" ht="18.75" customHeight="1" x14ac:dyDescent="0.35">
      <c r="A108" s="1095"/>
      <c r="B108" s="1165" t="s">
        <v>1957</v>
      </c>
      <c r="C108" s="1145"/>
      <c r="D108" s="1145"/>
      <c r="E108" s="1124"/>
      <c r="F108" s="1124"/>
      <c r="G108" s="1119"/>
      <c r="H108" s="1119"/>
      <c r="I108" s="1119"/>
      <c r="J108" s="1119"/>
      <c r="K108" s="1119"/>
      <c r="L108" s="1119"/>
      <c r="M108" s="1119"/>
      <c r="N108" s="1119"/>
      <c r="O108" s="1953"/>
      <c r="P108" s="1958"/>
      <c r="Q108" s="1119" t="s">
        <v>762</v>
      </c>
      <c r="R108" s="1119"/>
      <c r="S108" s="1119"/>
      <c r="T108" s="1957"/>
      <c r="U108" s="1957"/>
      <c r="V108" s="1957"/>
      <c r="W108" s="1957"/>
      <c r="X108" s="1957"/>
      <c r="Y108" s="1957"/>
      <c r="Z108" s="1957"/>
      <c r="AA108" s="1957"/>
      <c r="AB108" s="1957"/>
      <c r="AC108" s="1957"/>
      <c r="AD108" s="1957"/>
      <c r="AE108" s="1957"/>
      <c r="AF108" s="1957"/>
      <c r="AG108" s="1957"/>
      <c r="AH108" s="1957"/>
      <c r="AI108" s="1957"/>
      <c r="AJ108" s="1957"/>
      <c r="AK108" s="1125"/>
    </row>
    <row r="109" spans="1:38" ht="12.75" customHeight="1" x14ac:dyDescent="0.35">
      <c r="A109" s="1095"/>
      <c r="B109" s="1166" t="s">
        <v>1958</v>
      </c>
      <c r="C109" s="1145"/>
      <c r="D109" s="1145"/>
      <c r="E109" s="1124"/>
      <c r="F109" s="1124"/>
      <c r="G109" s="1119"/>
      <c r="H109" s="1119"/>
      <c r="I109" s="1119"/>
      <c r="J109" s="1119"/>
      <c r="K109" s="1119"/>
      <c r="L109" s="1119"/>
      <c r="M109" s="1119"/>
      <c r="N109" s="1119"/>
      <c r="O109" s="1119"/>
      <c r="P109" s="1119"/>
      <c r="Q109" s="1119"/>
      <c r="R109" s="1119"/>
      <c r="S109" s="1119"/>
      <c r="T109" s="1957"/>
      <c r="U109" s="1957"/>
      <c r="V109" s="1957"/>
      <c r="W109" s="1957"/>
      <c r="X109" s="1957"/>
      <c r="Y109" s="1957"/>
      <c r="Z109" s="1957"/>
      <c r="AA109" s="1957"/>
      <c r="AB109" s="1957"/>
      <c r="AC109" s="1957"/>
      <c r="AD109" s="1957"/>
      <c r="AE109" s="1957"/>
      <c r="AF109" s="1957"/>
      <c r="AG109" s="1957"/>
      <c r="AH109" s="1957"/>
      <c r="AI109" s="1957"/>
      <c r="AJ109" s="1957"/>
      <c r="AK109" s="1125"/>
    </row>
    <row r="110" spans="1:38" ht="18.75" customHeight="1" x14ac:dyDescent="0.35">
      <c r="A110" s="1095"/>
      <c r="B110" s="1165"/>
      <c r="C110" s="1145"/>
      <c r="D110" s="1124" t="s">
        <v>763</v>
      </c>
      <c r="E110" s="1124"/>
      <c r="F110" s="1124"/>
      <c r="G110" s="1119"/>
      <c r="H110" s="1119"/>
      <c r="I110" s="1119"/>
      <c r="J110" s="1119"/>
      <c r="K110" s="1119"/>
      <c r="L110" s="1119"/>
      <c r="M110" s="1119"/>
      <c r="N110" s="1119"/>
      <c r="O110" s="1953"/>
      <c r="P110" s="1958"/>
      <c r="Q110" s="1119" t="s">
        <v>762</v>
      </c>
      <c r="R110" s="1119"/>
      <c r="S110" s="1119"/>
      <c r="T110" s="1167"/>
      <c r="U110" s="1119" t="s">
        <v>764</v>
      </c>
      <c r="V110" s="1119"/>
      <c r="W110" s="1119"/>
      <c r="X110" s="1167"/>
      <c r="Y110" s="1119" t="s">
        <v>87</v>
      </c>
      <c r="Z110" s="1119"/>
      <c r="AA110" s="1119"/>
      <c r="AB110" s="1119"/>
      <c r="AC110" s="1119"/>
      <c r="AD110" s="1119"/>
      <c r="AE110" s="1119"/>
      <c r="AF110" s="1119"/>
      <c r="AG110" s="1119"/>
      <c r="AH110" s="1119"/>
      <c r="AI110" s="1119"/>
      <c r="AJ110" s="1119"/>
      <c r="AK110" s="1125"/>
    </row>
    <row r="111" spans="1:38" ht="3.75" customHeight="1" x14ac:dyDescent="0.35">
      <c r="A111" s="1095"/>
      <c r="B111" s="1165"/>
      <c r="C111" s="1119"/>
      <c r="D111" s="1119"/>
      <c r="E111" s="1119"/>
      <c r="F111" s="1119"/>
      <c r="G111" s="1119"/>
      <c r="H111" s="1119"/>
      <c r="I111" s="1119"/>
      <c r="J111" s="1119"/>
      <c r="K111" s="1119"/>
      <c r="L111" s="1119"/>
      <c r="M111" s="1119"/>
      <c r="N111" s="1119"/>
      <c r="O111" s="1119"/>
      <c r="P111" s="1119"/>
      <c r="Q111" s="1119"/>
      <c r="R111" s="1119"/>
      <c r="S111" s="1119"/>
      <c r="T111" s="1119"/>
      <c r="U111" s="1119"/>
      <c r="V111" s="1119"/>
      <c r="W111" s="1119"/>
      <c r="X111" s="1119"/>
      <c r="Y111" s="1119"/>
      <c r="Z111" s="1119"/>
      <c r="AA111" s="1119"/>
      <c r="AB111" s="1119"/>
      <c r="AC111" s="1119"/>
      <c r="AD111" s="1119"/>
      <c r="AE111" s="1119"/>
      <c r="AF111" s="1119"/>
      <c r="AG111" s="1119"/>
      <c r="AH111" s="1119"/>
      <c r="AI111" s="1119"/>
      <c r="AJ111" s="1119"/>
      <c r="AK111" s="1125"/>
    </row>
    <row r="112" spans="1:38" ht="18.75" customHeight="1" x14ac:dyDescent="0.35">
      <c r="A112" s="1095"/>
      <c r="B112" s="1165"/>
      <c r="C112" s="1168"/>
      <c r="D112" s="1119" t="s">
        <v>765</v>
      </c>
      <c r="E112" s="1119"/>
      <c r="F112" s="1119"/>
      <c r="G112" s="1119"/>
      <c r="H112" s="1119"/>
      <c r="I112" s="1119"/>
      <c r="J112" s="1119"/>
      <c r="K112" s="1119"/>
      <c r="L112" s="1119"/>
      <c r="M112" s="1119"/>
      <c r="N112" s="1119"/>
      <c r="O112" s="1953"/>
      <c r="P112" s="1958"/>
      <c r="Q112" s="1119" t="s">
        <v>762</v>
      </c>
      <c r="R112" s="1119"/>
      <c r="S112" s="1119"/>
      <c r="T112" s="1119"/>
      <c r="U112" s="1119"/>
      <c r="V112" s="1119"/>
      <c r="W112" s="1119"/>
      <c r="X112" s="1119"/>
      <c r="Y112" s="1119"/>
      <c r="Z112" s="1119"/>
      <c r="AA112" s="1119"/>
      <c r="AB112" s="1119"/>
      <c r="AC112" s="1119"/>
      <c r="AD112" s="1119"/>
      <c r="AE112" s="1119"/>
      <c r="AF112" s="1119"/>
      <c r="AG112" s="1119"/>
      <c r="AH112" s="1119"/>
      <c r="AI112" s="1119"/>
      <c r="AJ112" s="1119"/>
      <c r="AK112" s="1125"/>
    </row>
    <row r="113" spans="1:38" ht="4.5" customHeight="1" thickBot="1" x14ac:dyDescent="0.4">
      <c r="A113" s="1095"/>
      <c r="B113" s="1137"/>
      <c r="C113" s="1127"/>
      <c r="D113" s="1127"/>
      <c r="E113" s="1127"/>
      <c r="F113" s="1127"/>
      <c r="G113" s="1127"/>
      <c r="H113" s="1127"/>
      <c r="I113" s="1127"/>
      <c r="J113" s="1129"/>
      <c r="K113" s="1129"/>
      <c r="L113" s="1129"/>
      <c r="M113" s="1128"/>
      <c r="N113" s="1129"/>
      <c r="O113" s="1129"/>
      <c r="P113" s="1129"/>
      <c r="Q113" s="1129"/>
      <c r="R113" s="1129"/>
      <c r="S113" s="1129"/>
      <c r="T113" s="1129"/>
      <c r="U113" s="1129"/>
      <c r="V113" s="1129"/>
      <c r="W113" s="1129"/>
      <c r="X113" s="1129"/>
      <c r="Y113" s="1129"/>
      <c r="Z113" s="1129"/>
      <c r="AA113" s="1128"/>
      <c r="AB113" s="1128"/>
      <c r="AC113" s="1128"/>
      <c r="AD113" s="1128"/>
      <c r="AE113" s="1128"/>
      <c r="AF113" s="1128"/>
      <c r="AG113" s="1128"/>
      <c r="AH113" s="1128"/>
      <c r="AI113" s="1128"/>
      <c r="AJ113" s="1128"/>
      <c r="AK113" s="1144"/>
    </row>
    <row r="114" spans="1:38" ht="16.5" customHeight="1" x14ac:dyDescent="0.35">
      <c r="A114" s="1110"/>
      <c r="C114" s="1110"/>
      <c r="D114" s="1110"/>
      <c r="E114" s="1110"/>
      <c r="F114" s="1110"/>
      <c r="G114" s="1110"/>
      <c r="H114" s="1110"/>
      <c r="I114" s="1110"/>
      <c r="J114" s="1111"/>
      <c r="K114" s="1111"/>
      <c r="L114" s="1111"/>
      <c r="N114" s="1111"/>
      <c r="O114" s="1111"/>
      <c r="P114" s="1111"/>
      <c r="Q114" s="1111"/>
      <c r="R114" s="1111"/>
      <c r="S114" s="1111"/>
      <c r="T114" s="1111"/>
      <c r="U114" s="1111"/>
      <c r="V114" s="1111"/>
      <c r="W114" s="1111"/>
      <c r="X114" s="1111"/>
      <c r="Y114" s="1111"/>
      <c r="Z114" s="1111"/>
      <c r="AK114" s="1111"/>
      <c r="AL114" s="634"/>
    </row>
    <row r="115" spans="1:38" ht="6" customHeight="1" thickBot="1" x14ac:dyDescent="0.4">
      <c r="A115" s="1110"/>
      <c r="C115" s="1110"/>
      <c r="D115" s="1110"/>
      <c r="E115" s="1110"/>
      <c r="F115" s="1110"/>
      <c r="G115" s="1110"/>
      <c r="H115" s="1110"/>
      <c r="I115" s="1110"/>
      <c r="J115" s="1111"/>
      <c r="K115" s="1111"/>
      <c r="L115" s="1111"/>
      <c r="N115" s="1111"/>
      <c r="O115" s="1111"/>
      <c r="P115" s="1111"/>
      <c r="Q115" s="1111"/>
      <c r="R115" s="1111"/>
      <c r="S115" s="1111"/>
      <c r="T115" s="1111"/>
      <c r="U115" s="1111"/>
      <c r="V115" s="1111"/>
      <c r="W115" s="1111"/>
      <c r="X115" s="1111"/>
      <c r="Y115" s="1111"/>
      <c r="Z115" s="1111"/>
      <c r="AK115" s="1111"/>
      <c r="AL115" s="634"/>
    </row>
    <row r="116" spans="1:38" ht="18.75" customHeight="1" x14ac:dyDescent="0.35">
      <c r="A116" s="1110"/>
      <c r="B116" s="1138" t="s">
        <v>1959</v>
      </c>
      <c r="C116" s="1169"/>
      <c r="D116" s="1169"/>
      <c r="E116" s="1169"/>
      <c r="F116" s="1169"/>
      <c r="G116" s="1169"/>
      <c r="H116" s="1169"/>
      <c r="I116" s="1169"/>
      <c r="J116" s="1169"/>
      <c r="K116" s="1169"/>
      <c r="L116" s="1169"/>
      <c r="M116" s="1169"/>
      <c r="N116" s="1169"/>
      <c r="O116" s="1169"/>
      <c r="P116" s="1169"/>
      <c r="Q116" s="1169"/>
      <c r="R116" s="1169"/>
      <c r="S116" s="1169"/>
      <c r="T116" s="1169"/>
      <c r="U116" s="1169"/>
      <c r="V116" s="1169"/>
      <c r="W116" s="1169"/>
      <c r="X116" s="1115"/>
      <c r="Y116" s="1115"/>
      <c r="Z116" s="1115"/>
      <c r="AA116" s="1115"/>
      <c r="AB116" s="1115"/>
      <c r="AC116" s="1115"/>
      <c r="AD116" s="1115"/>
      <c r="AE116" s="1115"/>
      <c r="AF116" s="1115"/>
      <c r="AG116" s="1115"/>
      <c r="AH116" s="1115"/>
      <c r="AI116" s="1115"/>
      <c r="AJ116" s="1115"/>
      <c r="AK116" s="1134"/>
    </row>
    <row r="117" spans="1:38" ht="3.75" customHeight="1" x14ac:dyDescent="0.35">
      <c r="A117" s="1110"/>
      <c r="B117" s="1170"/>
      <c r="C117" s="1171"/>
      <c r="D117" s="1171"/>
      <c r="E117" s="1171"/>
      <c r="F117" s="1171"/>
      <c r="G117" s="1171"/>
      <c r="H117" s="1171"/>
      <c r="I117" s="1171"/>
      <c r="J117" s="1171"/>
      <c r="K117" s="1171"/>
      <c r="L117" s="1171"/>
      <c r="M117" s="1171"/>
      <c r="N117" s="1171"/>
      <c r="O117" s="1171"/>
      <c r="P117" s="1171"/>
      <c r="Q117" s="1171"/>
      <c r="R117" s="1171"/>
      <c r="S117" s="1171"/>
      <c r="T117" s="1171"/>
      <c r="U117" s="1171"/>
      <c r="V117" s="1171"/>
      <c r="W117" s="1171"/>
      <c r="X117" s="1119"/>
      <c r="Y117" s="1119"/>
      <c r="Z117" s="1119"/>
      <c r="AA117" s="1119"/>
      <c r="AB117" s="1119"/>
      <c r="AC117" s="1119"/>
      <c r="AD117" s="1119"/>
      <c r="AE117" s="1119"/>
      <c r="AF117" s="1119"/>
      <c r="AG117" s="1119"/>
      <c r="AH117" s="1119"/>
      <c r="AI117" s="1119"/>
      <c r="AJ117" s="1119"/>
      <c r="AK117" s="1125"/>
    </row>
    <row r="118" spans="1:38" ht="18.75" customHeight="1" x14ac:dyDescent="0.35">
      <c r="A118" s="1110"/>
      <c r="B118" s="1118"/>
      <c r="C118" s="1122"/>
      <c r="D118" s="1119" t="s">
        <v>1042</v>
      </c>
      <c r="E118" s="1119"/>
      <c r="F118" s="1119"/>
      <c r="G118" s="1119"/>
      <c r="H118" s="1119"/>
      <c r="I118" s="1122"/>
      <c r="J118" s="1119" t="s">
        <v>1043</v>
      </c>
      <c r="K118" s="1119"/>
      <c r="L118" s="1119"/>
      <c r="M118" s="1119"/>
      <c r="N118" s="1119"/>
      <c r="O118" s="1119"/>
      <c r="P118" s="1119"/>
      <c r="Q118" s="1122"/>
      <c r="R118" s="1119" t="s">
        <v>1044</v>
      </c>
      <c r="S118" s="1119"/>
      <c r="T118" s="1119"/>
      <c r="U118" s="1119"/>
      <c r="V118" s="1119"/>
      <c r="W118" s="1119"/>
      <c r="X118" s="1119"/>
      <c r="Y118" s="1119"/>
      <c r="Z118" s="1119"/>
      <c r="AA118" s="1119"/>
      <c r="AB118" s="1119"/>
      <c r="AC118" s="1119"/>
      <c r="AD118" s="1119"/>
      <c r="AE118" s="1119"/>
      <c r="AF118" s="1119"/>
      <c r="AG118" s="1119"/>
      <c r="AH118" s="1119"/>
      <c r="AI118" s="1119"/>
      <c r="AJ118" s="1119"/>
      <c r="AK118" s="1125"/>
    </row>
    <row r="119" spans="1:38" ht="3.75" customHeight="1" x14ac:dyDescent="0.35">
      <c r="A119" s="1110"/>
      <c r="B119" s="1118"/>
      <c r="C119" s="1119"/>
      <c r="D119" s="1119"/>
      <c r="E119" s="1119"/>
      <c r="F119" s="1119"/>
      <c r="G119" s="1119"/>
      <c r="H119" s="1119"/>
      <c r="I119" s="1119"/>
      <c r="J119" s="1119"/>
      <c r="K119" s="1119"/>
      <c r="L119" s="1119"/>
      <c r="M119" s="1119"/>
      <c r="N119" s="1119"/>
      <c r="O119" s="1119"/>
      <c r="P119" s="1119"/>
      <c r="Q119" s="1119"/>
      <c r="R119" s="1119"/>
      <c r="S119" s="1119"/>
      <c r="T119" s="1119"/>
      <c r="U119" s="1119"/>
      <c r="V119" s="1119"/>
      <c r="W119" s="1119"/>
      <c r="X119" s="1119"/>
      <c r="Y119" s="1119"/>
      <c r="Z119" s="1119"/>
      <c r="AA119" s="1119"/>
      <c r="AB119" s="1119"/>
      <c r="AC119" s="1119"/>
      <c r="AD119" s="1119"/>
      <c r="AE119" s="1119"/>
      <c r="AF119" s="1119"/>
      <c r="AG119" s="1119"/>
      <c r="AH119" s="1119"/>
      <c r="AI119" s="1119"/>
      <c r="AJ119" s="1119"/>
      <c r="AK119" s="1125"/>
    </row>
    <row r="120" spans="1:38" ht="18.75" customHeight="1" x14ac:dyDescent="0.35">
      <c r="A120" s="1110"/>
      <c r="B120" s="1118" t="s">
        <v>766</v>
      </c>
      <c r="C120" s="1119"/>
      <c r="D120" s="1119"/>
      <c r="E120" s="1119"/>
      <c r="F120" s="1119"/>
      <c r="G120" s="1119"/>
      <c r="H120" s="1119"/>
      <c r="I120" s="1119"/>
      <c r="J120" s="1119"/>
      <c r="K120" s="1119"/>
      <c r="L120" s="1119"/>
      <c r="M120" s="1119"/>
      <c r="N120" s="1119"/>
      <c r="O120" s="1119"/>
      <c r="P120" s="1119"/>
      <c r="Q120" s="1119"/>
      <c r="R120" s="1119"/>
      <c r="S120" s="1119"/>
      <c r="T120" s="1119"/>
      <c r="U120" s="1119"/>
      <c r="V120" s="1119"/>
      <c r="W120" s="1119"/>
      <c r="X120" s="1119"/>
      <c r="Y120" s="1119"/>
      <c r="Z120" s="1119"/>
      <c r="AA120" s="1119"/>
      <c r="AB120" s="1119"/>
      <c r="AC120" s="1119"/>
      <c r="AD120" s="1119"/>
      <c r="AE120" s="1119"/>
      <c r="AF120" s="1119"/>
      <c r="AG120" s="1119"/>
      <c r="AH120" s="1119"/>
      <c r="AI120" s="1119"/>
      <c r="AJ120" s="1119"/>
      <c r="AK120" s="1125"/>
    </row>
    <row r="121" spans="1:38" ht="18.75" customHeight="1" x14ac:dyDescent="0.35">
      <c r="A121" s="1110"/>
      <c r="B121" s="1118"/>
      <c r="C121" s="1122"/>
      <c r="D121" s="1119" t="s">
        <v>162</v>
      </c>
      <c r="E121" s="1119"/>
      <c r="F121" s="1119"/>
      <c r="G121" s="1119"/>
      <c r="H121" s="1122"/>
      <c r="I121" s="1119" t="s">
        <v>1045</v>
      </c>
      <c r="J121" s="1119"/>
      <c r="K121" s="1119"/>
      <c r="L121" s="1119"/>
      <c r="M121" s="1119"/>
      <c r="N121" s="1122"/>
      <c r="O121" s="1119" t="s">
        <v>1046</v>
      </c>
      <c r="P121" s="1119"/>
      <c r="Q121" s="1119"/>
      <c r="R121" s="1119"/>
      <c r="S121" s="1119"/>
      <c r="T121" s="1119"/>
      <c r="U121" s="1119"/>
      <c r="V121" s="1119"/>
      <c r="W121" s="1122"/>
      <c r="X121" s="1119" t="s">
        <v>1047</v>
      </c>
      <c r="Y121" s="1119"/>
      <c r="Z121" s="1119"/>
      <c r="AA121" s="1119"/>
      <c r="AB121" s="1119"/>
      <c r="AC121" s="1119"/>
      <c r="AD121" s="1119"/>
      <c r="AE121" s="1119"/>
      <c r="AF121" s="1122"/>
      <c r="AG121" s="1119" t="s">
        <v>1048</v>
      </c>
      <c r="AH121" s="1119"/>
      <c r="AI121" s="1119"/>
      <c r="AJ121" s="1119"/>
      <c r="AK121" s="1125"/>
    </row>
    <row r="122" spans="1:38" ht="3.75" customHeight="1" thickBot="1" x14ac:dyDescent="0.4">
      <c r="A122" s="1110"/>
      <c r="B122" s="1137"/>
      <c r="C122" s="1127"/>
      <c r="D122" s="1127"/>
      <c r="E122" s="1127"/>
      <c r="F122" s="1127"/>
      <c r="G122" s="1127"/>
      <c r="H122" s="1127"/>
      <c r="I122" s="1127"/>
      <c r="J122" s="1129"/>
      <c r="K122" s="1129"/>
      <c r="L122" s="1129"/>
      <c r="M122" s="1128"/>
      <c r="N122" s="1129"/>
      <c r="O122" s="1129"/>
      <c r="P122" s="1129"/>
      <c r="Q122" s="1129"/>
      <c r="R122" s="1129"/>
      <c r="S122" s="1129"/>
      <c r="T122" s="1129"/>
      <c r="U122" s="1129"/>
      <c r="V122" s="1129"/>
      <c r="W122" s="1129"/>
      <c r="X122" s="1129"/>
      <c r="Y122" s="1129"/>
      <c r="Z122" s="1129"/>
      <c r="AA122" s="1128"/>
      <c r="AB122" s="1128"/>
      <c r="AC122" s="1128"/>
      <c r="AD122" s="1128"/>
      <c r="AE122" s="1128"/>
      <c r="AF122" s="1128"/>
      <c r="AG122" s="1128"/>
      <c r="AH122" s="1128"/>
      <c r="AI122" s="1128"/>
      <c r="AJ122" s="1128"/>
      <c r="AK122" s="1144"/>
      <c r="AL122" s="634"/>
    </row>
    <row r="123" spans="1:38" ht="3.75" customHeight="1" x14ac:dyDescent="0.35">
      <c r="A123" s="1110"/>
      <c r="C123" s="1110"/>
      <c r="D123" s="1110"/>
      <c r="E123" s="1110"/>
      <c r="F123" s="1110"/>
      <c r="G123" s="1110"/>
      <c r="H123" s="1110"/>
      <c r="I123" s="1110"/>
      <c r="J123" s="1111"/>
      <c r="K123" s="1111"/>
      <c r="L123" s="1111"/>
      <c r="N123" s="1111"/>
      <c r="O123" s="1111"/>
      <c r="P123" s="1111"/>
      <c r="Q123" s="1111"/>
      <c r="R123" s="1111"/>
      <c r="S123" s="1111"/>
      <c r="T123" s="1111"/>
      <c r="U123" s="1111"/>
      <c r="V123" s="1111"/>
      <c r="W123" s="1111"/>
      <c r="X123" s="1111"/>
      <c r="Y123" s="1111"/>
      <c r="Z123" s="1111"/>
      <c r="AK123" s="1111"/>
      <c r="AL123" s="634"/>
    </row>
    <row r="124" spans="1:38" ht="18.75" customHeight="1" x14ac:dyDescent="0.35">
      <c r="A124" s="1110"/>
      <c r="C124" s="1110"/>
      <c r="D124" s="1110"/>
      <c r="E124" s="1110"/>
      <c r="F124" s="1110"/>
      <c r="G124" s="1110"/>
      <c r="H124" s="1110"/>
      <c r="I124" s="1110"/>
      <c r="J124" s="1111"/>
      <c r="K124" s="1111"/>
      <c r="L124" s="1111"/>
      <c r="N124" s="1111"/>
      <c r="O124" s="1111"/>
      <c r="P124" s="1111"/>
      <c r="Q124" s="1111"/>
      <c r="R124" s="1111"/>
      <c r="S124" s="1111"/>
      <c r="T124" s="1111"/>
      <c r="U124" s="1111"/>
      <c r="V124" s="1111"/>
      <c r="W124" s="1111"/>
      <c r="X124" s="1111"/>
      <c r="Y124" s="1111"/>
      <c r="Z124" s="1111"/>
      <c r="AK124" s="1111"/>
      <c r="AL124" s="634"/>
    </row>
    <row r="125" spans="1:38" ht="6.75" customHeight="1" thickBot="1" x14ac:dyDescent="0.4">
      <c r="A125" s="1110"/>
      <c r="C125" s="1110"/>
      <c r="D125" s="1110"/>
      <c r="E125" s="1110"/>
      <c r="F125" s="1110"/>
      <c r="G125" s="1110"/>
      <c r="H125" s="1110"/>
      <c r="I125" s="1110"/>
      <c r="J125" s="1111"/>
      <c r="K125" s="1111"/>
      <c r="L125" s="1111"/>
      <c r="N125" s="1111"/>
      <c r="O125" s="1111"/>
      <c r="P125" s="1111"/>
      <c r="Q125" s="1111"/>
      <c r="R125" s="1111"/>
      <c r="S125" s="1111"/>
      <c r="T125" s="1111"/>
      <c r="U125" s="1111"/>
      <c r="V125" s="1111"/>
      <c r="W125" s="1111"/>
      <c r="X125" s="1111"/>
      <c r="Y125" s="1111"/>
      <c r="Z125" s="1111"/>
      <c r="AK125" s="1111"/>
      <c r="AL125" s="634"/>
    </row>
    <row r="126" spans="1:38" ht="6" customHeight="1" x14ac:dyDescent="0.35">
      <c r="A126" s="1110"/>
      <c r="B126" s="1138"/>
      <c r="C126" s="1113"/>
      <c r="D126" s="1113"/>
      <c r="E126" s="1113"/>
      <c r="F126" s="1113"/>
      <c r="G126" s="1113"/>
      <c r="H126" s="1113"/>
      <c r="I126" s="1113"/>
      <c r="J126" s="1114"/>
      <c r="K126" s="1114"/>
      <c r="L126" s="1114"/>
      <c r="M126" s="1115"/>
      <c r="N126" s="1114"/>
      <c r="O126" s="1114"/>
      <c r="P126" s="1114"/>
      <c r="Q126" s="1114"/>
      <c r="R126" s="1114"/>
      <c r="S126" s="1114"/>
      <c r="T126" s="1114"/>
      <c r="U126" s="1114"/>
      <c r="V126" s="1114"/>
      <c r="W126" s="1114"/>
      <c r="X126" s="1114"/>
      <c r="Y126" s="1114"/>
      <c r="Z126" s="1114"/>
      <c r="AA126" s="1115"/>
      <c r="AB126" s="1115"/>
      <c r="AC126" s="1115"/>
      <c r="AD126" s="1115"/>
      <c r="AE126" s="1115"/>
      <c r="AF126" s="1115"/>
      <c r="AG126" s="1115"/>
      <c r="AH126" s="1115"/>
      <c r="AI126" s="1115"/>
      <c r="AJ126" s="1115"/>
      <c r="AK126" s="1116"/>
      <c r="AL126" s="634"/>
    </row>
    <row r="127" spans="1:38" ht="18.75" customHeight="1" x14ac:dyDescent="0.35">
      <c r="A127" s="1110"/>
      <c r="B127" s="1118" t="s">
        <v>980</v>
      </c>
      <c r="C127" s="1119"/>
      <c r="D127" s="1119"/>
      <c r="E127" s="1119"/>
      <c r="F127" s="1119"/>
      <c r="G127" s="1119"/>
      <c r="H127" s="1119"/>
      <c r="I127" s="1122"/>
      <c r="J127" s="1119" t="s">
        <v>85</v>
      </c>
      <c r="K127" s="1119"/>
      <c r="L127" s="1122"/>
      <c r="M127" s="1119" t="s">
        <v>87</v>
      </c>
      <c r="N127" s="1119"/>
      <c r="O127" s="1119" t="s">
        <v>982</v>
      </c>
      <c r="P127" s="1119"/>
      <c r="Q127" s="1119"/>
      <c r="R127" s="1119"/>
      <c r="S127" s="1119"/>
      <c r="T127" s="1122"/>
      <c r="U127" s="1119"/>
      <c r="V127" s="1119" t="s">
        <v>981</v>
      </c>
      <c r="W127" s="1119"/>
      <c r="X127" s="1119"/>
      <c r="Y127" s="1119"/>
      <c r="Z127" s="1119"/>
      <c r="AA127" s="1119"/>
      <c r="AB127" s="1119"/>
      <c r="AC127" s="1119"/>
      <c r="AD127" s="1119"/>
      <c r="AE127" s="1119"/>
      <c r="AF127" s="1122"/>
      <c r="AG127" s="1119"/>
      <c r="AH127" s="1119"/>
      <c r="AI127" s="1119"/>
      <c r="AJ127" s="1119"/>
      <c r="AK127" s="1136"/>
      <c r="AL127" s="634"/>
    </row>
    <row r="128" spans="1:38" ht="6" customHeight="1" x14ac:dyDescent="0.35">
      <c r="A128" s="1110"/>
      <c r="B128" s="1118"/>
      <c r="C128" s="1121"/>
      <c r="D128" s="1121"/>
      <c r="E128" s="1121"/>
      <c r="F128" s="1121"/>
      <c r="G128" s="1121"/>
      <c r="H128" s="1121"/>
      <c r="I128" s="1121"/>
      <c r="J128" s="1123"/>
      <c r="K128" s="1123"/>
      <c r="L128" s="1123"/>
      <c r="M128" s="1119"/>
      <c r="N128" s="1123"/>
      <c r="O128" s="1123"/>
      <c r="P128" s="1123"/>
      <c r="Q128" s="1123"/>
      <c r="R128" s="1123"/>
      <c r="S128" s="1123"/>
      <c r="T128" s="1123"/>
      <c r="U128" s="1123"/>
      <c r="V128" s="1123"/>
      <c r="W128" s="1123"/>
      <c r="X128" s="1123"/>
      <c r="Y128" s="1123"/>
      <c r="Z128" s="1123"/>
      <c r="AA128" s="1119"/>
      <c r="AB128" s="1119"/>
      <c r="AC128" s="1119"/>
      <c r="AD128" s="1119"/>
      <c r="AE128" s="1119"/>
      <c r="AF128" s="1119"/>
      <c r="AG128" s="1119"/>
      <c r="AH128" s="1119"/>
      <c r="AI128" s="1119"/>
      <c r="AJ128" s="1119"/>
      <c r="AK128" s="1136"/>
      <c r="AL128" s="634"/>
    </row>
    <row r="129" spans="1:38" ht="18.75" customHeight="1" x14ac:dyDescent="0.35">
      <c r="A129" s="1110"/>
      <c r="B129" s="1118" t="s">
        <v>978</v>
      </c>
      <c r="C129" s="1121"/>
      <c r="D129" s="1121"/>
      <c r="E129" s="1121"/>
      <c r="F129" s="1121"/>
      <c r="G129" s="1950"/>
      <c r="H129" s="1951"/>
      <c r="I129" s="1951"/>
      <c r="J129" s="1951"/>
      <c r="K129" s="1951"/>
      <c r="L129" s="1951"/>
      <c r="M129" s="1951"/>
      <c r="N129" s="1951"/>
      <c r="O129" s="1951"/>
      <c r="P129" s="1951"/>
      <c r="Q129" s="1951"/>
      <c r="R129" s="1951"/>
      <c r="S129" s="1951"/>
      <c r="T129" s="1951"/>
      <c r="U129" s="1951"/>
      <c r="V129" s="1951"/>
      <c r="W129" s="1952"/>
      <c r="X129" s="1123"/>
      <c r="Y129" s="1123" t="s">
        <v>979</v>
      </c>
      <c r="Z129" s="1123"/>
      <c r="AA129" s="1950"/>
      <c r="AB129" s="1952"/>
      <c r="AC129" s="1120" t="s">
        <v>702</v>
      </c>
      <c r="AD129" s="1119"/>
      <c r="AE129" s="1119"/>
      <c r="AF129" s="1119"/>
      <c r="AG129" s="1119"/>
      <c r="AH129" s="1119"/>
      <c r="AI129" s="1119"/>
      <c r="AJ129" s="1119"/>
      <c r="AK129" s="1136"/>
      <c r="AL129" s="634"/>
    </row>
    <row r="130" spans="1:38" ht="6" customHeight="1" x14ac:dyDescent="0.35">
      <c r="A130" s="1110"/>
      <c r="B130" s="1118"/>
      <c r="C130" s="1121"/>
      <c r="D130" s="1121"/>
      <c r="E130" s="1121"/>
      <c r="F130" s="1121"/>
      <c r="G130" s="1121"/>
      <c r="H130" s="1121"/>
      <c r="I130" s="1121"/>
      <c r="J130" s="1123"/>
      <c r="K130" s="1123"/>
      <c r="L130" s="1123"/>
      <c r="M130" s="1119"/>
      <c r="N130" s="1123"/>
      <c r="O130" s="1123"/>
      <c r="P130" s="1123"/>
      <c r="Q130" s="1123"/>
      <c r="R130" s="1123"/>
      <c r="S130" s="1123"/>
      <c r="T130" s="1123"/>
      <c r="U130" s="1123"/>
      <c r="V130" s="1123"/>
      <c r="W130" s="1123"/>
      <c r="X130" s="1123"/>
      <c r="Y130" s="1123"/>
      <c r="Z130" s="1123"/>
      <c r="AA130" s="1121"/>
      <c r="AB130" s="1121"/>
      <c r="AC130" s="1120"/>
      <c r="AD130" s="1119"/>
      <c r="AE130" s="1119"/>
      <c r="AF130" s="1119"/>
      <c r="AG130" s="1119"/>
      <c r="AH130" s="1119"/>
      <c r="AI130" s="1119"/>
      <c r="AJ130" s="1119"/>
      <c r="AK130" s="1136"/>
      <c r="AL130" s="634"/>
    </row>
    <row r="131" spans="1:38" ht="18.75" customHeight="1" x14ac:dyDescent="0.35">
      <c r="A131" s="1110"/>
      <c r="B131" s="1118" t="s">
        <v>983</v>
      </c>
      <c r="C131" s="1121"/>
      <c r="D131" s="1121"/>
      <c r="E131" s="1121"/>
      <c r="F131" s="1121"/>
      <c r="G131" s="1121"/>
      <c r="H131" s="1950"/>
      <c r="I131" s="1951"/>
      <c r="J131" s="1951"/>
      <c r="K131" s="1951"/>
      <c r="L131" s="1951"/>
      <c r="M131" s="1951"/>
      <c r="N131" s="1951"/>
      <c r="O131" s="1951"/>
      <c r="P131" s="1951"/>
      <c r="Q131" s="1952"/>
      <c r="R131" s="1123" t="s">
        <v>760</v>
      </c>
      <c r="S131" s="1123"/>
      <c r="T131" s="1123"/>
      <c r="U131" s="1123"/>
      <c r="V131" s="1123"/>
      <c r="W131" s="1123"/>
      <c r="X131" s="1123"/>
      <c r="Y131" s="1123"/>
      <c r="Z131" s="1123"/>
      <c r="AA131" s="1121"/>
      <c r="AB131" s="1121"/>
      <c r="AC131" s="1120"/>
      <c r="AD131" s="1119"/>
      <c r="AE131" s="1119"/>
      <c r="AF131" s="1119"/>
      <c r="AG131" s="1119"/>
      <c r="AH131" s="1119"/>
      <c r="AI131" s="1119"/>
      <c r="AJ131" s="1119"/>
      <c r="AK131" s="1136"/>
      <c r="AL131" s="634"/>
    </row>
    <row r="132" spans="1:38" ht="6" customHeight="1" thickBot="1" x14ac:dyDescent="0.4">
      <c r="A132" s="1110"/>
      <c r="B132" s="1137"/>
      <c r="C132" s="1127"/>
      <c r="D132" s="1127"/>
      <c r="E132" s="1127"/>
      <c r="F132" s="1127"/>
      <c r="G132" s="1127"/>
      <c r="H132" s="1127"/>
      <c r="I132" s="1127"/>
      <c r="J132" s="1129"/>
      <c r="K132" s="1129"/>
      <c r="L132" s="1129"/>
      <c r="M132" s="1128"/>
      <c r="N132" s="1129"/>
      <c r="O132" s="1129"/>
      <c r="P132" s="1129"/>
      <c r="Q132" s="1129"/>
      <c r="R132" s="1129"/>
      <c r="S132" s="1129"/>
      <c r="T132" s="1129"/>
      <c r="U132" s="1129"/>
      <c r="V132" s="1129"/>
      <c r="W132" s="1129"/>
      <c r="X132" s="1129"/>
      <c r="Y132" s="1129"/>
      <c r="Z132" s="1129"/>
      <c r="AA132" s="1128"/>
      <c r="AB132" s="1128"/>
      <c r="AC132" s="1128"/>
      <c r="AD132" s="1128"/>
      <c r="AE132" s="1128"/>
      <c r="AF132" s="1128"/>
      <c r="AG132" s="1128"/>
      <c r="AH132" s="1128"/>
      <c r="AI132" s="1128"/>
      <c r="AJ132" s="1128"/>
      <c r="AK132" s="1144"/>
      <c r="AL132" s="634"/>
    </row>
    <row r="133" spans="1:38" ht="12.75" customHeight="1" x14ac:dyDescent="0.35">
      <c r="A133" s="1110"/>
      <c r="C133" s="1110"/>
      <c r="D133" s="1110"/>
      <c r="E133" s="1110"/>
      <c r="F133" s="1110"/>
      <c r="G133" s="1110"/>
      <c r="H133" s="1110"/>
      <c r="I133" s="1110"/>
      <c r="J133" s="1111"/>
      <c r="K133" s="1111"/>
      <c r="L133" s="1111"/>
      <c r="N133" s="1111"/>
      <c r="O133" s="1111"/>
      <c r="P133" s="1111"/>
      <c r="Q133" s="1111"/>
      <c r="R133" s="1111"/>
      <c r="S133" s="1111"/>
      <c r="T133" s="1111"/>
      <c r="U133" s="1111"/>
      <c r="V133" s="1111"/>
      <c r="W133" s="1111"/>
      <c r="X133" s="1111"/>
      <c r="Y133" s="1111"/>
      <c r="Z133" s="1111"/>
      <c r="AK133" s="1111"/>
      <c r="AL133" s="634"/>
    </row>
    <row r="134" spans="1:38" ht="18.75" customHeight="1" thickBot="1" x14ac:dyDescent="0.4">
      <c r="A134" s="1110"/>
      <c r="C134" s="1110"/>
      <c r="D134" s="1110"/>
      <c r="E134" s="1110"/>
      <c r="F134" s="1110"/>
      <c r="G134" s="1110"/>
      <c r="H134" s="1110"/>
      <c r="I134" s="1110"/>
      <c r="J134" s="1111"/>
      <c r="K134" s="1111"/>
      <c r="L134" s="1111"/>
      <c r="N134" s="1111"/>
      <c r="O134" s="1111"/>
      <c r="P134" s="1111"/>
      <c r="Q134" s="1111"/>
      <c r="R134" s="1111"/>
      <c r="S134" s="1111"/>
      <c r="T134" s="1111"/>
      <c r="U134" s="1111"/>
      <c r="V134" s="1111"/>
      <c r="W134" s="1111"/>
      <c r="X134" s="1111"/>
      <c r="Y134" s="1111"/>
      <c r="Z134" s="1111"/>
      <c r="AK134" s="1111"/>
      <c r="AL134" s="634"/>
    </row>
    <row r="135" spans="1:38" ht="3.75" customHeight="1" x14ac:dyDescent="0.35">
      <c r="A135" s="1110"/>
      <c r="B135" s="1138"/>
      <c r="C135" s="1113"/>
      <c r="D135" s="1113"/>
      <c r="E135" s="1113"/>
      <c r="F135" s="1113"/>
      <c r="G135" s="1113"/>
      <c r="H135" s="1113"/>
      <c r="I135" s="1113"/>
      <c r="J135" s="1114"/>
      <c r="K135" s="1114"/>
      <c r="L135" s="1114"/>
      <c r="M135" s="1115"/>
      <c r="N135" s="1114"/>
      <c r="O135" s="1114"/>
      <c r="P135" s="1114"/>
      <c r="Q135" s="1114"/>
      <c r="R135" s="1114"/>
      <c r="S135" s="1114"/>
      <c r="T135" s="1114"/>
      <c r="U135" s="1114"/>
      <c r="V135" s="1114"/>
      <c r="W135" s="1114"/>
      <c r="X135" s="1114"/>
      <c r="Y135" s="1114"/>
      <c r="Z135" s="1114"/>
      <c r="AA135" s="1115"/>
      <c r="AB135" s="1115"/>
      <c r="AC135" s="1115"/>
      <c r="AD135" s="1115"/>
      <c r="AE135" s="1115"/>
      <c r="AF135" s="1115"/>
      <c r="AG135" s="1115"/>
      <c r="AH135" s="1115"/>
      <c r="AI135" s="1115"/>
      <c r="AJ135" s="1115"/>
      <c r="AK135" s="1116"/>
      <c r="AL135" s="634"/>
    </row>
    <row r="136" spans="1:38" ht="18.75" customHeight="1" x14ac:dyDescent="0.35">
      <c r="A136" s="1110"/>
      <c r="B136" s="1118" t="s">
        <v>767</v>
      </c>
      <c r="C136" s="1119"/>
      <c r="D136" s="1119"/>
      <c r="E136" s="1119"/>
      <c r="F136" s="1119"/>
      <c r="G136" s="1119"/>
      <c r="H136" s="1119"/>
      <c r="I136" s="1119"/>
      <c r="J136" s="1953"/>
      <c r="K136" s="1954"/>
      <c r="L136" s="1954"/>
      <c r="M136" s="1954"/>
      <c r="N136" s="1954"/>
      <c r="O136" s="1954"/>
      <c r="P136" s="1954"/>
      <c r="Q136" s="1954"/>
      <c r="R136" s="1954"/>
      <c r="S136" s="1954"/>
      <c r="T136" s="1935"/>
      <c r="U136" s="1119"/>
      <c r="V136" s="1119"/>
      <c r="W136" s="1119"/>
      <c r="X136" s="1119"/>
      <c r="Y136" s="1119"/>
      <c r="Z136" s="1119"/>
      <c r="AA136" s="1119"/>
      <c r="AB136" s="1119"/>
      <c r="AC136" s="1119"/>
      <c r="AD136" s="1119"/>
      <c r="AE136" s="1119"/>
      <c r="AF136" s="1119"/>
      <c r="AG136" s="1119"/>
      <c r="AH136" s="1119"/>
      <c r="AI136" s="1119"/>
      <c r="AJ136" s="1119"/>
      <c r="AK136" s="1125"/>
    </row>
    <row r="137" spans="1:38" ht="3" customHeight="1" x14ac:dyDescent="0.35">
      <c r="A137" s="1110"/>
      <c r="B137" s="1118"/>
      <c r="C137" s="1119"/>
      <c r="D137" s="1119"/>
      <c r="E137" s="1119"/>
      <c r="F137" s="1119"/>
      <c r="G137" s="1119"/>
      <c r="H137" s="1119"/>
      <c r="I137" s="1119"/>
      <c r="J137" s="1172"/>
      <c r="K137" s="1172"/>
      <c r="L137" s="1172"/>
      <c r="M137" s="1172"/>
      <c r="N137" s="1172"/>
      <c r="O137" s="1172"/>
      <c r="P137" s="1172"/>
      <c r="Q137" s="1172"/>
      <c r="R137" s="1172"/>
      <c r="S137" s="1172"/>
      <c r="T137" s="1172"/>
      <c r="U137" s="1172"/>
      <c r="V137" s="1172"/>
      <c r="W137" s="1172"/>
      <c r="X137" s="1172"/>
      <c r="Y137" s="1172"/>
      <c r="Z137" s="1172"/>
      <c r="AA137" s="1172"/>
      <c r="AB137" s="1172"/>
      <c r="AC137" s="1172"/>
      <c r="AD137" s="1172"/>
      <c r="AE137" s="1172"/>
      <c r="AF137" s="1172"/>
      <c r="AG137" s="1172"/>
      <c r="AH137" s="1119"/>
      <c r="AI137" s="1119"/>
      <c r="AJ137" s="1119"/>
      <c r="AK137" s="1125"/>
    </row>
    <row r="138" spans="1:38" ht="18.75" customHeight="1" x14ac:dyDescent="0.35">
      <c r="A138" s="1110"/>
      <c r="B138" s="1118" t="s">
        <v>768</v>
      </c>
      <c r="C138" s="1119"/>
      <c r="D138" s="1119"/>
      <c r="E138" s="1119"/>
      <c r="F138" s="1119"/>
      <c r="G138" s="1119"/>
      <c r="H138" s="1119"/>
      <c r="I138" s="1119"/>
      <c r="J138" s="1953"/>
      <c r="K138" s="1954"/>
      <c r="L138" s="1954"/>
      <c r="M138" s="1954"/>
      <c r="N138" s="1954"/>
      <c r="O138" s="1954"/>
      <c r="P138" s="1954"/>
      <c r="Q138" s="1954"/>
      <c r="R138" s="1954"/>
      <c r="S138" s="1954"/>
      <c r="T138" s="1935"/>
      <c r="U138" s="1119"/>
      <c r="V138" s="1119"/>
      <c r="W138" s="1119"/>
      <c r="X138" s="1119"/>
      <c r="Y138" s="1119"/>
      <c r="Z138" s="1119"/>
      <c r="AA138" s="1119"/>
      <c r="AB138" s="1119"/>
      <c r="AC138" s="1119"/>
      <c r="AD138" s="1119"/>
      <c r="AE138" s="1119"/>
      <c r="AF138" s="1119"/>
      <c r="AG138" s="1119"/>
      <c r="AH138" s="1119"/>
      <c r="AI138" s="1119"/>
      <c r="AJ138" s="1119"/>
      <c r="AK138" s="1125"/>
    </row>
    <row r="139" spans="1:38" s="204" customFormat="1" ht="3.75" customHeight="1" x14ac:dyDescent="0.35">
      <c r="A139" s="1107"/>
      <c r="B139" s="1173"/>
      <c r="C139" s="1124"/>
      <c r="D139" s="1124"/>
      <c r="E139" s="1124"/>
      <c r="F139" s="1124"/>
      <c r="G139" s="1124"/>
      <c r="H139" s="1124"/>
      <c r="I139" s="1124"/>
      <c r="J139" s="1124"/>
      <c r="K139" s="778"/>
      <c r="L139" s="778"/>
      <c r="M139" s="778"/>
      <c r="N139" s="778"/>
      <c r="O139" s="778"/>
      <c r="P139" s="778"/>
      <c r="Q139" s="778"/>
      <c r="R139" s="778"/>
      <c r="S139" s="778"/>
      <c r="T139" s="778"/>
      <c r="U139" s="1124"/>
      <c r="V139" s="1124"/>
      <c r="W139" s="1124"/>
      <c r="X139" s="1124"/>
      <c r="Y139" s="1124"/>
      <c r="Z139" s="1124"/>
      <c r="AA139" s="1124"/>
      <c r="AB139" s="1124"/>
      <c r="AC139" s="1124"/>
      <c r="AD139" s="1124"/>
      <c r="AE139" s="1124"/>
      <c r="AF139" s="1124"/>
      <c r="AG139" s="1124"/>
      <c r="AH139" s="1124"/>
      <c r="AI139" s="1124"/>
      <c r="AJ139" s="1124"/>
      <c r="AK139" s="1174"/>
    </row>
    <row r="140" spans="1:38" ht="18.75" customHeight="1" x14ac:dyDescent="0.35">
      <c r="A140" s="1110"/>
      <c r="B140" s="1118" t="s">
        <v>769</v>
      </c>
      <c r="C140" s="1119"/>
      <c r="D140" s="1119"/>
      <c r="E140" s="1119"/>
      <c r="F140" s="1119"/>
      <c r="G140" s="1119"/>
      <c r="H140" s="1119"/>
      <c r="I140" s="1119"/>
      <c r="J140" s="1953"/>
      <c r="K140" s="1954"/>
      <c r="L140" s="1954"/>
      <c r="M140" s="1954"/>
      <c r="N140" s="1954"/>
      <c r="O140" s="1954"/>
      <c r="P140" s="1954"/>
      <c r="Q140" s="1954"/>
      <c r="R140" s="1954"/>
      <c r="S140" s="1954"/>
      <c r="T140" s="1935"/>
      <c r="U140" s="1119"/>
      <c r="V140" s="1119"/>
      <c r="W140" s="1119"/>
      <c r="X140" s="1119"/>
      <c r="Y140" s="1119"/>
      <c r="Z140" s="1119"/>
      <c r="AA140" s="1119"/>
      <c r="AB140" s="1119"/>
      <c r="AC140" s="1119"/>
      <c r="AD140" s="1119"/>
      <c r="AE140" s="1119"/>
      <c r="AF140" s="1119"/>
      <c r="AG140" s="1119"/>
      <c r="AH140" s="1119"/>
      <c r="AI140" s="1119"/>
      <c r="AJ140" s="1119"/>
      <c r="AK140" s="1125"/>
    </row>
    <row r="141" spans="1:38" ht="3.75" customHeight="1" thickBot="1" x14ac:dyDescent="0.4">
      <c r="A141" s="1110"/>
      <c r="B141" s="1118"/>
      <c r="C141" s="1119"/>
      <c r="D141" s="1119"/>
      <c r="E141" s="1119"/>
      <c r="F141" s="1119"/>
      <c r="G141" s="1119"/>
      <c r="H141" s="1119"/>
      <c r="I141" s="1119"/>
      <c r="J141" s="1119"/>
      <c r="K141" s="1119"/>
      <c r="L141" s="1119"/>
      <c r="M141" s="1119"/>
      <c r="N141" s="1119"/>
      <c r="O141" s="1119"/>
      <c r="P141" s="1119"/>
      <c r="Q141" s="1119"/>
      <c r="R141" s="1119"/>
      <c r="S141" s="1119"/>
      <c r="T141" s="1119"/>
      <c r="U141" s="1119"/>
      <c r="V141" s="1119"/>
      <c r="W141" s="1119"/>
      <c r="X141" s="1119"/>
      <c r="Y141" s="1119"/>
      <c r="Z141" s="1119"/>
      <c r="AA141" s="1119"/>
      <c r="AB141" s="1119"/>
      <c r="AC141" s="1119"/>
      <c r="AD141" s="1119"/>
      <c r="AE141" s="1119"/>
      <c r="AF141" s="1119"/>
      <c r="AG141" s="1119"/>
      <c r="AH141" s="1119"/>
      <c r="AI141" s="1124"/>
      <c r="AJ141" s="1124"/>
      <c r="AK141" s="1125"/>
    </row>
    <row r="142" spans="1:38" ht="3.75" customHeight="1" x14ac:dyDescent="0.35">
      <c r="A142" s="1110"/>
      <c r="B142" s="1175"/>
      <c r="C142" s="1176"/>
      <c r="D142" s="1176"/>
      <c r="E142" s="1176"/>
      <c r="F142" s="1176"/>
      <c r="G142" s="1176"/>
      <c r="H142" s="1176"/>
      <c r="I142" s="1176"/>
      <c r="J142" s="1176"/>
      <c r="K142" s="1176"/>
      <c r="L142" s="1176"/>
      <c r="M142" s="1176"/>
      <c r="N142" s="1176"/>
      <c r="O142" s="1176"/>
      <c r="P142" s="1176"/>
      <c r="Q142" s="1176"/>
      <c r="R142" s="1176"/>
      <c r="S142" s="1176"/>
      <c r="T142" s="1177"/>
      <c r="U142" s="1176"/>
      <c r="V142" s="1176"/>
      <c r="W142" s="1176"/>
      <c r="X142" s="1176"/>
      <c r="Y142" s="1176"/>
      <c r="Z142" s="1176"/>
      <c r="AA142" s="1176"/>
      <c r="AB142" s="1178"/>
      <c r="AC142" s="1177"/>
      <c r="AD142" s="1176"/>
      <c r="AE142" s="1176"/>
      <c r="AF142" s="1176"/>
      <c r="AG142" s="1176"/>
      <c r="AH142" s="1176"/>
      <c r="AI142" s="1179"/>
      <c r="AJ142" s="1179"/>
      <c r="AK142" s="1180"/>
    </row>
    <row r="143" spans="1:38" ht="18.75" customHeight="1" x14ac:dyDescent="0.35">
      <c r="A143" s="1110"/>
      <c r="B143" s="1118"/>
      <c r="C143" s="1119"/>
      <c r="D143" s="1119"/>
      <c r="E143" s="1119"/>
      <c r="F143" s="1119"/>
      <c r="G143" s="1119"/>
      <c r="H143" s="1119"/>
      <c r="I143" s="1119"/>
      <c r="J143" s="1119"/>
      <c r="K143" s="1949" t="s">
        <v>770</v>
      </c>
      <c r="L143" s="1949"/>
      <c r="M143" s="1949"/>
      <c r="N143" s="1949"/>
      <c r="O143" s="1949"/>
      <c r="P143" s="1949"/>
      <c r="Q143" s="1949"/>
      <c r="R143" s="1949"/>
      <c r="S143" s="1181"/>
      <c r="T143" s="1948" t="s">
        <v>771</v>
      </c>
      <c r="U143" s="1949"/>
      <c r="V143" s="1949"/>
      <c r="W143" s="1949"/>
      <c r="X143" s="1949"/>
      <c r="Y143" s="1949"/>
      <c r="Z143" s="1949"/>
      <c r="AA143" s="1949"/>
      <c r="AB143" s="1182"/>
      <c r="AC143" s="1948" t="s">
        <v>772</v>
      </c>
      <c r="AD143" s="1949"/>
      <c r="AE143" s="1949"/>
      <c r="AF143" s="1949"/>
      <c r="AG143" s="1949"/>
      <c r="AH143" s="1949"/>
      <c r="AI143" s="1949"/>
      <c r="AJ143" s="1949"/>
      <c r="AK143" s="1125"/>
    </row>
    <row r="144" spans="1:38" ht="3.75" customHeight="1" x14ac:dyDescent="0.35">
      <c r="A144" s="1110"/>
      <c r="B144" s="1118"/>
      <c r="C144" s="1119"/>
      <c r="D144" s="1119"/>
      <c r="E144" s="1119"/>
      <c r="F144" s="1119"/>
      <c r="G144" s="1119"/>
      <c r="H144" s="1119"/>
      <c r="I144" s="1119"/>
      <c r="J144" s="1119"/>
      <c r="K144" s="1124"/>
      <c r="L144" s="1124"/>
      <c r="M144" s="1124"/>
      <c r="N144" s="1124"/>
      <c r="O144" s="1124"/>
      <c r="P144" s="1124"/>
      <c r="Q144" s="1124"/>
      <c r="R144" s="1124"/>
      <c r="S144" s="1124"/>
      <c r="T144" s="1183"/>
      <c r="U144" s="1124"/>
      <c r="V144" s="1124"/>
      <c r="W144" s="1124"/>
      <c r="X144" s="1124"/>
      <c r="Y144" s="1124"/>
      <c r="Z144" s="1124"/>
      <c r="AA144" s="1124"/>
      <c r="AB144" s="1184"/>
      <c r="AC144" s="1183"/>
      <c r="AD144" s="1124"/>
      <c r="AE144" s="1124"/>
      <c r="AF144" s="1124"/>
      <c r="AG144" s="1124"/>
      <c r="AH144" s="1124"/>
      <c r="AI144" s="1124"/>
      <c r="AJ144" s="1119"/>
      <c r="AK144" s="1125"/>
    </row>
    <row r="145" spans="1:40" ht="18.75" customHeight="1" x14ac:dyDescent="0.35">
      <c r="A145" s="1110"/>
      <c r="B145" s="1118" t="s">
        <v>1960</v>
      </c>
      <c r="C145" s="1119"/>
      <c r="D145" s="1119"/>
      <c r="E145" s="1119"/>
      <c r="F145" s="1119"/>
      <c r="G145" s="1119"/>
      <c r="H145" s="1119"/>
      <c r="I145" s="1119"/>
      <c r="J145" s="1119"/>
      <c r="K145" s="1917"/>
      <c r="L145" s="1934"/>
      <c r="M145" s="1934"/>
      <c r="N145" s="1934"/>
      <c r="O145" s="1934"/>
      <c r="P145" s="1934"/>
      <c r="Q145" s="1934"/>
      <c r="R145" s="1918"/>
      <c r="S145" s="1124"/>
      <c r="T145" s="1947"/>
      <c r="U145" s="1934"/>
      <c r="V145" s="1934"/>
      <c r="W145" s="1934"/>
      <c r="X145" s="1934"/>
      <c r="Y145" s="1934"/>
      <c r="Z145" s="1934"/>
      <c r="AA145" s="1918"/>
      <c r="AB145" s="1184"/>
      <c r="AC145" s="1947"/>
      <c r="AD145" s="1934"/>
      <c r="AE145" s="1934"/>
      <c r="AF145" s="1934"/>
      <c r="AG145" s="1934"/>
      <c r="AH145" s="1934"/>
      <c r="AI145" s="1934"/>
      <c r="AJ145" s="1918"/>
      <c r="AK145" s="1125"/>
    </row>
    <row r="146" spans="1:40" ht="3.75" customHeight="1" x14ac:dyDescent="0.35">
      <c r="A146" s="1110"/>
      <c r="B146" s="1118"/>
      <c r="C146" s="1119"/>
      <c r="D146" s="1119"/>
      <c r="E146" s="1119"/>
      <c r="F146" s="1119"/>
      <c r="G146" s="1119"/>
      <c r="H146" s="1119"/>
      <c r="I146" s="1119"/>
      <c r="J146" s="1119"/>
      <c r="K146" s="1124"/>
      <c r="L146" s="1124"/>
      <c r="M146" s="1124"/>
      <c r="N146" s="1124"/>
      <c r="O146" s="1124"/>
      <c r="P146" s="1124"/>
      <c r="Q146" s="1124"/>
      <c r="R146" s="1124"/>
      <c r="S146" s="1124"/>
      <c r="T146" s="1183"/>
      <c r="U146" s="1124"/>
      <c r="V146" s="1124"/>
      <c r="W146" s="1124"/>
      <c r="X146" s="1124"/>
      <c r="Y146" s="1124"/>
      <c r="Z146" s="1124"/>
      <c r="AA146" s="1124"/>
      <c r="AB146" s="1184"/>
      <c r="AC146" s="1183"/>
      <c r="AD146" s="1124"/>
      <c r="AE146" s="1124"/>
      <c r="AF146" s="1124"/>
      <c r="AG146" s="1124"/>
      <c r="AH146" s="1124"/>
      <c r="AI146" s="1124"/>
      <c r="AJ146" s="1119"/>
      <c r="AK146" s="1125"/>
    </row>
    <row r="147" spans="1:40" ht="18.75" customHeight="1" x14ac:dyDescent="0.35">
      <c r="A147" s="1110"/>
      <c r="B147" s="1118" t="s">
        <v>773</v>
      </c>
      <c r="C147" s="1119"/>
      <c r="D147" s="1119"/>
      <c r="E147" s="1119"/>
      <c r="F147" s="1119"/>
      <c r="G147" s="1119"/>
      <c r="H147" s="1119"/>
      <c r="I147" s="1119"/>
      <c r="J147" s="1119"/>
      <c r="K147" s="1917"/>
      <c r="L147" s="1934"/>
      <c r="M147" s="1934"/>
      <c r="N147" s="1934"/>
      <c r="O147" s="1934"/>
      <c r="P147" s="1934"/>
      <c r="Q147" s="1934"/>
      <c r="R147" s="1918"/>
      <c r="S147" s="1124"/>
      <c r="T147" s="1947"/>
      <c r="U147" s="1934"/>
      <c r="V147" s="1934"/>
      <c r="W147" s="1934"/>
      <c r="X147" s="1934"/>
      <c r="Y147" s="1934"/>
      <c r="Z147" s="1934"/>
      <c r="AA147" s="1918"/>
      <c r="AB147" s="1184"/>
      <c r="AC147" s="1947"/>
      <c r="AD147" s="1934"/>
      <c r="AE147" s="1934"/>
      <c r="AF147" s="1934"/>
      <c r="AG147" s="1934"/>
      <c r="AH147" s="1934"/>
      <c r="AI147" s="1934"/>
      <c r="AJ147" s="1918"/>
      <c r="AK147" s="1125"/>
    </row>
    <row r="148" spans="1:40" ht="3.75" customHeight="1" x14ac:dyDescent="0.35">
      <c r="A148" s="1110"/>
      <c r="B148" s="1118"/>
      <c r="C148" s="1119"/>
      <c r="D148" s="1119"/>
      <c r="E148" s="1119"/>
      <c r="F148" s="1119"/>
      <c r="G148" s="1119"/>
      <c r="H148" s="1119"/>
      <c r="I148" s="1119"/>
      <c r="J148" s="1119"/>
      <c r="K148" s="1124"/>
      <c r="L148" s="1124"/>
      <c r="M148" s="1124"/>
      <c r="N148" s="1124"/>
      <c r="O148" s="1124"/>
      <c r="P148" s="1124"/>
      <c r="Q148" s="1124"/>
      <c r="R148" s="1124"/>
      <c r="S148" s="1124"/>
      <c r="T148" s="1183"/>
      <c r="U148" s="1124"/>
      <c r="V148" s="1124"/>
      <c r="W148" s="1124"/>
      <c r="X148" s="1124"/>
      <c r="Y148" s="1124"/>
      <c r="Z148" s="1124"/>
      <c r="AA148" s="1124"/>
      <c r="AB148" s="1184"/>
      <c r="AC148" s="1183"/>
      <c r="AD148" s="1124"/>
      <c r="AE148" s="1124"/>
      <c r="AF148" s="1124"/>
      <c r="AG148" s="1124"/>
      <c r="AH148" s="1124"/>
      <c r="AI148" s="1124"/>
      <c r="AJ148" s="1119"/>
      <c r="AK148" s="1125"/>
    </row>
    <row r="149" spans="1:40" ht="18.75" customHeight="1" x14ac:dyDescent="0.35">
      <c r="A149" s="1110"/>
      <c r="B149" s="1118" t="s">
        <v>774</v>
      </c>
      <c r="C149" s="1119"/>
      <c r="D149" s="1119"/>
      <c r="E149" s="1119"/>
      <c r="F149" s="1119"/>
      <c r="G149" s="1119"/>
      <c r="H149" s="1119"/>
      <c r="I149" s="1119"/>
      <c r="J149" s="1119"/>
      <c r="K149" s="1943"/>
      <c r="L149" s="1944"/>
      <c r="M149" s="1944"/>
      <c r="N149" s="1944"/>
      <c r="O149" s="1945"/>
      <c r="P149" s="1185" t="s">
        <v>1961</v>
      </c>
      <c r="Q149" s="1186"/>
      <c r="R149" s="1187"/>
      <c r="S149" s="1124"/>
      <c r="T149" s="1946"/>
      <c r="U149" s="1944"/>
      <c r="V149" s="1944"/>
      <c r="W149" s="1944"/>
      <c r="X149" s="1945"/>
      <c r="Y149" s="1185" t="s">
        <v>1961</v>
      </c>
      <c r="Z149" s="1141"/>
      <c r="AA149" s="1141"/>
      <c r="AB149" s="1184"/>
      <c r="AC149" s="1946"/>
      <c r="AD149" s="1944"/>
      <c r="AE149" s="1944"/>
      <c r="AF149" s="1944"/>
      <c r="AG149" s="1945"/>
      <c r="AH149" s="1185" t="s">
        <v>1961</v>
      </c>
      <c r="AI149" s="1141"/>
      <c r="AJ149" s="1141"/>
      <c r="AK149" s="1174"/>
      <c r="AN149" s="204"/>
    </row>
    <row r="150" spans="1:40" ht="3.75" customHeight="1" x14ac:dyDescent="0.35">
      <c r="A150" s="1110"/>
      <c r="B150" s="1118"/>
      <c r="C150" s="1119"/>
      <c r="D150" s="1119"/>
      <c r="E150" s="1119"/>
      <c r="F150" s="1119"/>
      <c r="G150" s="1119"/>
      <c r="H150" s="1119"/>
      <c r="I150" s="1119"/>
      <c r="J150" s="1119"/>
      <c r="K150" s="1124"/>
      <c r="L150" s="1124"/>
      <c r="M150" s="1124"/>
      <c r="N150" s="1124"/>
      <c r="O150" s="1124"/>
      <c r="P150" s="1124"/>
      <c r="Q150" s="1124"/>
      <c r="R150" s="1124"/>
      <c r="S150" s="1124"/>
      <c r="T150" s="1183"/>
      <c r="U150" s="1124"/>
      <c r="V150" s="1124"/>
      <c r="W150" s="1124"/>
      <c r="X150" s="1124"/>
      <c r="Y150" s="1124"/>
      <c r="Z150" s="1124"/>
      <c r="AA150" s="1124"/>
      <c r="AB150" s="1184"/>
      <c r="AC150" s="1183"/>
      <c r="AD150" s="1124"/>
      <c r="AE150" s="1124"/>
      <c r="AF150" s="1124"/>
      <c r="AG150" s="1124"/>
      <c r="AH150" s="1124"/>
      <c r="AI150" s="1124"/>
      <c r="AJ150" s="1119"/>
      <c r="AK150" s="1174"/>
    </row>
    <row r="151" spans="1:40" ht="18.75" customHeight="1" x14ac:dyDescent="0.35">
      <c r="A151" s="1110"/>
      <c r="B151" s="1118" t="s">
        <v>775</v>
      </c>
      <c r="C151" s="1121"/>
      <c r="D151" s="1121"/>
      <c r="E151" s="1121"/>
      <c r="F151" s="1121"/>
      <c r="G151" s="1121"/>
      <c r="H151" s="1121"/>
      <c r="I151" s="1121"/>
      <c r="J151" s="1123"/>
      <c r="K151" s="1943"/>
      <c r="L151" s="1944"/>
      <c r="M151" s="1944"/>
      <c r="N151" s="1944"/>
      <c r="O151" s="1945"/>
      <c r="P151" s="1185" t="s">
        <v>1961</v>
      </c>
      <c r="Q151" s="1141"/>
      <c r="R151" s="1141"/>
      <c r="S151" s="1145"/>
      <c r="T151" s="1946"/>
      <c r="U151" s="1944"/>
      <c r="V151" s="1944"/>
      <c r="W151" s="1944"/>
      <c r="X151" s="1945"/>
      <c r="Y151" s="1185" t="s">
        <v>1961</v>
      </c>
      <c r="Z151" s="1141"/>
      <c r="AA151" s="1141"/>
      <c r="AB151" s="1188"/>
      <c r="AC151" s="1946"/>
      <c r="AD151" s="1944"/>
      <c r="AE151" s="1944"/>
      <c r="AF151" s="1944"/>
      <c r="AG151" s="1945"/>
      <c r="AH151" s="1185" t="s">
        <v>1961</v>
      </c>
      <c r="AI151" s="1141"/>
      <c r="AJ151" s="1141"/>
      <c r="AK151" s="1189"/>
    </row>
    <row r="152" spans="1:40" ht="3.75" customHeight="1" x14ac:dyDescent="0.35">
      <c r="A152" s="1110"/>
      <c r="B152" s="1118"/>
      <c r="C152" s="1121"/>
      <c r="D152" s="1121"/>
      <c r="E152" s="1121"/>
      <c r="F152" s="1121"/>
      <c r="G152" s="1121"/>
      <c r="H152" s="1121"/>
      <c r="I152" s="1121"/>
      <c r="J152" s="1123"/>
      <c r="K152" s="1142"/>
      <c r="L152" s="1124"/>
      <c r="M152" s="1142"/>
      <c r="N152" s="1142"/>
      <c r="O152" s="1142"/>
      <c r="P152" s="1142"/>
      <c r="Q152" s="1142"/>
      <c r="R152" s="1142"/>
      <c r="S152" s="1142"/>
      <c r="T152" s="1190"/>
      <c r="U152" s="1142"/>
      <c r="V152" s="1142"/>
      <c r="W152" s="1142"/>
      <c r="X152" s="1142"/>
      <c r="Y152" s="1142"/>
      <c r="Z152" s="1124"/>
      <c r="AA152" s="1124"/>
      <c r="AB152" s="1184"/>
      <c r="AC152" s="1183"/>
      <c r="AD152" s="1124"/>
      <c r="AE152" s="1124"/>
      <c r="AF152" s="1124"/>
      <c r="AG152" s="1124"/>
      <c r="AH152" s="1124"/>
      <c r="AI152" s="1124"/>
      <c r="AJ152" s="1123"/>
      <c r="AK152" s="1136"/>
    </row>
    <row r="153" spans="1:40" ht="21" customHeight="1" x14ac:dyDescent="0.35">
      <c r="A153" s="1110"/>
      <c r="B153" s="1118" t="s">
        <v>776</v>
      </c>
      <c r="C153" s="1121"/>
      <c r="D153" s="1121"/>
      <c r="E153" s="1121"/>
      <c r="F153" s="1121"/>
      <c r="G153" s="1121"/>
      <c r="H153" s="1121"/>
      <c r="I153" s="1121"/>
      <c r="J153" s="1123"/>
      <c r="K153" s="1917"/>
      <c r="L153" s="1934"/>
      <c r="M153" s="1934"/>
      <c r="N153" s="1934"/>
      <c r="O153" s="1934"/>
      <c r="P153" s="1934"/>
      <c r="Q153" s="1934"/>
      <c r="R153" s="1918"/>
      <c r="S153" s="1142"/>
      <c r="T153" s="1947"/>
      <c r="U153" s="1934"/>
      <c r="V153" s="1934"/>
      <c r="W153" s="1934"/>
      <c r="X153" s="1934"/>
      <c r="Y153" s="1934"/>
      <c r="Z153" s="1934"/>
      <c r="AA153" s="1918"/>
      <c r="AB153" s="1184"/>
      <c r="AC153" s="1947"/>
      <c r="AD153" s="1934"/>
      <c r="AE153" s="1934"/>
      <c r="AF153" s="1934"/>
      <c r="AG153" s="1934"/>
      <c r="AH153" s="1934"/>
      <c r="AI153" s="1934"/>
      <c r="AJ153" s="1918"/>
      <c r="AK153" s="1136"/>
    </row>
    <row r="154" spans="1:40" s="262" customFormat="1" ht="3.75" customHeight="1" x14ac:dyDescent="0.35">
      <c r="A154" s="1191"/>
      <c r="B154" s="1118"/>
      <c r="C154" s="1121"/>
      <c r="D154" s="1121"/>
      <c r="E154" s="1121"/>
      <c r="F154" s="1121"/>
      <c r="G154" s="1121"/>
      <c r="H154" s="1121"/>
      <c r="I154" s="1121"/>
      <c r="J154" s="1123"/>
      <c r="K154" s="1192"/>
      <c r="L154" s="1193"/>
      <c r="M154" s="1124"/>
      <c r="N154" s="1142"/>
      <c r="O154" s="1142"/>
      <c r="P154" s="1193"/>
      <c r="Q154" s="1145"/>
      <c r="R154" s="1142"/>
      <c r="S154" s="1142"/>
      <c r="T154" s="1190"/>
      <c r="U154" s="1193"/>
      <c r="V154" s="1124"/>
      <c r="W154" s="1142"/>
      <c r="X154" s="1142"/>
      <c r="Y154" s="1193"/>
      <c r="Z154" s="1145"/>
      <c r="AA154" s="1124"/>
      <c r="AB154" s="1184"/>
      <c r="AC154" s="1183"/>
      <c r="AD154" s="1193"/>
      <c r="AE154" s="1124"/>
      <c r="AF154" s="1142"/>
      <c r="AG154" s="1142"/>
      <c r="AH154" s="1193"/>
      <c r="AI154" s="1145"/>
      <c r="AJ154" s="1123"/>
      <c r="AK154" s="1136"/>
    </row>
    <row r="155" spans="1:40" s="262" customFormat="1" ht="23.25" customHeight="1" x14ac:dyDescent="0.35">
      <c r="A155" s="1191"/>
      <c r="B155" s="1939" t="s">
        <v>1087</v>
      </c>
      <c r="C155" s="1942"/>
      <c r="D155" s="1942"/>
      <c r="E155" s="1942"/>
      <c r="F155" s="1942"/>
      <c r="G155" s="1942"/>
      <c r="H155" s="1942"/>
      <c r="I155" s="1942"/>
      <c r="J155" s="1942"/>
      <c r="K155" s="1942"/>
      <c r="L155" s="1942"/>
      <c r="M155" s="1122"/>
      <c r="N155" s="1124" t="s">
        <v>85</v>
      </c>
      <c r="O155" s="1142"/>
      <c r="P155" s="1142"/>
      <c r="Q155" s="1122"/>
      <c r="R155" s="1145" t="s">
        <v>87</v>
      </c>
      <c r="S155" s="1142"/>
      <c r="T155" s="1190"/>
      <c r="U155" s="1193"/>
      <c r="V155" s="1122"/>
      <c r="W155" s="1124" t="s">
        <v>85</v>
      </c>
      <c r="X155" s="1142"/>
      <c r="Y155" s="1142"/>
      <c r="Z155" s="1122"/>
      <c r="AA155" s="1145" t="s">
        <v>87</v>
      </c>
      <c r="AB155" s="1184"/>
      <c r="AC155" s="1183"/>
      <c r="AD155" s="1193"/>
      <c r="AE155" s="1122"/>
      <c r="AF155" s="1124" t="s">
        <v>85</v>
      </c>
      <c r="AG155" s="1142"/>
      <c r="AH155" s="1142"/>
      <c r="AI155" s="1122"/>
      <c r="AJ155" s="1145" t="s">
        <v>87</v>
      </c>
      <c r="AK155" s="1136"/>
    </row>
    <row r="156" spans="1:40" s="262" customFormat="1" ht="2.25" customHeight="1" x14ac:dyDescent="0.35">
      <c r="A156" s="1191"/>
      <c r="B156" s="1118"/>
      <c r="C156" s="1121"/>
      <c r="D156" s="1121"/>
      <c r="E156" s="1121"/>
      <c r="F156" s="1121"/>
      <c r="G156" s="1121"/>
      <c r="H156" s="1121"/>
      <c r="I156" s="1121"/>
      <c r="J156" s="1123"/>
      <c r="K156" s="1192"/>
      <c r="L156" s="1193"/>
      <c r="M156" s="1124"/>
      <c r="N156" s="1142"/>
      <c r="O156" s="1142"/>
      <c r="P156" s="1193"/>
      <c r="Q156" s="1145"/>
      <c r="R156" s="1142"/>
      <c r="S156" s="1142"/>
      <c r="T156" s="1190"/>
      <c r="U156" s="1193"/>
      <c r="V156" s="1124"/>
      <c r="W156" s="1142"/>
      <c r="X156" s="1142"/>
      <c r="Y156" s="1193"/>
      <c r="Z156" s="1145"/>
      <c r="AA156" s="1124"/>
      <c r="AB156" s="1184"/>
      <c r="AC156" s="1183"/>
      <c r="AD156" s="1193"/>
      <c r="AE156" s="1124"/>
      <c r="AF156" s="1142"/>
      <c r="AG156" s="1142"/>
      <c r="AH156" s="1193"/>
      <c r="AI156" s="1145"/>
      <c r="AJ156" s="1123"/>
      <c r="AK156" s="1136"/>
    </row>
    <row r="157" spans="1:40" s="262" customFormat="1" ht="29.25" customHeight="1" x14ac:dyDescent="0.35">
      <c r="A157" s="1191"/>
      <c r="B157" s="1939" t="s">
        <v>1086</v>
      </c>
      <c r="C157" s="1942"/>
      <c r="D157" s="1942"/>
      <c r="E157" s="1942"/>
      <c r="F157" s="1942"/>
      <c r="G157" s="1942"/>
      <c r="H157" s="1942"/>
      <c r="I157" s="1942"/>
      <c r="J157" s="1942"/>
      <c r="K157" s="1943"/>
      <c r="L157" s="1944"/>
      <c r="M157" s="1944"/>
      <c r="N157" s="1944"/>
      <c r="O157" s="1945"/>
      <c r="P157" s="1185" t="s">
        <v>637</v>
      </c>
      <c r="Q157" s="1145"/>
      <c r="R157" s="1142"/>
      <c r="S157" s="1142"/>
      <c r="T157" s="1946"/>
      <c r="U157" s="1944"/>
      <c r="V157" s="1944"/>
      <c r="W157" s="1944"/>
      <c r="X157" s="1945"/>
      <c r="Y157" s="1185" t="s">
        <v>637</v>
      </c>
      <c r="Z157" s="1145"/>
      <c r="AA157" s="1124"/>
      <c r="AB157" s="1184"/>
      <c r="AC157" s="1946"/>
      <c r="AD157" s="1944"/>
      <c r="AE157" s="1944"/>
      <c r="AF157" s="1944"/>
      <c r="AG157" s="1945"/>
      <c r="AH157" s="1185" t="s">
        <v>637</v>
      </c>
      <c r="AI157" s="1145"/>
      <c r="AJ157" s="1123"/>
      <c r="AK157" s="1136"/>
    </row>
    <row r="158" spans="1:40" s="262" customFormat="1" ht="2.25" hidden="1" customHeight="1" x14ac:dyDescent="0.35">
      <c r="A158" s="1191"/>
      <c r="B158" s="1194"/>
      <c r="C158" s="1195"/>
      <c r="D158" s="1195"/>
      <c r="E158" s="1195"/>
      <c r="F158" s="1195"/>
      <c r="G158" s="1195"/>
      <c r="H158" s="1195"/>
      <c r="I158" s="1195"/>
      <c r="J158" s="1195"/>
      <c r="K158" s="1196"/>
      <c r="L158" s="1196"/>
      <c r="M158" s="1196"/>
      <c r="N158" s="1196"/>
      <c r="O158" s="1196"/>
      <c r="P158" s="1185"/>
      <c r="Q158" s="1145"/>
      <c r="R158" s="1142"/>
      <c r="S158" s="1142"/>
      <c r="T158" s="1190"/>
      <c r="U158" s="1193"/>
      <c r="V158" s="1124"/>
      <c r="W158" s="1142"/>
      <c r="X158" s="1142"/>
      <c r="Y158" s="1193"/>
      <c r="Z158" s="1145"/>
      <c r="AA158" s="1124"/>
      <c r="AB158" s="1184"/>
      <c r="AC158" s="1183"/>
      <c r="AD158" s="1193"/>
      <c r="AE158" s="1124"/>
      <c r="AF158" s="1142"/>
      <c r="AG158" s="1142"/>
      <c r="AH158" s="1193"/>
      <c r="AI158" s="1145"/>
      <c r="AJ158" s="1123"/>
      <c r="AK158" s="1136"/>
    </row>
    <row r="159" spans="1:40" s="262" customFormat="1" ht="30" customHeight="1" x14ac:dyDescent="0.35">
      <c r="A159" s="1191"/>
      <c r="B159" s="1939" t="s">
        <v>1962</v>
      </c>
      <c r="C159" s="1940"/>
      <c r="D159" s="1940"/>
      <c r="E159" s="1940"/>
      <c r="F159" s="1940"/>
      <c r="G159" s="1940"/>
      <c r="H159" s="1940"/>
      <c r="I159" s="1940"/>
      <c r="J159" s="1940"/>
      <c r="K159" s="1941"/>
      <c r="L159" s="1142"/>
      <c r="M159" s="1122"/>
      <c r="N159" s="1124" t="s">
        <v>85</v>
      </c>
      <c r="O159" s="1142"/>
      <c r="P159" s="1142"/>
      <c r="Q159" s="1122"/>
      <c r="R159" s="1145" t="s">
        <v>87</v>
      </c>
      <c r="S159" s="1142"/>
      <c r="T159" s="1190"/>
      <c r="U159" s="1193"/>
      <c r="V159" s="1122"/>
      <c r="W159" s="1124" t="s">
        <v>85</v>
      </c>
      <c r="X159" s="1142"/>
      <c r="Y159" s="1142"/>
      <c r="Z159" s="1122"/>
      <c r="AA159" s="1145" t="s">
        <v>87</v>
      </c>
      <c r="AB159" s="1184"/>
      <c r="AC159" s="1183"/>
      <c r="AD159" s="1193"/>
      <c r="AE159" s="1122"/>
      <c r="AF159" s="1124" t="s">
        <v>85</v>
      </c>
      <c r="AG159" s="1142"/>
      <c r="AH159" s="1197"/>
      <c r="AI159" s="1122"/>
      <c r="AJ159" s="1198" t="s">
        <v>87</v>
      </c>
      <c r="AK159" s="1136"/>
    </row>
    <row r="160" spans="1:40" s="262" customFormat="1" ht="3.75" customHeight="1" x14ac:dyDescent="0.35">
      <c r="A160" s="1191"/>
      <c r="B160" s="1118"/>
      <c r="C160" s="1121"/>
      <c r="D160" s="1121"/>
      <c r="E160" s="1121"/>
      <c r="F160" s="1121"/>
      <c r="G160" s="1121"/>
      <c r="H160" s="1121"/>
      <c r="I160" s="1121"/>
      <c r="J160" s="1123"/>
      <c r="K160" s="1192"/>
      <c r="L160" s="1193"/>
      <c r="M160" s="1124"/>
      <c r="N160" s="1142"/>
      <c r="O160" s="1142"/>
      <c r="P160" s="1193"/>
      <c r="Q160" s="1145"/>
      <c r="R160" s="1142"/>
      <c r="S160" s="1142"/>
      <c r="T160" s="1190"/>
      <c r="U160" s="1193"/>
      <c r="V160" s="1124"/>
      <c r="W160" s="1142"/>
      <c r="X160" s="1142"/>
      <c r="Y160" s="1193"/>
      <c r="Z160" s="1145"/>
      <c r="AA160" s="1124"/>
      <c r="AB160" s="1184"/>
      <c r="AC160" s="1183"/>
      <c r="AD160" s="1193"/>
      <c r="AE160" s="1124"/>
      <c r="AF160" s="1142"/>
      <c r="AG160" s="1142"/>
      <c r="AH160" s="1193"/>
      <c r="AI160" s="1145"/>
      <c r="AJ160" s="1123"/>
      <c r="AK160" s="1136"/>
    </row>
    <row r="161" spans="1:38" s="262" customFormat="1" ht="25.5" customHeight="1" x14ac:dyDescent="0.35">
      <c r="A161" s="1191"/>
      <c r="B161" s="1939" t="s">
        <v>1088</v>
      </c>
      <c r="C161" s="1942"/>
      <c r="D161" s="1942"/>
      <c r="E161" s="1942"/>
      <c r="F161" s="1942"/>
      <c r="G161" s="1942"/>
      <c r="H161" s="1942"/>
      <c r="I161" s="1942"/>
      <c r="J161" s="1942"/>
      <c r="K161" s="1942"/>
      <c r="L161" s="1942"/>
      <c r="M161" s="1122"/>
      <c r="N161" s="1124" t="s">
        <v>85</v>
      </c>
      <c r="O161" s="1142"/>
      <c r="P161" s="1142"/>
      <c r="Q161" s="1122"/>
      <c r="R161" s="1145" t="s">
        <v>87</v>
      </c>
      <c r="S161" s="1142"/>
      <c r="T161" s="1190"/>
      <c r="U161" s="1193"/>
      <c r="V161" s="1122"/>
      <c r="W161" s="1124" t="s">
        <v>85</v>
      </c>
      <c r="X161" s="1142"/>
      <c r="Y161" s="1142"/>
      <c r="Z161" s="1122"/>
      <c r="AA161" s="1145" t="s">
        <v>87</v>
      </c>
      <c r="AB161" s="1184"/>
      <c r="AC161" s="1183"/>
      <c r="AD161" s="1193"/>
      <c r="AE161" s="1122"/>
      <c r="AF161" s="1124" t="s">
        <v>85</v>
      </c>
      <c r="AG161" s="1142"/>
      <c r="AH161" s="1142"/>
      <c r="AI161" s="1122"/>
      <c r="AJ161" s="1145" t="s">
        <v>87</v>
      </c>
      <c r="AK161" s="1136"/>
    </row>
    <row r="162" spans="1:38" s="262" customFormat="1" ht="1.5" customHeight="1" x14ac:dyDescent="0.35">
      <c r="A162" s="1191"/>
      <c r="B162" s="1194"/>
      <c r="C162" s="1195"/>
      <c r="D162" s="1195"/>
      <c r="E162" s="1195"/>
      <c r="F162" s="1195"/>
      <c r="G162" s="1195"/>
      <c r="H162" s="1195"/>
      <c r="I162" s="1195"/>
      <c r="J162" s="1195"/>
      <c r="K162" s="1195"/>
      <c r="L162" s="1195"/>
      <c r="M162" s="1193"/>
      <c r="N162" s="1124"/>
      <c r="O162" s="1142"/>
      <c r="P162" s="1142"/>
      <c r="Q162" s="1193"/>
      <c r="R162" s="1145"/>
      <c r="S162" s="1142"/>
      <c r="T162" s="1190"/>
      <c r="U162" s="1193"/>
      <c r="V162" s="1124"/>
      <c r="W162" s="1142"/>
      <c r="X162" s="1142"/>
      <c r="Y162" s="1193"/>
      <c r="Z162" s="1145"/>
      <c r="AA162" s="1124"/>
      <c r="AB162" s="1184"/>
      <c r="AC162" s="1183"/>
      <c r="AD162" s="1193"/>
      <c r="AE162" s="1124"/>
      <c r="AF162" s="1142"/>
      <c r="AG162" s="1142"/>
      <c r="AH162" s="1193"/>
      <c r="AI162" s="1145"/>
      <c r="AJ162" s="1123"/>
      <c r="AK162" s="1136"/>
    </row>
    <row r="163" spans="1:38" s="262" customFormat="1" ht="27" customHeight="1" x14ac:dyDescent="0.35">
      <c r="A163" s="1191"/>
      <c r="B163" s="1939" t="s">
        <v>1089</v>
      </c>
      <c r="C163" s="1942"/>
      <c r="D163" s="1942"/>
      <c r="E163" s="1942"/>
      <c r="F163" s="1942"/>
      <c r="G163" s="1942"/>
      <c r="H163" s="1942"/>
      <c r="I163" s="1942"/>
      <c r="J163" s="1942"/>
      <c r="K163" s="1943"/>
      <c r="L163" s="1944"/>
      <c r="M163" s="1944"/>
      <c r="N163" s="1944"/>
      <c r="O163" s="1945"/>
      <c r="P163" s="1185" t="s">
        <v>1961</v>
      </c>
      <c r="Q163" s="1193"/>
      <c r="R163" s="1145"/>
      <c r="S163" s="1142"/>
      <c r="T163" s="1946"/>
      <c r="U163" s="1944"/>
      <c r="V163" s="1944"/>
      <c r="W163" s="1944"/>
      <c r="X163" s="1945"/>
      <c r="Y163" s="1185" t="s">
        <v>1961</v>
      </c>
      <c r="Z163" s="1145"/>
      <c r="AA163" s="1124"/>
      <c r="AB163" s="1184"/>
      <c r="AC163" s="1946"/>
      <c r="AD163" s="1944"/>
      <c r="AE163" s="1944"/>
      <c r="AF163" s="1944"/>
      <c r="AG163" s="1945"/>
      <c r="AH163" s="1185" t="s">
        <v>1961</v>
      </c>
      <c r="AI163" s="1145"/>
      <c r="AJ163" s="1123"/>
      <c r="AK163" s="1136"/>
    </row>
    <row r="164" spans="1:38" s="262" customFormat="1" ht="3.75" customHeight="1" x14ac:dyDescent="0.35">
      <c r="A164" s="1191"/>
      <c r="B164" s="1118"/>
      <c r="C164" s="1121"/>
      <c r="D164" s="1121"/>
      <c r="E164" s="1121"/>
      <c r="F164" s="1121"/>
      <c r="G164" s="1121"/>
      <c r="H164" s="1121"/>
      <c r="I164" s="1121"/>
      <c r="J164" s="1123"/>
      <c r="K164" s="1192"/>
      <c r="L164" s="1193"/>
      <c r="M164" s="1124"/>
      <c r="N164" s="1142"/>
      <c r="O164" s="1142"/>
      <c r="P164" s="1193"/>
      <c r="Q164" s="1145"/>
      <c r="R164" s="1142"/>
      <c r="S164" s="1142"/>
      <c r="T164" s="1190"/>
      <c r="U164" s="1193"/>
      <c r="V164" s="1124"/>
      <c r="W164" s="1142"/>
      <c r="X164" s="1142"/>
      <c r="Y164" s="1193"/>
      <c r="Z164" s="1145"/>
      <c r="AA164" s="1124"/>
      <c r="AB164" s="1184"/>
      <c r="AC164" s="1183"/>
      <c r="AD164" s="1193"/>
      <c r="AE164" s="1124"/>
      <c r="AF164" s="1142"/>
      <c r="AG164" s="1142"/>
      <c r="AH164" s="1193"/>
      <c r="AI164" s="1145"/>
      <c r="AJ164" s="1123"/>
      <c r="AK164" s="1136"/>
    </row>
    <row r="165" spans="1:38" s="262" customFormat="1" ht="18.75" customHeight="1" x14ac:dyDescent="0.35">
      <c r="A165" s="1191"/>
      <c r="B165" s="1118" t="s">
        <v>1090</v>
      </c>
      <c r="C165" s="1121"/>
      <c r="D165" s="1121"/>
      <c r="E165" s="1121"/>
      <c r="F165" s="1121"/>
      <c r="G165" s="1121"/>
      <c r="H165" s="1121"/>
      <c r="I165" s="1121"/>
      <c r="J165" s="1123"/>
      <c r="K165" s="1192"/>
      <c r="L165" s="1193"/>
      <c r="M165" s="1124"/>
      <c r="N165" s="1142"/>
      <c r="O165" s="1142"/>
      <c r="P165" s="1193"/>
      <c r="Q165" s="1937"/>
      <c r="R165" s="1938"/>
      <c r="S165" s="1142" t="s">
        <v>762</v>
      </c>
      <c r="T165" s="1190"/>
      <c r="U165" s="1193"/>
      <c r="V165" s="1124"/>
      <c r="W165" s="1142"/>
      <c r="X165" s="1142"/>
      <c r="Y165" s="1193"/>
      <c r="Z165" s="1937"/>
      <c r="AA165" s="1938"/>
      <c r="AB165" s="1199" t="s">
        <v>762</v>
      </c>
      <c r="AC165" s="1183"/>
      <c r="AD165" s="1193"/>
      <c r="AE165" s="1124"/>
      <c r="AF165" s="1142"/>
      <c r="AG165" s="1142"/>
      <c r="AH165" s="1193"/>
      <c r="AI165" s="1937"/>
      <c r="AJ165" s="1938"/>
      <c r="AK165" s="1200" t="s">
        <v>762</v>
      </c>
    </row>
    <row r="166" spans="1:38" s="262" customFormat="1" ht="3.75" customHeight="1" x14ac:dyDescent="0.35">
      <c r="A166" s="1191"/>
      <c r="B166" s="1118"/>
      <c r="C166" s="1121"/>
      <c r="D166" s="1121"/>
      <c r="E166" s="1121"/>
      <c r="F166" s="1121"/>
      <c r="G166" s="1121"/>
      <c r="H166" s="1121"/>
      <c r="I166" s="1121"/>
      <c r="J166" s="1123"/>
      <c r="K166" s="1192"/>
      <c r="L166" s="1193"/>
      <c r="M166" s="1124"/>
      <c r="N166" s="1142"/>
      <c r="O166" s="1142"/>
      <c r="P166" s="1193"/>
      <c r="Q166" s="1145"/>
      <c r="R166" s="1142"/>
      <c r="S166" s="1142"/>
      <c r="T166" s="1190"/>
      <c r="U166" s="1193"/>
      <c r="V166" s="1124"/>
      <c r="W166" s="1142"/>
      <c r="X166" s="1142"/>
      <c r="Y166" s="1193"/>
      <c r="Z166" s="1145"/>
      <c r="AA166" s="1142"/>
      <c r="AB166" s="1199"/>
      <c r="AC166" s="1183"/>
      <c r="AD166" s="1193"/>
      <c r="AE166" s="1124"/>
      <c r="AF166" s="1142"/>
      <c r="AG166" s="1142"/>
      <c r="AH166" s="1193"/>
      <c r="AI166" s="1145"/>
      <c r="AJ166" s="1142"/>
      <c r="AK166" s="1200"/>
    </row>
    <row r="167" spans="1:38" s="262" customFormat="1" ht="21" customHeight="1" x14ac:dyDescent="0.35">
      <c r="A167" s="1191"/>
      <c r="B167" s="1165" t="s">
        <v>1085</v>
      </c>
      <c r="C167" s="1121"/>
      <c r="D167" s="1121"/>
      <c r="E167" s="1121"/>
      <c r="F167" s="1121"/>
      <c r="G167" s="1121"/>
      <c r="H167" s="1121"/>
      <c r="I167" s="1121"/>
      <c r="J167" s="1123"/>
      <c r="K167" s="1142"/>
      <c r="L167" s="1124"/>
      <c r="M167" s="1142"/>
      <c r="N167" s="1142"/>
      <c r="O167" s="1142"/>
      <c r="P167" s="1142"/>
      <c r="Q167" s="1937"/>
      <c r="R167" s="1938"/>
      <c r="S167" s="1142" t="s">
        <v>762</v>
      </c>
      <c r="T167" s="1190"/>
      <c r="U167" s="1142"/>
      <c r="V167" s="1142"/>
      <c r="W167" s="1142"/>
      <c r="X167" s="1142"/>
      <c r="Y167" s="1142"/>
      <c r="Z167" s="1937"/>
      <c r="AA167" s="1938"/>
      <c r="AB167" s="1199" t="s">
        <v>762</v>
      </c>
      <c r="AC167" s="1183"/>
      <c r="AD167" s="1124"/>
      <c r="AE167" s="1124"/>
      <c r="AF167" s="1124"/>
      <c r="AG167" s="1124"/>
      <c r="AH167" s="1124"/>
      <c r="AI167" s="1937"/>
      <c r="AJ167" s="1938"/>
      <c r="AK167" s="1200" t="s">
        <v>762</v>
      </c>
    </row>
    <row r="168" spans="1:38" s="262" customFormat="1" ht="3.75" customHeight="1" x14ac:dyDescent="0.35">
      <c r="A168" s="1191"/>
      <c r="B168" s="1165"/>
      <c r="C168" s="1121"/>
      <c r="D168" s="1121"/>
      <c r="E168" s="1121"/>
      <c r="F168" s="1121"/>
      <c r="G168" s="1121"/>
      <c r="H168" s="1121"/>
      <c r="I168" s="1121"/>
      <c r="J168" s="1123"/>
      <c r="K168" s="1142"/>
      <c r="L168" s="1124"/>
      <c r="M168" s="1142"/>
      <c r="N168" s="1142"/>
      <c r="O168" s="1142"/>
      <c r="P168" s="1142"/>
      <c r="Q168" s="1142"/>
      <c r="R168" s="1142"/>
      <c r="S168" s="1142"/>
      <c r="T168" s="1190"/>
      <c r="U168" s="1142"/>
      <c r="V168" s="1142"/>
      <c r="W168" s="1142"/>
      <c r="X168" s="1142"/>
      <c r="Y168" s="1142"/>
      <c r="Z168" s="1124"/>
      <c r="AA168" s="1124"/>
      <c r="AB168" s="1184"/>
      <c r="AC168" s="1183"/>
      <c r="AD168" s="1124"/>
      <c r="AE168" s="1124"/>
      <c r="AF168" s="1124"/>
      <c r="AG168" s="1124"/>
      <c r="AH168" s="1124"/>
      <c r="AI168" s="1124"/>
      <c r="AJ168" s="1123"/>
      <c r="AK168" s="1136"/>
    </row>
    <row r="169" spans="1:38" s="262" customFormat="1" ht="18.75" customHeight="1" x14ac:dyDescent="0.35">
      <c r="A169" s="1191"/>
      <c r="B169" s="1118" t="s">
        <v>777</v>
      </c>
      <c r="C169" s="1121"/>
      <c r="D169" s="1121"/>
      <c r="E169" s="1121"/>
      <c r="F169" s="1121"/>
      <c r="G169" s="1121"/>
      <c r="H169" s="1121"/>
      <c r="I169" s="1121"/>
      <c r="J169" s="1123"/>
      <c r="K169" s="1192"/>
      <c r="L169" s="1122"/>
      <c r="M169" s="1124" t="s">
        <v>85</v>
      </c>
      <c r="N169" s="1142"/>
      <c r="O169" s="1142"/>
      <c r="P169" s="1122"/>
      <c r="Q169" s="1145" t="s">
        <v>87</v>
      </c>
      <c r="R169" s="1142"/>
      <c r="S169" s="1142"/>
      <c r="T169" s="1190"/>
      <c r="U169" s="1122"/>
      <c r="V169" s="1124" t="s">
        <v>85</v>
      </c>
      <c r="W169" s="1142"/>
      <c r="X169" s="1142"/>
      <c r="Y169" s="1122"/>
      <c r="Z169" s="1145" t="s">
        <v>87</v>
      </c>
      <c r="AA169" s="1124"/>
      <c r="AB169" s="1184"/>
      <c r="AC169" s="1183"/>
      <c r="AD169" s="1122"/>
      <c r="AE169" s="1124" t="s">
        <v>85</v>
      </c>
      <c r="AF169" s="1142"/>
      <c r="AG169" s="1142"/>
      <c r="AH169" s="1122"/>
      <c r="AI169" s="1145" t="s">
        <v>87</v>
      </c>
      <c r="AJ169" s="1123"/>
      <c r="AK169" s="1136"/>
    </row>
    <row r="170" spans="1:38" s="204" customFormat="1" ht="7.5" customHeight="1" thickBot="1" x14ac:dyDescent="0.4">
      <c r="A170" s="695"/>
      <c r="B170" s="1143"/>
      <c r="C170" s="1127"/>
      <c r="D170" s="1127"/>
      <c r="E170" s="1127"/>
      <c r="F170" s="1127"/>
      <c r="G170" s="1127"/>
      <c r="H170" s="1127"/>
      <c r="I170" s="1127"/>
      <c r="J170" s="1129"/>
      <c r="K170" s="1129"/>
      <c r="L170" s="1129"/>
      <c r="M170" s="1128"/>
      <c r="N170" s="1129"/>
      <c r="O170" s="1129"/>
      <c r="P170" s="1129"/>
      <c r="Q170" s="1129"/>
      <c r="R170" s="1129"/>
      <c r="S170" s="1129"/>
      <c r="T170" s="1201"/>
      <c r="U170" s="1129"/>
      <c r="V170" s="1129"/>
      <c r="W170" s="1129"/>
      <c r="X170" s="1129"/>
      <c r="Y170" s="1129"/>
      <c r="Z170" s="1129"/>
      <c r="AA170" s="1128"/>
      <c r="AB170" s="1202"/>
      <c r="AC170" s="1203"/>
      <c r="AD170" s="1128"/>
      <c r="AE170" s="1128"/>
      <c r="AF170" s="1128"/>
      <c r="AG170" s="1128"/>
      <c r="AH170" s="1128"/>
      <c r="AI170" s="1128"/>
      <c r="AJ170" s="1128"/>
      <c r="AK170" s="1144"/>
      <c r="AL170" s="634"/>
    </row>
    <row r="171" spans="1:38" s="204" customFormat="1" ht="25.5" customHeight="1" thickBot="1" x14ac:dyDescent="0.4">
      <c r="A171" s="695"/>
      <c r="B171" s="1110"/>
      <c r="C171" s="1110"/>
      <c r="D171" s="1110"/>
      <c r="E171" s="1110"/>
      <c r="F171" s="1110"/>
      <c r="G171" s="1110"/>
      <c r="H171" s="1110"/>
      <c r="I171" s="1110"/>
      <c r="J171" s="1111"/>
      <c r="K171" s="1111"/>
      <c r="L171" s="1111"/>
      <c r="M171" s="1093"/>
      <c r="N171" s="1111"/>
      <c r="O171" s="1111"/>
      <c r="P171" s="1111"/>
      <c r="Q171" s="1111"/>
      <c r="R171" s="1111"/>
      <c r="S171" s="1111"/>
      <c r="T171" s="1111"/>
      <c r="U171" s="1111"/>
      <c r="V171" s="1111"/>
      <c r="W171" s="1111"/>
      <c r="X171" s="1111"/>
      <c r="Y171" s="1111"/>
      <c r="Z171" s="1111"/>
      <c r="AA171" s="1093"/>
      <c r="AB171" s="1093"/>
      <c r="AC171" s="1093"/>
      <c r="AD171" s="1093"/>
      <c r="AE171" s="1093"/>
      <c r="AF171" s="1093"/>
      <c r="AG171" s="1093"/>
      <c r="AH171" s="1093"/>
      <c r="AI171" s="1093"/>
      <c r="AJ171" s="1093"/>
      <c r="AK171" s="1111"/>
      <c r="AL171" s="634"/>
    </row>
    <row r="172" spans="1:38" s="204" customFormat="1" ht="8.25" customHeight="1" x14ac:dyDescent="0.35">
      <c r="A172" s="695"/>
      <c r="B172" s="1112"/>
      <c r="C172" s="1113"/>
      <c r="D172" s="1113"/>
      <c r="E172" s="1113"/>
      <c r="F172" s="1113"/>
      <c r="G172" s="1113"/>
      <c r="H172" s="1113"/>
      <c r="I172" s="1113"/>
      <c r="J172" s="1114"/>
      <c r="K172" s="1114"/>
      <c r="L172" s="1114"/>
      <c r="M172" s="1115"/>
      <c r="N172" s="1114"/>
      <c r="O172" s="1114"/>
      <c r="P172" s="1114"/>
      <c r="Q172" s="1114"/>
      <c r="R172" s="1114"/>
      <c r="S172" s="1114"/>
      <c r="T172" s="1114"/>
      <c r="U172" s="1114"/>
      <c r="V172" s="1114"/>
      <c r="W172" s="1114"/>
      <c r="X172" s="1114"/>
      <c r="Y172" s="1114"/>
      <c r="Z172" s="1114"/>
      <c r="AA172" s="1133"/>
      <c r="AB172" s="1133"/>
      <c r="AC172" s="1133"/>
      <c r="AD172" s="1133"/>
      <c r="AE172" s="1133"/>
      <c r="AF172" s="1133"/>
      <c r="AG172" s="1133"/>
      <c r="AH172" s="1133"/>
      <c r="AI172" s="1133"/>
      <c r="AJ172" s="1114"/>
      <c r="AK172" s="1116"/>
      <c r="AL172" s="634"/>
    </row>
    <row r="173" spans="1:38" ht="18.75" customHeight="1" x14ac:dyDescent="0.35">
      <c r="A173" s="1110"/>
      <c r="B173" s="1118" t="s">
        <v>695</v>
      </c>
      <c r="C173" s="1123"/>
      <c r="D173" s="1123"/>
      <c r="E173" s="1123"/>
      <c r="F173" s="1917"/>
      <c r="G173" s="1934"/>
      <c r="H173" s="1934"/>
      <c r="I173" s="1934"/>
      <c r="J173" s="1934"/>
      <c r="K173" s="1934"/>
      <c r="L173" s="1934"/>
      <c r="M173" s="1934"/>
      <c r="N173" s="1934"/>
      <c r="O173" s="1934"/>
      <c r="P173" s="1934"/>
      <c r="Q173" s="1934"/>
      <c r="R173" s="1918"/>
      <c r="S173" s="1123"/>
      <c r="T173" s="1119" t="s">
        <v>696</v>
      </c>
      <c r="U173" s="1123"/>
      <c r="V173" s="1123"/>
      <c r="W173" s="1119"/>
      <c r="X173" s="1917"/>
      <c r="Y173" s="1934"/>
      <c r="Z173" s="1934"/>
      <c r="AA173" s="1934"/>
      <c r="AB173" s="1934"/>
      <c r="AC173" s="1934"/>
      <c r="AD173" s="1934"/>
      <c r="AE173" s="1934"/>
      <c r="AF173" s="1934"/>
      <c r="AG173" s="1934"/>
      <c r="AH173" s="1934"/>
      <c r="AI173" s="1934"/>
      <c r="AJ173" s="1918"/>
      <c r="AK173" s="1136"/>
      <c r="AL173" s="634"/>
    </row>
    <row r="174" spans="1:38" s="204" customFormat="1" ht="3.75" customHeight="1" x14ac:dyDescent="0.35">
      <c r="A174" s="695"/>
      <c r="B174" s="1204"/>
      <c r="C174" s="1205"/>
      <c r="D174" s="1205"/>
      <c r="E174" s="1205"/>
      <c r="F174" s="1205"/>
      <c r="G174" s="1205"/>
      <c r="H174" s="1205"/>
      <c r="I174" s="1205"/>
      <c r="J174" s="1142"/>
      <c r="K174" s="1142"/>
      <c r="L174" s="1142"/>
      <c r="M174" s="1124"/>
      <c r="N174" s="1142"/>
      <c r="O174" s="1142"/>
      <c r="P174" s="1142"/>
      <c r="Q174" s="1142"/>
      <c r="R174" s="1142"/>
      <c r="S174" s="1142"/>
      <c r="T174" s="1142"/>
      <c r="U174" s="1142"/>
      <c r="V174" s="1142"/>
      <c r="W174" s="1142"/>
      <c r="X174" s="1142"/>
      <c r="Y174" s="1142"/>
      <c r="Z174" s="1142"/>
      <c r="AA174" s="1124"/>
      <c r="AB174" s="1124"/>
      <c r="AC174" s="1124"/>
      <c r="AD174" s="1124"/>
      <c r="AE174" s="1124"/>
      <c r="AF174" s="1124"/>
      <c r="AG174" s="1124"/>
      <c r="AH174" s="1124"/>
      <c r="AI174" s="1124"/>
      <c r="AJ174" s="1124"/>
      <c r="AK174" s="1200"/>
      <c r="AL174" s="636"/>
    </row>
    <row r="175" spans="1:38" ht="18.75" customHeight="1" x14ac:dyDescent="0.35">
      <c r="A175" s="1110"/>
      <c r="B175" s="1118" t="s">
        <v>728</v>
      </c>
      <c r="C175" s="1119"/>
      <c r="D175" s="1119"/>
      <c r="E175" s="1119"/>
      <c r="F175" s="1917"/>
      <c r="G175" s="1934"/>
      <c r="H175" s="1934"/>
      <c r="I175" s="1934"/>
      <c r="J175" s="1934"/>
      <c r="K175" s="1934"/>
      <c r="L175" s="1918"/>
      <c r="M175" s="1123" t="s">
        <v>729</v>
      </c>
      <c r="N175" s="1917"/>
      <c r="O175" s="1934"/>
      <c r="P175" s="1934"/>
      <c r="Q175" s="1934"/>
      <c r="R175" s="1934"/>
      <c r="S175" s="1918"/>
      <c r="T175" s="1119"/>
      <c r="U175" s="1119" t="s">
        <v>730</v>
      </c>
      <c r="V175" s="1119"/>
      <c r="W175" s="1119"/>
      <c r="X175" s="1119"/>
      <c r="Y175" s="1119"/>
      <c r="Z175" s="1119"/>
      <c r="AA175" s="1917"/>
      <c r="AB175" s="1934"/>
      <c r="AC175" s="1934"/>
      <c r="AD175" s="1934"/>
      <c r="AE175" s="1934"/>
      <c r="AF175" s="1934"/>
      <c r="AG175" s="1934"/>
      <c r="AH175" s="1934"/>
      <c r="AI175" s="1934"/>
      <c r="AJ175" s="1918"/>
      <c r="AK175" s="1125"/>
    </row>
    <row r="176" spans="1:38" s="204" customFormat="1" ht="3.75" customHeight="1" x14ac:dyDescent="0.35">
      <c r="A176" s="695"/>
      <c r="B176" s="1173"/>
      <c r="C176" s="1142"/>
      <c r="D176" s="1142"/>
      <c r="E176" s="1142"/>
      <c r="F176" s="1936"/>
      <c r="G176" s="1936"/>
      <c r="H176" s="1936"/>
      <c r="I176" s="1936"/>
      <c r="J176" s="1936"/>
      <c r="K176" s="1936"/>
      <c r="L176" s="1936"/>
      <c r="M176" s="1936"/>
      <c r="N176" s="1936"/>
      <c r="O176" s="1936"/>
      <c r="P176" s="1936"/>
      <c r="Q176" s="1936"/>
      <c r="R176" s="1936"/>
      <c r="S176" s="1142"/>
      <c r="T176" s="1124"/>
      <c r="U176" s="1142"/>
      <c r="V176" s="1142"/>
      <c r="W176" s="1124"/>
      <c r="X176" s="1142"/>
      <c r="Y176" s="1142"/>
      <c r="Z176" s="1142"/>
      <c r="AA176" s="1124"/>
      <c r="AB176" s="1124"/>
      <c r="AC176" s="1124"/>
      <c r="AD176" s="1124"/>
      <c r="AE176" s="1124"/>
      <c r="AF176" s="1124"/>
      <c r="AG176" s="1124"/>
      <c r="AH176" s="1124"/>
      <c r="AI176" s="1124"/>
      <c r="AJ176" s="1124"/>
      <c r="AK176" s="1200"/>
      <c r="AL176" s="636"/>
    </row>
    <row r="177" spans="1:47" ht="18.75" customHeight="1" x14ac:dyDescent="0.35">
      <c r="A177" s="1110"/>
      <c r="B177" s="1118" t="s">
        <v>778</v>
      </c>
      <c r="C177" s="1119"/>
      <c r="D177" s="1119"/>
      <c r="E177" s="1119"/>
      <c r="F177" s="1917"/>
      <c r="G177" s="1934"/>
      <c r="H177" s="1934"/>
      <c r="I177" s="1934"/>
      <c r="J177" s="1934"/>
      <c r="K177" s="1934"/>
      <c r="L177" s="1918"/>
      <c r="M177" s="1145" t="s">
        <v>713</v>
      </c>
      <c r="N177" s="1142"/>
      <c r="O177" s="1917"/>
      <c r="P177" s="1934"/>
      <c r="Q177" s="1934"/>
      <c r="R177" s="1918"/>
      <c r="S177" s="1145" t="s">
        <v>714</v>
      </c>
      <c r="T177" s="1120"/>
      <c r="U177" s="1917"/>
      <c r="V177" s="1934"/>
      <c r="W177" s="1934"/>
      <c r="X177" s="1934"/>
      <c r="Y177" s="1934"/>
      <c r="Z177" s="1934"/>
      <c r="AA177" s="1934"/>
      <c r="AB177" s="1932"/>
      <c r="AC177" s="1932"/>
      <c r="AD177" s="1932"/>
      <c r="AE177" s="1933"/>
      <c r="AF177" s="1145" t="s">
        <v>715</v>
      </c>
      <c r="AG177" s="1142"/>
      <c r="AH177" s="1142"/>
      <c r="AI177" s="1142"/>
      <c r="AJ177" s="1142"/>
      <c r="AK177" s="1136"/>
      <c r="AL177" s="634"/>
    </row>
    <row r="178" spans="1:47" ht="3.75" customHeight="1" x14ac:dyDescent="0.35">
      <c r="A178" s="1110"/>
      <c r="B178" s="1118"/>
      <c r="C178" s="1119"/>
      <c r="D178" s="1119"/>
      <c r="E178" s="1119"/>
      <c r="F178" s="1119"/>
      <c r="G178" s="1119"/>
      <c r="H178" s="1119"/>
      <c r="I178" s="1119"/>
      <c r="J178" s="1119"/>
      <c r="K178" s="1119"/>
      <c r="L178" s="1119"/>
      <c r="M178" s="1119"/>
      <c r="N178" s="1119"/>
      <c r="O178" s="1119"/>
      <c r="P178" s="1119"/>
      <c r="Q178" s="1119"/>
      <c r="R178" s="1119"/>
      <c r="S178" s="1119"/>
      <c r="T178" s="1119"/>
      <c r="U178" s="1119"/>
      <c r="V178" s="1119"/>
      <c r="W178" s="1119"/>
      <c r="X178" s="1119"/>
      <c r="Y178" s="1119"/>
      <c r="Z178" s="1119"/>
      <c r="AA178" s="1119"/>
      <c r="AB178" s="1119"/>
      <c r="AC178" s="1119"/>
      <c r="AD178" s="1119"/>
      <c r="AE178" s="1119"/>
      <c r="AF178" s="1119"/>
      <c r="AG178" s="1119"/>
      <c r="AH178" s="1119"/>
      <c r="AI178" s="1119"/>
      <c r="AJ178" s="1119"/>
      <c r="AK178" s="1125"/>
    </row>
    <row r="179" spans="1:47" ht="18.75" customHeight="1" x14ac:dyDescent="0.35">
      <c r="A179" s="1110"/>
      <c r="B179" s="1118"/>
      <c r="C179" s="1119"/>
      <c r="D179" s="1119"/>
      <c r="E179" s="1119"/>
      <c r="F179" s="1917"/>
      <c r="G179" s="1934"/>
      <c r="H179" s="1934"/>
      <c r="I179" s="1934"/>
      <c r="J179" s="1934"/>
      <c r="K179" s="1934"/>
      <c r="L179" s="1934"/>
      <c r="M179" s="1932"/>
      <c r="N179" s="1932"/>
      <c r="O179" s="1932"/>
      <c r="P179" s="1932"/>
      <c r="Q179" s="1932"/>
      <c r="R179" s="1935"/>
      <c r="S179" s="1142" t="s">
        <v>716</v>
      </c>
      <c r="T179" s="1119"/>
      <c r="U179" s="1917"/>
      <c r="V179" s="1934"/>
      <c r="W179" s="1918"/>
      <c r="X179" s="1145" t="s">
        <v>717</v>
      </c>
      <c r="Y179" s="1119"/>
      <c r="Z179" s="1123"/>
      <c r="AA179" s="1917"/>
      <c r="AB179" s="1918"/>
      <c r="AC179" s="1120" t="s">
        <v>718</v>
      </c>
      <c r="AD179" s="1119"/>
      <c r="AE179" s="1142"/>
      <c r="AF179" s="1917"/>
      <c r="AG179" s="1918"/>
      <c r="AH179" s="1145" t="s">
        <v>719</v>
      </c>
      <c r="AI179" s="1917"/>
      <c r="AJ179" s="1918"/>
      <c r="AK179" s="1146" t="s">
        <v>720</v>
      </c>
      <c r="AL179" s="634"/>
    </row>
    <row r="180" spans="1:47" s="204" customFormat="1" ht="9" customHeight="1" thickBot="1" x14ac:dyDescent="0.4">
      <c r="A180" s="695"/>
      <c r="B180" s="1206"/>
      <c r="C180" s="1207"/>
      <c r="D180" s="1207"/>
      <c r="E180" s="1207"/>
      <c r="F180" s="1207"/>
      <c r="G180" s="1207"/>
      <c r="H180" s="1207"/>
      <c r="I180" s="1207"/>
      <c r="J180" s="1130"/>
      <c r="K180" s="1130"/>
      <c r="L180" s="1130"/>
      <c r="M180" s="1208"/>
      <c r="N180" s="1130"/>
      <c r="O180" s="1130"/>
      <c r="P180" s="1130"/>
      <c r="Q180" s="1130"/>
      <c r="R180" s="1130"/>
      <c r="S180" s="1130"/>
      <c r="T180" s="1130"/>
      <c r="U180" s="1130"/>
      <c r="V180" s="1130"/>
      <c r="W180" s="1130"/>
      <c r="X180" s="1130"/>
      <c r="Y180" s="1130"/>
      <c r="Z180" s="1130"/>
      <c r="AA180" s="1208"/>
      <c r="AB180" s="1208"/>
      <c r="AC180" s="1208"/>
      <c r="AD180" s="1208"/>
      <c r="AE180" s="1208"/>
      <c r="AF180" s="1208"/>
      <c r="AG180" s="1208"/>
      <c r="AH180" s="1208"/>
      <c r="AI180" s="1208"/>
      <c r="AJ180" s="1208"/>
      <c r="AK180" s="1209"/>
      <c r="AL180" s="636"/>
    </row>
    <row r="181" spans="1:47" s="204" customFormat="1" ht="9.75" customHeight="1" x14ac:dyDescent="0.35">
      <c r="A181" s="695"/>
      <c r="B181" s="1107"/>
      <c r="C181" s="1107"/>
      <c r="D181" s="1107"/>
      <c r="E181" s="1107"/>
      <c r="F181" s="1107"/>
      <c r="G181" s="1107"/>
      <c r="H181" s="1107"/>
      <c r="I181" s="1107"/>
      <c r="J181" s="1109"/>
      <c r="K181" s="1109"/>
      <c r="L181" s="1109"/>
      <c r="M181" s="695"/>
      <c r="N181" s="1109"/>
      <c r="O181" s="1109"/>
      <c r="P181" s="1109"/>
      <c r="Q181" s="1109"/>
      <c r="R181" s="1109"/>
      <c r="S181" s="1109"/>
      <c r="T181" s="1109"/>
      <c r="U181" s="1109"/>
      <c r="V181" s="1109"/>
      <c r="W181" s="1109"/>
      <c r="X181" s="1109"/>
      <c r="Y181" s="1109"/>
      <c r="Z181" s="1109"/>
      <c r="AA181" s="695"/>
      <c r="AB181" s="695"/>
      <c r="AC181" s="1210"/>
      <c r="AD181" s="695"/>
      <c r="AE181" s="695"/>
      <c r="AF181" s="695"/>
      <c r="AG181" s="695"/>
      <c r="AH181" s="695"/>
      <c r="AI181" s="695"/>
      <c r="AJ181" s="695"/>
      <c r="AK181" s="1109"/>
      <c r="AL181" s="636"/>
    </row>
    <row r="182" spans="1:47" ht="51.6" customHeight="1" x14ac:dyDescent="0.35">
      <c r="B182" s="1919" t="s">
        <v>1963</v>
      </c>
      <c r="C182" s="1919"/>
      <c r="D182" s="1919"/>
      <c r="E182" s="1919"/>
      <c r="F182" s="1919"/>
      <c r="G182" s="1919"/>
      <c r="H182" s="1919"/>
      <c r="I182" s="1919"/>
      <c r="J182" s="1919"/>
      <c r="K182" s="1919"/>
      <c r="L182" s="1919"/>
      <c r="M182" s="1919"/>
      <c r="N182" s="1919"/>
      <c r="O182" s="1919"/>
      <c r="P182" s="1919"/>
      <c r="Q182" s="1919"/>
      <c r="R182" s="1919"/>
      <c r="S182" s="1919"/>
      <c r="T182" s="1919"/>
      <c r="U182" s="1919"/>
      <c r="V182" s="1919"/>
      <c r="W182" s="1919"/>
      <c r="X182" s="1919"/>
      <c r="Y182" s="1919"/>
      <c r="Z182" s="1919"/>
      <c r="AA182" s="1919"/>
      <c r="AB182" s="1919"/>
      <c r="AC182" s="1919"/>
      <c r="AD182" s="1919"/>
      <c r="AE182" s="1919"/>
      <c r="AF182" s="1919"/>
      <c r="AG182" s="1919"/>
      <c r="AH182" s="1919"/>
      <c r="AI182" s="1919"/>
      <c r="AJ182" s="1919"/>
      <c r="AK182" s="1919"/>
      <c r="AL182" s="637"/>
      <c r="AM182" s="637"/>
      <c r="AN182" s="637"/>
      <c r="AO182" s="637"/>
      <c r="AP182" s="637"/>
      <c r="AQ182" s="637"/>
      <c r="AR182" s="637"/>
      <c r="AS182" s="637"/>
      <c r="AT182" s="637"/>
      <c r="AU182" s="637"/>
    </row>
    <row r="183" spans="1:47" x14ac:dyDescent="0.35">
      <c r="B183" s="1211" t="s">
        <v>1964</v>
      </c>
      <c r="C183" s="1212"/>
      <c r="D183" s="1212"/>
      <c r="E183" s="1212"/>
      <c r="F183" s="1212"/>
      <c r="G183" s="1212"/>
      <c r="H183" s="1212"/>
      <c r="I183" s="1212"/>
      <c r="J183" s="1212"/>
      <c r="K183" s="1212"/>
      <c r="L183" s="1212"/>
      <c r="M183" s="1212"/>
      <c r="N183" s="1212"/>
      <c r="O183" s="1212"/>
      <c r="P183" s="1212"/>
      <c r="Q183" s="1212"/>
      <c r="R183" s="1212"/>
      <c r="S183" s="1212"/>
      <c r="T183" s="1212"/>
      <c r="U183" s="1212"/>
      <c r="V183" s="1212"/>
      <c r="W183" s="1212"/>
      <c r="X183" s="1212"/>
      <c r="Y183" s="1212"/>
      <c r="Z183" s="1212"/>
      <c r="AA183" s="1212"/>
      <c r="AB183" s="1212"/>
      <c r="AC183" s="1212"/>
      <c r="AD183" s="1212"/>
      <c r="AE183" s="1212"/>
      <c r="AF183" s="1212"/>
      <c r="AG183" s="1212"/>
      <c r="AH183" s="1212"/>
      <c r="AI183" s="1212"/>
      <c r="AJ183" s="1212"/>
    </row>
    <row r="184" spans="1:47" ht="11.1" customHeight="1" x14ac:dyDescent="0.35">
      <c r="B184" s="1211" t="s">
        <v>1965</v>
      </c>
      <c r="C184" s="1212"/>
      <c r="D184" s="1212"/>
      <c r="E184" s="1212"/>
      <c r="F184" s="1212"/>
      <c r="G184" s="1212"/>
      <c r="H184" s="1212"/>
      <c r="I184" s="1212"/>
      <c r="J184" s="1212"/>
      <c r="K184" s="1212"/>
      <c r="L184" s="1212"/>
      <c r="M184" s="1212"/>
      <c r="N184" s="1212"/>
      <c r="O184" s="1212"/>
      <c r="P184" s="1212"/>
      <c r="Q184" s="1212"/>
      <c r="R184" s="1212"/>
      <c r="S184" s="1212"/>
      <c r="T184" s="1212"/>
      <c r="U184" s="1212"/>
      <c r="V184" s="1212"/>
      <c r="W184" s="1212"/>
      <c r="X184" s="1212"/>
      <c r="Y184" s="1212"/>
      <c r="Z184" s="1212"/>
      <c r="AA184" s="1212"/>
      <c r="AB184" s="1212"/>
      <c r="AC184" s="1212"/>
      <c r="AD184" s="1212"/>
      <c r="AE184" s="1212"/>
      <c r="AF184" s="1212"/>
      <c r="AG184" s="1212"/>
      <c r="AH184" s="1212"/>
      <c r="AI184" s="1212"/>
      <c r="AJ184" s="1212"/>
    </row>
    <row r="185" spans="1:47" ht="12" customHeight="1" x14ac:dyDescent="0.35">
      <c r="B185" s="1213" t="s">
        <v>1966</v>
      </c>
      <c r="C185" s="1212"/>
      <c r="D185" s="1212"/>
      <c r="E185" s="1212"/>
      <c r="F185" s="1212"/>
      <c r="G185" s="1212"/>
      <c r="H185" s="1212"/>
      <c r="I185" s="1212"/>
      <c r="J185" s="1212"/>
      <c r="K185" s="1212"/>
      <c r="L185" s="1212"/>
      <c r="M185" s="1212"/>
      <c r="N185" s="1212"/>
      <c r="O185" s="1212"/>
      <c r="P185" s="1212"/>
      <c r="Q185" s="1212"/>
      <c r="R185" s="1212"/>
      <c r="S185" s="1212"/>
      <c r="T185" s="1212"/>
      <c r="U185" s="1212"/>
      <c r="V185" s="1212"/>
      <c r="W185" s="1212"/>
      <c r="X185" s="1212"/>
      <c r="Y185" s="1212"/>
      <c r="Z185" s="1212"/>
      <c r="AA185" s="1212"/>
      <c r="AB185" s="1212"/>
      <c r="AC185" s="1212"/>
      <c r="AD185" s="1212"/>
      <c r="AE185" s="1212"/>
      <c r="AF185" s="1212"/>
      <c r="AG185" s="1212"/>
      <c r="AH185" s="1212"/>
      <c r="AI185" s="1212"/>
      <c r="AJ185" s="1212"/>
    </row>
    <row r="186" spans="1:47" ht="12" customHeight="1" x14ac:dyDescent="0.35">
      <c r="B186" s="1213" t="s">
        <v>1967</v>
      </c>
      <c r="C186" s="1212"/>
      <c r="D186" s="1212"/>
      <c r="E186" s="1212"/>
      <c r="F186" s="1212"/>
      <c r="G186" s="1212"/>
      <c r="H186" s="1212"/>
      <c r="I186" s="1212"/>
      <c r="J186" s="1212"/>
      <c r="K186" s="1212"/>
      <c r="L186" s="1212"/>
      <c r="M186" s="1212"/>
      <c r="N186" s="1212"/>
      <c r="O186" s="1212"/>
      <c r="P186" s="1212"/>
      <c r="Q186" s="1212"/>
      <c r="R186" s="1212"/>
      <c r="S186" s="1212"/>
      <c r="T186" s="1212"/>
      <c r="U186" s="1212"/>
      <c r="V186" s="1212"/>
      <c r="W186" s="1212"/>
      <c r="X186" s="1212"/>
      <c r="Y186" s="1212"/>
      <c r="Z186" s="1212"/>
      <c r="AA186" s="1212"/>
      <c r="AB186" s="1212"/>
      <c r="AC186" s="1212"/>
      <c r="AD186" s="1212"/>
      <c r="AE186" s="1212"/>
      <c r="AF186" s="1212"/>
      <c r="AG186" s="1212"/>
      <c r="AH186" s="1212"/>
      <c r="AI186" s="1212"/>
      <c r="AJ186" s="1212"/>
    </row>
    <row r="187" spans="1:47" ht="12" customHeight="1" x14ac:dyDescent="0.35">
      <c r="B187" s="1213" t="s">
        <v>1968</v>
      </c>
      <c r="C187" s="1212"/>
      <c r="D187" s="1212"/>
      <c r="E187" s="1212"/>
      <c r="F187" s="1212"/>
      <c r="G187" s="1212"/>
      <c r="H187" s="1212"/>
      <c r="I187" s="1212"/>
      <c r="J187" s="1212"/>
      <c r="K187" s="1212"/>
      <c r="L187" s="1212"/>
      <c r="M187" s="1212"/>
      <c r="N187" s="1212"/>
      <c r="O187" s="1212"/>
      <c r="P187" s="1212"/>
      <c r="Q187" s="1212"/>
      <c r="R187" s="1212"/>
      <c r="S187" s="1212"/>
      <c r="T187" s="1212"/>
      <c r="U187" s="1212"/>
      <c r="V187" s="1212"/>
      <c r="W187" s="1212"/>
      <c r="X187" s="1212"/>
      <c r="Y187" s="1212"/>
      <c r="Z187" s="1212"/>
      <c r="AA187" s="1212"/>
      <c r="AB187" s="1212"/>
      <c r="AC187" s="1212"/>
      <c r="AD187" s="1212"/>
      <c r="AE187" s="1212"/>
      <c r="AF187" s="1212"/>
      <c r="AG187" s="1212"/>
      <c r="AH187" s="1212"/>
      <c r="AI187" s="1212"/>
      <c r="AJ187" s="1212"/>
    </row>
    <row r="188" spans="1:47" ht="12" customHeight="1" x14ac:dyDescent="0.35">
      <c r="B188" s="1213" t="s">
        <v>1969</v>
      </c>
      <c r="C188" s="1212"/>
      <c r="D188" s="1212"/>
      <c r="E188" s="1212"/>
      <c r="F188" s="1212"/>
      <c r="G188" s="1212"/>
      <c r="H188" s="1212"/>
      <c r="I188" s="1212"/>
      <c r="J188" s="1212"/>
      <c r="K188" s="1212"/>
      <c r="L188" s="1212"/>
      <c r="M188" s="1212"/>
      <c r="N188" s="1212"/>
      <c r="O188" s="1212"/>
      <c r="P188" s="1212"/>
      <c r="Q188" s="1212"/>
      <c r="R188" s="1212"/>
      <c r="S188" s="1212"/>
      <c r="T188" s="1212"/>
      <c r="U188" s="1212"/>
      <c r="V188" s="1212"/>
      <c r="W188" s="1212"/>
      <c r="X188" s="1212"/>
      <c r="Y188" s="1212"/>
      <c r="Z188" s="1212"/>
      <c r="AA188" s="1212"/>
      <c r="AB188" s="1212"/>
      <c r="AC188" s="1212"/>
      <c r="AD188" s="1212"/>
      <c r="AE188" s="1212"/>
      <c r="AF188" s="1212"/>
      <c r="AG188" s="1212"/>
      <c r="AH188" s="1212"/>
      <c r="AI188" s="1212"/>
      <c r="AJ188" s="1212"/>
    </row>
    <row r="189" spans="1:47" ht="12" customHeight="1" x14ac:dyDescent="0.35">
      <c r="B189" s="1213" t="s">
        <v>1970</v>
      </c>
      <c r="C189" s="1212"/>
      <c r="D189" s="1212"/>
      <c r="E189" s="1212"/>
      <c r="F189" s="1212"/>
      <c r="G189" s="1212"/>
      <c r="H189" s="1212"/>
      <c r="I189" s="1212"/>
      <c r="J189" s="1212"/>
      <c r="K189" s="1212"/>
      <c r="L189" s="1212"/>
      <c r="M189" s="1212"/>
      <c r="N189" s="1212"/>
      <c r="O189" s="1212"/>
      <c r="P189" s="1212"/>
      <c r="Q189" s="1212"/>
      <c r="R189" s="1212"/>
      <c r="S189" s="1212"/>
      <c r="T189" s="1212"/>
      <c r="U189" s="1212"/>
      <c r="V189" s="1212"/>
      <c r="W189" s="1212"/>
      <c r="X189" s="1212"/>
      <c r="Y189" s="1212"/>
      <c r="Z189" s="1212"/>
      <c r="AA189" s="1212"/>
      <c r="AB189" s="1212"/>
      <c r="AC189" s="1212"/>
      <c r="AD189" s="1212"/>
      <c r="AE189" s="1212"/>
      <c r="AF189" s="1212"/>
      <c r="AG189" s="1212"/>
      <c r="AH189" s="1212"/>
      <c r="AI189" s="1212"/>
      <c r="AJ189" s="1212"/>
    </row>
    <row r="190" spans="1:47" ht="12" customHeight="1" x14ac:dyDescent="0.35">
      <c r="B190" s="1094" t="s">
        <v>1434</v>
      </c>
      <c r="C190" s="1212"/>
      <c r="D190" s="1212"/>
      <c r="E190" s="1212"/>
      <c r="F190" s="1212"/>
      <c r="G190" s="1212"/>
      <c r="H190" s="1212"/>
      <c r="I190" s="1212"/>
      <c r="J190" s="1212"/>
      <c r="K190" s="1212"/>
      <c r="L190" s="1212"/>
      <c r="M190" s="1212"/>
      <c r="N190" s="1212"/>
      <c r="O190" s="1212"/>
      <c r="P190" s="1212"/>
      <c r="Q190" s="1212"/>
      <c r="R190" s="1212"/>
      <c r="S190" s="1212"/>
      <c r="T190" s="1212"/>
      <c r="U190" s="1212"/>
      <c r="V190" s="1212"/>
      <c r="W190" s="1212"/>
      <c r="X190" s="1212"/>
      <c r="Y190" s="1212"/>
      <c r="Z190" s="1212"/>
      <c r="AA190" s="1212"/>
      <c r="AB190" s="1212"/>
      <c r="AC190" s="1212"/>
      <c r="AD190" s="1212"/>
      <c r="AE190" s="1212"/>
      <c r="AF190" s="1212"/>
      <c r="AG190" s="1212"/>
      <c r="AH190" s="1212"/>
      <c r="AI190" s="1212"/>
      <c r="AJ190" s="1212"/>
    </row>
    <row r="191" spans="1:47" ht="6.75" customHeight="1" x14ac:dyDescent="0.35">
      <c r="B191" s="1094"/>
      <c r="C191" s="1212"/>
      <c r="D191" s="1212"/>
      <c r="E191" s="1212"/>
      <c r="F191" s="1212"/>
      <c r="G191" s="1212"/>
      <c r="H191" s="1212"/>
      <c r="I191" s="1212"/>
      <c r="J191" s="1212"/>
      <c r="K191" s="1212"/>
      <c r="L191" s="1212"/>
      <c r="M191" s="1212"/>
      <c r="N191" s="1212"/>
      <c r="O191" s="1212"/>
      <c r="P191" s="1212"/>
      <c r="Q191" s="1212"/>
      <c r="R191" s="1212"/>
      <c r="S191" s="1212"/>
      <c r="T191" s="1212"/>
      <c r="U191" s="1212"/>
      <c r="V191" s="1212"/>
      <c r="W191" s="1212"/>
      <c r="X191" s="1212"/>
      <c r="Y191" s="1212"/>
      <c r="Z191" s="1212"/>
      <c r="AA191" s="1212"/>
      <c r="AB191" s="1212"/>
      <c r="AC191" s="1212"/>
      <c r="AD191" s="1212"/>
      <c r="AE191" s="1212"/>
      <c r="AF191" s="1212"/>
      <c r="AG191" s="1212"/>
      <c r="AH191" s="1212"/>
      <c r="AI191" s="1212"/>
      <c r="AJ191" s="1212"/>
    </row>
    <row r="192" spans="1:47" ht="3" customHeight="1" x14ac:dyDescent="0.35">
      <c r="X192" s="1920"/>
      <c r="Y192" s="1921"/>
      <c r="Z192" s="1921"/>
      <c r="AA192" s="1921"/>
      <c r="AB192" s="1921"/>
      <c r="AC192" s="1921"/>
      <c r="AD192" s="1921"/>
      <c r="AE192" s="1921"/>
      <c r="AF192" s="1921"/>
      <c r="AG192" s="1921"/>
      <c r="AH192" s="1921"/>
      <c r="AI192" s="1921"/>
      <c r="AJ192" s="1921"/>
      <c r="AK192" s="1922"/>
    </row>
    <row r="193" spans="2:37" x14ac:dyDescent="0.35">
      <c r="X193" s="1923"/>
      <c r="Y193" s="1916"/>
      <c r="Z193" s="1916"/>
      <c r="AA193" s="1916"/>
      <c r="AB193" s="1916"/>
      <c r="AC193" s="1916"/>
      <c r="AD193" s="1916"/>
      <c r="AE193" s="1916"/>
      <c r="AF193" s="1916"/>
      <c r="AG193" s="1916"/>
      <c r="AH193" s="1916"/>
      <c r="AI193" s="1916"/>
      <c r="AJ193" s="1916"/>
      <c r="AK193" s="1924"/>
    </row>
    <row r="194" spans="2:37" ht="4.5" hidden="1" customHeight="1" x14ac:dyDescent="0.35">
      <c r="X194" s="1923"/>
      <c r="Y194" s="1916"/>
      <c r="Z194" s="1916"/>
      <c r="AA194" s="1916"/>
      <c r="AB194" s="1916"/>
      <c r="AC194" s="1916"/>
      <c r="AD194" s="1916"/>
      <c r="AE194" s="1916"/>
      <c r="AF194" s="1916"/>
      <c r="AG194" s="1916"/>
      <c r="AH194" s="1916"/>
      <c r="AI194" s="1916"/>
      <c r="AJ194" s="1916"/>
      <c r="AK194" s="1924"/>
    </row>
    <row r="195" spans="2:37" ht="18.75" customHeight="1" x14ac:dyDescent="0.35">
      <c r="B195" s="1928"/>
      <c r="C195" s="1929"/>
      <c r="D195" s="1929"/>
      <c r="E195" s="1929"/>
      <c r="F195" s="1929"/>
      <c r="G195" s="1929"/>
      <c r="H195" s="1929"/>
      <c r="I195" s="1929"/>
      <c r="J195" s="1930"/>
      <c r="K195" s="1093" t="s">
        <v>682</v>
      </c>
      <c r="L195" s="1931"/>
      <c r="M195" s="1932"/>
      <c r="N195" s="1933"/>
      <c r="P195" s="1917"/>
      <c r="Q195" s="1918"/>
      <c r="S195" s="1917"/>
      <c r="T195" s="1918"/>
      <c r="X195" s="1925"/>
      <c r="Y195" s="1926"/>
      <c r="Z195" s="1926"/>
      <c r="AA195" s="1926"/>
      <c r="AB195" s="1926"/>
      <c r="AC195" s="1926"/>
      <c r="AD195" s="1926"/>
      <c r="AE195" s="1926"/>
      <c r="AF195" s="1926"/>
      <c r="AG195" s="1926"/>
      <c r="AH195" s="1926"/>
      <c r="AI195" s="1926"/>
      <c r="AJ195" s="1926"/>
      <c r="AK195" s="1927"/>
    </row>
    <row r="196" spans="2:37" x14ac:dyDescent="0.35">
      <c r="X196" s="1916" t="s">
        <v>779</v>
      </c>
      <c r="Y196" s="1916"/>
      <c r="Z196" s="1916"/>
      <c r="AA196" s="1916"/>
      <c r="AB196" s="1916"/>
      <c r="AC196" s="1916"/>
      <c r="AD196" s="1916"/>
      <c r="AE196" s="1916"/>
      <c r="AF196" s="1916"/>
      <c r="AG196" s="1916"/>
      <c r="AH196" s="1916"/>
      <c r="AI196" s="1916"/>
      <c r="AJ196" s="1916"/>
      <c r="AK196" s="1916"/>
    </row>
  </sheetData>
  <sheetProtection algorithmName="SHA-512" hashValue="17m/YpEk17vPMkXdQMmKAs6arUf7k7q2hqVWQn/O5kIq/Uhg8yafJCU0roen75BuToZTS3MeqtQwJ8ZHW6H3/w==" saltValue="5mJHk46Yx8uinqcHD23YQA==" spinCount="100000" sheet="1" selectLockedCells="1"/>
  <mergeCells count="121">
    <mergeCell ref="A1:X1"/>
    <mergeCell ref="J4:T4"/>
    <mergeCell ref="B13:AK13"/>
    <mergeCell ref="F18:R18"/>
    <mergeCell ref="X18:AJ18"/>
    <mergeCell ref="F20:R20"/>
    <mergeCell ref="X20:AJ20"/>
    <mergeCell ref="Y33:AJ33"/>
    <mergeCell ref="Y35:AJ35"/>
    <mergeCell ref="Y37:AJ37"/>
    <mergeCell ref="F43:L43"/>
    <mergeCell ref="O43:R43"/>
    <mergeCell ref="U43:AE43"/>
    <mergeCell ref="F22:R22"/>
    <mergeCell ref="F24:R24"/>
    <mergeCell ref="X24:AA24"/>
    <mergeCell ref="AC24:AD24"/>
    <mergeCell ref="AF24:AG24"/>
    <mergeCell ref="Y31:AJ31"/>
    <mergeCell ref="F53:R53"/>
    <mergeCell ref="U53:W53"/>
    <mergeCell ref="AA53:AB53"/>
    <mergeCell ref="AF53:AG53"/>
    <mergeCell ref="AI53:AJ53"/>
    <mergeCell ref="F58:L58"/>
    <mergeCell ref="N58:T58"/>
    <mergeCell ref="AA58:AJ58"/>
    <mergeCell ref="F45:R45"/>
    <mergeCell ref="U45:W45"/>
    <mergeCell ref="AA45:AB45"/>
    <mergeCell ref="AF45:AG45"/>
    <mergeCell ref="AI45:AJ45"/>
    <mergeCell ref="F51:L51"/>
    <mergeCell ref="O51:R51"/>
    <mergeCell ref="U51:AE51"/>
    <mergeCell ref="B65:AK65"/>
    <mergeCell ref="M74:T74"/>
    <mergeCell ref="G85:M85"/>
    <mergeCell ref="W85:AD85"/>
    <mergeCell ref="AH85:AI85"/>
    <mergeCell ref="G87:M87"/>
    <mergeCell ref="T87:AG87"/>
    <mergeCell ref="F60:L60"/>
    <mergeCell ref="N60:T60"/>
    <mergeCell ref="AA60:AJ60"/>
    <mergeCell ref="F62:L62"/>
    <mergeCell ref="N62:T62"/>
    <mergeCell ref="AA62:AJ62"/>
    <mergeCell ref="J103:T103"/>
    <mergeCell ref="T107:AJ109"/>
    <mergeCell ref="O108:P108"/>
    <mergeCell ref="O110:P110"/>
    <mergeCell ref="O112:P112"/>
    <mergeCell ref="G129:W129"/>
    <mergeCell ref="AA129:AB129"/>
    <mergeCell ref="G89:M89"/>
    <mergeCell ref="T89:AJ89"/>
    <mergeCell ref="G91:M91"/>
    <mergeCell ref="T91:AJ91"/>
    <mergeCell ref="O95:AJ95"/>
    <mergeCell ref="A100:X100"/>
    <mergeCell ref="AC143:AJ143"/>
    <mergeCell ref="K145:R145"/>
    <mergeCell ref="T145:AA145"/>
    <mergeCell ref="AC145:AJ145"/>
    <mergeCell ref="K147:R147"/>
    <mergeCell ref="T147:AA147"/>
    <mergeCell ref="AC147:AJ147"/>
    <mergeCell ref="H131:Q131"/>
    <mergeCell ref="J136:T136"/>
    <mergeCell ref="J138:T138"/>
    <mergeCell ref="J140:T140"/>
    <mergeCell ref="K143:R143"/>
    <mergeCell ref="T143:AA143"/>
    <mergeCell ref="K153:R153"/>
    <mergeCell ref="T153:AA153"/>
    <mergeCell ref="AC153:AJ153"/>
    <mergeCell ref="B155:L155"/>
    <mergeCell ref="B157:J157"/>
    <mergeCell ref="K157:O157"/>
    <mergeCell ref="T157:X157"/>
    <mergeCell ref="AC157:AG157"/>
    <mergeCell ref="K149:O149"/>
    <mergeCell ref="T149:X149"/>
    <mergeCell ref="AC149:AG149"/>
    <mergeCell ref="K151:O151"/>
    <mergeCell ref="T151:X151"/>
    <mergeCell ref="AC151:AG151"/>
    <mergeCell ref="Q165:R165"/>
    <mergeCell ref="Z165:AA165"/>
    <mergeCell ref="AI165:AJ165"/>
    <mergeCell ref="Q167:R167"/>
    <mergeCell ref="Z167:AA167"/>
    <mergeCell ref="AI167:AJ167"/>
    <mergeCell ref="B159:K159"/>
    <mergeCell ref="B161:L161"/>
    <mergeCell ref="B163:J163"/>
    <mergeCell ref="K163:O163"/>
    <mergeCell ref="T163:X163"/>
    <mergeCell ref="AC163:AG163"/>
    <mergeCell ref="F177:L177"/>
    <mergeCell ref="O177:R177"/>
    <mergeCell ref="U177:AE177"/>
    <mergeCell ref="F179:R179"/>
    <mergeCell ref="U179:W179"/>
    <mergeCell ref="AA179:AB179"/>
    <mergeCell ref="F173:R173"/>
    <mergeCell ref="X173:AJ173"/>
    <mergeCell ref="F175:L175"/>
    <mergeCell ref="N175:S175"/>
    <mergeCell ref="AA175:AJ175"/>
    <mergeCell ref="F176:R176"/>
    <mergeCell ref="X196:AK196"/>
    <mergeCell ref="AF179:AG179"/>
    <mergeCell ref="AI179:AJ179"/>
    <mergeCell ref="B182:AK182"/>
    <mergeCell ref="X192:AK195"/>
    <mergeCell ref="B195:J195"/>
    <mergeCell ref="L195:N195"/>
    <mergeCell ref="P195:Q195"/>
    <mergeCell ref="S195:T195"/>
  </mergeCells>
  <pageMargins left="0.78740157480314965" right="0.51181102362204722" top="0.59933333333333338" bottom="0.39370078740157483" header="0.27559055118110237" footer="0.19685039370078741"/>
  <pageSetup paperSize="9" scale="62" orientation="portrait" horizontalDpi="4294967293" r:id="rId1"/>
  <headerFooter alignWithMargins="0">
    <oddHeader>&amp;L&amp;G</oddHeader>
    <oddFooter>&amp;L&amp;"Trebuchet MS,Normál"&amp;K000000&amp;P/&amp;N&amp;C&amp;"Trebuchet MS,Normál"&amp;K000000Gránit Bank Zrt. 
székhely: 1095 Budapest, Lechner Ödön fasor 8. ; cégjegyzékszáma: 01-10-041028&amp;R&amp;"Trebuchet MS,Normál"&amp;K000000www.granitbank.hu</oddFooter>
  </headerFooter>
  <rowBreaks count="1" manualBreakCount="1">
    <brk id="98" max="37"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1"/>
  <sheetViews>
    <sheetView zoomScaleNormal="100" zoomScaleSheetLayoutView="100" workbookViewId="0">
      <selection activeCell="L47" sqref="L47:W47"/>
    </sheetView>
  </sheetViews>
  <sheetFormatPr defaultColWidth="9.109375" defaultRowHeight="14.4" x14ac:dyDescent="0.35"/>
  <cols>
    <col min="1" max="1" width="1" style="1216" customWidth="1"/>
    <col min="2" max="4" width="3.5546875" style="1216" customWidth="1"/>
    <col min="5" max="5" width="4.33203125" style="1216" customWidth="1"/>
    <col min="6" max="10" width="3.5546875" style="1216" customWidth="1"/>
    <col min="11" max="11" width="5" style="1216" customWidth="1"/>
    <col min="12" max="13" width="3.5546875" style="1216" customWidth="1"/>
    <col min="14" max="14" width="4.109375" style="1216" customWidth="1"/>
    <col min="15" max="25" width="3.5546875" style="1216" customWidth="1"/>
    <col min="26" max="26" width="4.33203125" style="1216" customWidth="1"/>
    <col min="27" max="36" width="3.5546875" style="1216" customWidth="1"/>
    <col min="37" max="37" width="4.5546875" style="1216" bestFit="1" customWidth="1"/>
    <col min="38" max="38" width="2.88671875" style="1093" bestFit="1" customWidth="1"/>
    <col min="39" max="16384" width="9.109375" style="202"/>
  </cols>
  <sheetData>
    <row r="1" spans="1:38" s="187" customFormat="1" ht="44.25" customHeight="1" x14ac:dyDescent="0.3">
      <c r="A1" s="1976" t="s">
        <v>780</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214"/>
      <c r="Z1" s="1214"/>
      <c r="AA1" s="1214"/>
      <c r="AB1" s="1214"/>
      <c r="AC1" s="1214"/>
      <c r="AD1" s="1214"/>
      <c r="AE1" s="1214"/>
      <c r="AF1" s="1214"/>
      <c r="AG1" s="1214"/>
      <c r="AH1" s="1214"/>
      <c r="AI1" s="1214"/>
      <c r="AJ1" s="1214"/>
      <c r="AK1" s="1214"/>
      <c r="AL1" s="1091"/>
    </row>
    <row r="2" spans="1:38" s="219" customFormat="1" ht="9" customHeight="1" thickBot="1" x14ac:dyDescent="0.4">
      <c r="A2" s="1215"/>
      <c r="B2" s="1216"/>
      <c r="C2" s="1216"/>
      <c r="D2" s="1216"/>
      <c r="E2" s="1216"/>
      <c r="F2" s="1216"/>
      <c r="G2" s="1216"/>
      <c r="H2" s="1216"/>
      <c r="I2" s="1216"/>
      <c r="J2" s="1216"/>
      <c r="K2" s="1216"/>
      <c r="L2" s="1216"/>
      <c r="M2" s="1216"/>
      <c r="N2" s="1216"/>
      <c r="O2" s="1215"/>
      <c r="P2" s="1217"/>
      <c r="Q2" s="1217"/>
      <c r="R2" s="1217"/>
      <c r="S2" s="1217"/>
      <c r="T2" s="1217"/>
      <c r="U2" s="1217"/>
      <c r="V2" s="1217"/>
      <c r="W2" s="1217"/>
      <c r="X2" s="1217"/>
      <c r="Y2" s="1217"/>
      <c r="Z2" s="1217"/>
      <c r="AA2" s="1217"/>
      <c r="AB2" s="1217"/>
      <c r="AC2" s="1217"/>
      <c r="AD2" s="1217"/>
      <c r="AE2" s="1217"/>
      <c r="AF2" s="1217"/>
      <c r="AG2" s="1217"/>
      <c r="AH2" s="1217"/>
      <c r="AI2" s="1217"/>
      <c r="AJ2" s="1217"/>
      <c r="AK2" s="1217"/>
      <c r="AL2" s="1094"/>
    </row>
    <row r="3" spans="1:38" ht="3.75" customHeight="1" x14ac:dyDescent="0.35">
      <c r="A3" s="1218"/>
      <c r="B3" s="1219"/>
      <c r="C3" s="1220"/>
      <c r="D3" s="1220"/>
      <c r="E3" s="1220"/>
      <c r="F3" s="1220"/>
      <c r="G3" s="1220"/>
      <c r="H3" s="1220"/>
      <c r="I3" s="1220"/>
      <c r="J3" s="1220"/>
      <c r="K3" s="1220"/>
      <c r="L3" s="1220"/>
      <c r="M3" s="1220"/>
      <c r="N3" s="1220"/>
      <c r="O3" s="1220"/>
      <c r="P3" s="1220"/>
      <c r="Q3" s="1220"/>
      <c r="R3" s="1220"/>
      <c r="S3" s="1220"/>
      <c r="T3" s="1220"/>
      <c r="U3" s="1220"/>
      <c r="V3" s="1221"/>
    </row>
    <row r="4" spans="1:38" ht="18.75" customHeight="1" x14ac:dyDescent="0.35">
      <c r="A4" s="1218"/>
      <c r="B4" s="1222" t="s">
        <v>1037</v>
      </c>
      <c r="C4" s="1223"/>
      <c r="D4" s="1223"/>
      <c r="E4" s="1223"/>
      <c r="F4" s="1223"/>
      <c r="G4" s="1223"/>
      <c r="H4" s="1223"/>
      <c r="I4" s="1223"/>
      <c r="J4" s="1978"/>
      <c r="K4" s="1978"/>
      <c r="L4" s="1978"/>
      <c r="M4" s="1978"/>
      <c r="N4" s="1978"/>
      <c r="O4" s="1978"/>
      <c r="P4" s="1978"/>
      <c r="Q4" s="1978"/>
      <c r="R4" s="1978"/>
      <c r="S4" s="1978"/>
      <c r="T4" s="1978"/>
      <c r="U4" s="1224"/>
      <c r="V4" s="1225"/>
    </row>
    <row r="5" spans="1:38" ht="3.75" customHeight="1" thickBot="1" x14ac:dyDescent="0.4">
      <c r="A5" s="1218"/>
      <c r="B5" s="1226"/>
      <c r="C5" s="1227"/>
      <c r="D5" s="1227"/>
      <c r="E5" s="1227"/>
      <c r="F5" s="1227"/>
      <c r="G5" s="1227"/>
      <c r="H5" s="1227"/>
      <c r="I5" s="1227"/>
      <c r="J5" s="1228"/>
      <c r="K5" s="1228"/>
      <c r="L5" s="1228"/>
      <c r="M5" s="1228"/>
      <c r="N5" s="1228"/>
      <c r="O5" s="1228"/>
      <c r="P5" s="1228"/>
      <c r="Q5" s="1228"/>
      <c r="R5" s="1228"/>
      <c r="S5" s="1228"/>
      <c r="T5" s="1228"/>
      <c r="U5" s="1227"/>
      <c r="V5" s="1229"/>
      <c r="AG5" s="1230"/>
      <c r="AH5" s="1230"/>
      <c r="AI5" s="1230"/>
      <c r="AJ5" s="1230"/>
      <c r="AK5" s="1230"/>
    </row>
    <row r="6" spans="1:38" s="204" customFormat="1" ht="5.25" customHeight="1" x14ac:dyDescent="0.35">
      <c r="A6" s="1231"/>
      <c r="B6" s="1232"/>
      <c r="C6" s="1233"/>
      <c r="D6" s="1233"/>
      <c r="E6" s="1233"/>
      <c r="F6" s="1233"/>
      <c r="G6" s="1233"/>
      <c r="H6" s="1233"/>
      <c r="I6" s="1233"/>
      <c r="J6" s="1233"/>
      <c r="K6" s="1233"/>
      <c r="L6" s="1233"/>
      <c r="M6" s="1233"/>
      <c r="N6" s="1233"/>
      <c r="O6" s="1233"/>
      <c r="P6" s="1233"/>
      <c r="Q6" s="1233"/>
      <c r="R6" s="1233"/>
      <c r="S6" s="1233"/>
      <c r="T6" s="1233"/>
      <c r="U6" s="1233"/>
      <c r="V6" s="1233"/>
      <c r="W6" s="1233"/>
      <c r="X6" s="1233"/>
      <c r="Y6" s="1233"/>
      <c r="Z6" s="1233"/>
      <c r="AA6" s="1233"/>
      <c r="AB6" s="1233"/>
      <c r="AC6" s="1233"/>
      <c r="AD6" s="1233"/>
      <c r="AE6" s="1233"/>
      <c r="AF6" s="1233"/>
      <c r="AG6" s="1233"/>
      <c r="AH6" s="1233"/>
      <c r="AI6" s="1233"/>
      <c r="AJ6" s="1233"/>
      <c r="AK6" s="1234"/>
      <c r="AL6" s="1109"/>
    </row>
    <row r="7" spans="1:38" ht="3.75" customHeight="1" x14ac:dyDescent="0.35">
      <c r="A7" s="1235"/>
      <c r="B7" s="1235"/>
      <c r="C7" s="1235"/>
      <c r="D7" s="1235"/>
      <c r="E7" s="1235"/>
      <c r="F7" s="1235"/>
      <c r="G7" s="1235"/>
      <c r="H7" s="1235"/>
      <c r="I7" s="1235"/>
      <c r="J7" s="1236"/>
      <c r="K7" s="1236"/>
      <c r="L7" s="1236"/>
      <c r="N7" s="1236"/>
      <c r="O7" s="1236"/>
      <c r="P7" s="1236"/>
      <c r="Q7" s="1236"/>
      <c r="R7" s="1236"/>
      <c r="S7" s="1236"/>
      <c r="T7" s="1236"/>
      <c r="U7" s="1236"/>
      <c r="V7" s="1236"/>
      <c r="W7" s="1236"/>
      <c r="X7" s="1236"/>
      <c r="Y7" s="1236"/>
      <c r="Z7" s="1236"/>
      <c r="AK7" s="1236"/>
      <c r="AL7" s="1111"/>
    </row>
    <row r="8" spans="1:38" ht="8.25" customHeight="1" x14ac:dyDescent="0.35">
      <c r="A8" s="1235"/>
      <c r="C8" s="1236"/>
      <c r="D8" s="1236"/>
      <c r="E8" s="1236"/>
      <c r="F8" s="1234"/>
      <c r="G8" s="1234"/>
      <c r="H8" s="1234"/>
      <c r="I8" s="1234"/>
      <c r="J8" s="1234"/>
      <c r="K8" s="1234"/>
      <c r="L8" s="1234"/>
      <c r="M8" s="1234"/>
      <c r="N8" s="1234"/>
      <c r="O8" s="1234"/>
      <c r="P8" s="1234"/>
      <c r="Q8" s="1234"/>
      <c r="R8" s="1236"/>
      <c r="S8" s="1236"/>
      <c r="T8" s="1236"/>
      <c r="U8" s="1236"/>
      <c r="V8" s="1236"/>
    </row>
    <row r="9" spans="1:38" ht="12" customHeight="1" thickBot="1" x14ac:dyDescent="0.4">
      <c r="A9" s="1235"/>
      <c r="B9" s="1235"/>
      <c r="C9" s="1235"/>
      <c r="D9" s="1235"/>
      <c r="E9" s="1235"/>
      <c r="F9" s="1235"/>
      <c r="G9" s="1235"/>
      <c r="H9" s="1235"/>
      <c r="I9" s="1235"/>
      <c r="J9" s="1236"/>
      <c r="K9" s="1236"/>
      <c r="L9" s="1236"/>
      <c r="N9" s="1236"/>
      <c r="O9" s="1236"/>
      <c r="P9" s="1236"/>
      <c r="Q9" s="1236"/>
      <c r="R9" s="1236"/>
      <c r="S9" s="1236"/>
      <c r="T9" s="1236"/>
      <c r="U9" s="1236"/>
      <c r="V9" s="1236"/>
      <c r="W9" s="1236"/>
      <c r="X9" s="1236"/>
      <c r="Y9" s="1236"/>
      <c r="Z9" s="1236"/>
      <c r="AK9" s="1236"/>
      <c r="AL9" s="1111"/>
    </row>
    <row r="10" spans="1:38" ht="3.75" customHeight="1" x14ac:dyDescent="0.35">
      <c r="A10" s="1235"/>
      <c r="B10" s="1237"/>
      <c r="C10" s="1238"/>
      <c r="D10" s="1238"/>
      <c r="E10" s="1238"/>
      <c r="F10" s="1238"/>
      <c r="G10" s="1238"/>
      <c r="H10" s="1238"/>
      <c r="I10" s="1238"/>
      <c r="J10" s="1239"/>
      <c r="K10" s="1239"/>
      <c r="L10" s="1239"/>
      <c r="M10" s="1240"/>
      <c r="N10" s="1239"/>
      <c r="O10" s="1239"/>
      <c r="P10" s="1239"/>
      <c r="Q10" s="1239"/>
      <c r="R10" s="1239"/>
      <c r="S10" s="1239"/>
      <c r="T10" s="1239"/>
      <c r="U10" s="1239"/>
      <c r="V10" s="1239"/>
      <c r="W10" s="1239"/>
      <c r="X10" s="1239"/>
      <c r="Y10" s="1239"/>
      <c r="Z10" s="1239"/>
      <c r="AA10" s="1240"/>
      <c r="AB10" s="1240"/>
      <c r="AC10" s="1240"/>
      <c r="AD10" s="1240"/>
      <c r="AE10" s="1240"/>
      <c r="AF10" s="1240"/>
      <c r="AG10" s="1240"/>
      <c r="AH10" s="1240"/>
      <c r="AI10" s="1240"/>
      <c r="AJ10" s="1240"/>
      <c r="AK10" s="1241"/>
      <c r="AL10" s="1111"/>
    </row>
    <row r="11" spans="1:38" ht="18.75" customHeight="1" x14ac:dyDescent="0.35">
      <c r="A11" s="1235"/>
      <c r="B11" s="1242" t="s">
        <v>1436</v>
      </c>
      <c r="C11" s="1243"/>
      <c r="D11" s="1243"/>
      <c r="E11" s="1243"/>
      <c r="F11" s="1243"/>
      <c r="G11" s="1243"/>
      <c r="H11" s="1243"/>
      <c r="I11" s="1243"/>
      <c r="J11" s="1244"/>
      <c r="K11" s="1244"/>
      <c r="L11" s="1244"/>
      <c r="M11" s="1122"/>
      <c r="N11" s="1245" t="s">
        <v>85</v>
      </c>
      <c r="O11" s="1244"/>
      <c r="P11" s="1122"/>
      <c r="Q11" s="1245" t="s">
        <v>87</v>
      </c>
      <c r="R11" s="1244"/>
      <c r="S11" s="1244"/>
      <c r="T11" s="1244"/>
      <c r="U11" s="1244"/>
      <c r="V11" s="1244"/>
      <c r="W11" s="1244"/>
      <c r="X11" s="1244"/>
      <c r="Y11" s="1244"/>
      <c r="Z11" s="1244"/>
      <c r="AA11" s="1246"/>
      <c r="AB11" s="1246"/>
      <c r="AC11" s="1246"/>
      <c r="AD11" s="1246"/>
      <c r="AE11" s="1246"/>
      <c r="AF11" s="1246"/>
      <c r="AG11" s="1246"/>
      <c r="AH11" s="1246"/>
      <c r="AI11" s="1246"/>
      <c r="AJ11" s="1246"/>
      <c r="AK11" s="1247"/>
      <c r="AL11" s="1111"/>
    </row>
    <row r="12" spans="1:38" ht="3.75" customHeight="1" x14ac:dyDescent="0.35">
      <c r="A12" s="1235"/>
      <c r="B12" s="1248"/>
      <c r="C12" s="1243"/>
      <c r="D12" s="1243"/>
      <c r="E12" s="1243"/>
      <c r="F12" s="1243"/>
      <c r="G12" s="1243"/>
      <c r="H12" s="1243"/>
      <c r="I12" s="1243"/>
      <c r="J12" s="1244"/>
      <c r="K12" s="1244"/>
      <c r="L12" s="1244"/>
      <c r="M12" s="1246"/>
      <c r="N12" s="1244"/>
      <c r="O12" s="1244"/>
      <c r="P12" s="1244"/>
      <c r="Q12" s="1244"/>
      <c r="R12" s="1244"/>
      <c r="S12" s="1244"/>
      <c r="T12" s="1244"/>
      <c r="U12" s="1244"/>
      <c r="V12" s="1244"/>
      <c r="W12" s="1244"/>
      <c r="X12" s="1244"/>
      <c r="Y12" s="1244"/>
      <c r="Z12" s="1244"/>
      <c r="AA12" s="1246"/>
      <c r="AB12" s="1246"/>
      <c r="AC12" s="1246"/>
      <c r="AD12" s="1246"/>
      <c r="AE12" s="1246"/>
      <c r="AF12" s="1246"/>
      <c r="AG12" s="1246"/>
      <c r="AH12" s="1246"/>
      <c r="AI12" s="1246"/>
      <c r="AJ12" s="1246"/>
      <c r="AK12" s="1247"/>
      <c r="AL12" s="1111"/>
    </row>
    <row r="13" spans="1:38" ht="18.75" customHeight="1" x14ac:dyDescent="0.35">
      <c r="A13" s="1235"/>
      <c r="B13" s="1242" t="s">
        <v>781</v>
      </c>
      <c r="C13" s="1246"/>
      <c r="D13" s="1246"/>
      <c r="E13" s="1246"/>
      <c r="F13" s="1917"/>
      <c r="G13" s="1934"/>
      <c r="H13" s="1934"/>
      <c r="I13" s="1918"/>
      <c r="J13" s="1198" t="s">
        <v>714</v>
      </c>
      <c r="K13" s="1187"/>
      <c r="L13" s="1917"/>
      <c r="M13" s="1934"/>
      <c r="N13" s="1934"/>
      <c r="O13" s="1934"/>
      <c r="P13" s="1934"/>
      <c r="Q13" s="1934"/>
      <c r="R13" s="1934"/>
      <c r="S13" s="1934"/>
      <c r="T13" s="1934"/>
      <c r="U13" s="1934"/>
      <c r="V13" s="1918"/>
      <c r="W13" s="1198" t="s">
        <v>715</v>
      </c>
      <c r="X13" s="1187"/>
      <c r="Y13" s="1187"/>
      <c r="Z13" s="1187"/>
      <c r="AA13" s="1187"/>
      <c r="AB13" s="1249"/>
      <c r="AC13" s="1249"/>
      <c r="AD13" s="1249"/>
      <c r="AE13" s="1249"/>
      <c r="AF13" s="1198"/>
      <c r="AG13" s="1250"/>
      <c r="AH13" s="1250"/>
      <c r="AI13" s="1250"/>
      <c r="AJ13" s="1250"/>
      <c r="AK13" s="1247"/>
      <c r="AL13" s="1111"/>
    </row>
    <row r="14" spans="1:38" ht="3.75" customHeight="1" x14ac:dyDescent="0.35">
      <c r="A14" s="1235"/>
      <c r="B14" s="1242"/>
      <c r="C14" s="1246"/>
      <c r="D14" s="1246"/>
      <c r="E14" s="1246"/>
      <c r="F14" s="1246"/>
      <c r="G14" s="1246"/>
      <c r="H14" s="1246"/>
      <c r="I14" s="1246"/>
      <c r="J14" s="1246"/>
      <c r="K14" s="1246"/>
      <c r="L14" s="1246"/>
      <c r="M14" s="1246"/>
      <c r="N14" s="1246"/>
      <c r="O14" s="1246"/>
      <c r="P14" s="1246"/>
      <c r="Q14" s="1246"/>
      <c r="R14" s="1246"/>
      <c r="S14" s="1246"/>
      <c r="T14" s="1246"/>
      <c r="U14" s="1246"/>
      <c r="V14" s="1246"/>
      <c r="W14" s="1246"/>
      <c r="X14" s="1246"/>
      <c r="Y14" s="1246"/>
      <c r="Z14" s="1246"/>
      <c r="AA14" s="1246"/>
      <c r="AB14" s="1246"/>
      <c r="AC14" s="1246"/>
      <c r="AD14" s="1246"/>
      <c r="AE14" s="1246"/>
      <c r="AF14" s="1246"/>
      <c r="AG14" s="1246"/>
      <c r="AH14" s="1246"/>
      <c r="AI14" s="1246"/>
      <c r="AJ14" s="1246"/>
      <c r="AK14" s="1251"/>
    </row>
    <row r="15" spans="1:38" ht="18.75" customHeight="1" x14ac:dyDescent="0.35">
      <c r="A15" s="1235"/>
      <c r="B15" s="1242"/>
      <c r="C15" s="1246"/>
      <c r="D15" s="1246"/>
      <c r="E15" s="1246"/>
      <c r="F15" s="1917"/>
      <c r="G15" s="1934"/>
      <c r="H15" s="1934"/>
      <c r="I15" s="1934"/>
      <c r="J15" s="1934"/>
      <c r="K15" s="1934"/>
      <c r="L15" s="1934"/>
      <c r="M15" s="1932"/>
      <c r="N15" s="1932"/>
      <c r="O15" s="1932"/>
      <c r="P15" s="1932"/>
      <c r="Q15" s="1932"/>
      <c r="R15" s="1933"/>
      <c r="S15" s="1250" t="s">
        <v>716</v>
      </c>
      <c r="T15" s="1246"/>
      <c r="U15" s="1917"/>
      <c r="V15" s="1934"/>
      <c r="W15" s="1918"/>
      <c r="X15" s="1198" t="s">
        <v>717</v>
      </c>
      <c r="Y15" s="1246"/>
      <c r="Z15" s="1244"/>
      <c r="AA15" s="1917"/>
      <c r="AB15" s="1918"/>
      <c r="AC15" s="1245" t="s">
        <v>718</v>
      </c>
      <c r="AD15" s="1246"/>
      <c r="AE15" s="1250"/>
      <c r="AF15" s="1917"/>
      <c r="AG15" s="1918"/>
      <c r="AH15" s="1198" t="s">
        <v>719</v>
      </c>
      <c r="AI15" s="1917"/>
      <c r="AJ15" s="1918"/>
      <c r="AK15" s="1252" t="s">
        <v>720</v>
      </c>
      <c r="AL15" s="1111"/>
    </row>
    <row r="16" spans="1:38" ht="3.75" customHeight="1" x14ac:dyDescent="0.35">
      <c r="A16" s="1235"/>
      <c r="B16" s="1242"/>
      <c r="C16" s="1246"/>
      <c r="D16" s="1246"/>
      <c r="E16" s="1246"/>
      <c r="F16" s="1246"/>
      <c r="G16" s="1246"/>
      <c r="H16" s="1246"/>
      <c r="I16" s="1246"/>
      <c r="J16" s="1246"/>
      <c r="K16" s="1246"/>
      <c r="L16" s="1246"/>
      <c r="M16" s="1246"/>
      <c r="N16" s="1246"/>
      <c r="O16" s="1246"/>
      <c r="P16" s="1246"/>
      <c r="Q16" s="1246"/>
      <c r="R16" s="1246"/>
      <c r="S16" s="1246"/>
      <c r="T16" s="1246"/>
      <c r="U16" s="1246"/>
      <c r="V16" s="1246"/>
      <c r="W16" s="1246"/>
      <c r="X16" s="1246"/>
      <c r="Y16" s="1246"/>
      <c r="Z16" s="1246"/>
      <c r="AA16" s="1246"/>
      <c r="AB16" s="1246"/>
      <c r="AC16" s="1246"/>
      <c r="AD16" s="1246"/>
      <c r="AE16" s="1246"/>
      <c r="AF16" s="1246"/>
      <c r="AG16" s="1246"/>
      <c r="AH16" s="1246"/>
      <c r="AI16" s="1246"/>
      <c r="AJ16" s="1246"/>
      <c r="AK16" s="1251"/>
    </row>
    <row r="17" spans="1:38" ht="18.75" customHeight="1" x14ac:dyDescent="0.35">
      <c r="A17" s="1235"/>
      <c r="B17" s="1242" t="s">
        <v>782</v>
      </c>
      <c r="C17" s="1246"/>
      <c r="D17" s="1246"/>
      <c r="E17" s="1246"/>
      <c r="F17" s="1246"/>
      <c r="G17" s="1246"/>
      <c r="H17" s="1246"/>
      <c r="I17" s="1917"/>
      <c r="J17" s="1934"/>
      <c r="K17" s="1934"/>
      <c r="L17" s="1934"/>
      <c r="M17" s="1934"/>
      <c r="N17" s="1934"/>
      <c r="O17" s="1934"/>
      <c r="P17" s="1932"/>
      <c r="Q17" s="1932"/>
      <c r="R17" s="1932"/>
      <c r="S17" s="1932"/>
      <c r="T17" s="1932"/>
      <c r="U17" s="1933"/>
      <c r="V17" s="1246"/>
      <c r="W17" s="1246"/>
      <c r="X17" s="1246"/>
      <c r="Y17" s="1246"/>
      <c r="Z17" s="1246"/>
      <c r="AA17" s="1246"/>
      <c r="AB17" s="1246"/>
      <c r="AC17" s="1246"/>
      <c r="AD17" s="1246"/>
      <c r="AE17" s="1246"/>
      <c r="AF17" s="1246"/>
      <c r="AG17" s="1246"/>
      <c r="AH17" s="1246"/>
      <c r="AI17" s="1246"/>
      <c r="AJ17" s="1246"/>
      <c r="AK17" s="1251"/>
    </row>
    <row r="18" spans="1:38" ht="3.75" customHeight="1" x14ac:dyDescent="0.35">
      <c r="A18" s="1235"/>
      <c r="B18" s="1242"/>
      <c r="C18" s="1246"/>
      <c r="D18" s="1246"/>
      <c r="E18" s="1246"/>
      <c r="F18" s="1246"/>
      <c r="G18" s="1246"/>
      <c r="H18" s="1246"/>
      <c r="I18" s="1246"/>
      <c r="J18" s="1246"/>
      <c r="K18" s="1246"/>
      <c r="L18" s="1246"/>
      <c r="M18" s="1246"/>
      <c r="N18" s="1246"/>
      <c r="O18" s="1246"/>
      <c r="P18" s="1246"/>
      <c r="Q18" s="1246"/>
      <c r="R18" s="1246"/>
      <c r="S18" s="1246"/>
      <c r="T18" s="1246"/>
      <c r="U18" s="1246"/>
      <c r="V18" s="1246"/>
      <c r="W18" s="1246"/>
      <c r="X18" s="1246"/>
      <c r="Y18" s="1246"/>
      <c r="Z18" s="1246"/>
      <c r="AA18" s="1246"/>
      <c r="AB18" s="1246"/>
      <c r="AC18" s="1246"/>
      <c r="AD18" s="1246"/>
      <c r="AE18" s="1246"/>
      <c r="AF18" s="1246"/>
      <c r="AG18" s="1246"/>
      <c r="AH18" s="1246"/>
      <c r="AI18" s="1246"/>
      <c r="AJ18" s="1246"/>
      <c r="AK18" s="1251"/>
    </row>
    <row r="19" spans="1:38" ht="18.75" customHeight="1" x14ac:dyDescent="0.35">
      <c r="A19" s="1235"/>
      <c r="B19" s="1242" t="s">
        <v>783</v>
      </c>
      <c r="C19" s="1246"/>
      <c r="D19" s="1246"/>
      <c r="E19" s="1246"/>
      <c r="F19" s="1246"/>
      <c r="G19" s="1122"/>
      <c r="H19" s="1246" t="s">
        <v>247</v>
      </c>
      <c r="I19" s="1246"/>
      <c r="J19" s="1122"/>
      <c r="K19" s="1246" t="s">
        <v>784</v>
      </c>
      <c r="L19" s="1246"/>
      <c r="M19" s="1246"/>
      <c r="N19" s="1122"/>
      <c r="O19" s="1246" t="s">
        <v>785</v>
      </c>
      <c r="P19" s="1246"/>
      <c r="Q19" s="1122"/>
      <c r="R19" s="1246" t="s">
        <v>786</v>
      </c>
      <c r="S19" s="1246"/>
      <c r="T19" s="1122"/>
      <c r="U19" s="1246" t="s">
        <v>787</v>
      </c>
      <c r="V19" s="1246"/>
      <c r="W19" s="1246"/>
      <c r="X19" s="1246"/>
      <c r="Y19" s="1246"/>
      <c r="Z19" s="1122"/>
      <c r="AA19" s="1246" t="s">
        <v>788</v>
      </c>
      <c r="AB19" s="1246"/>
      <c r="AC19" s="1122"/>
      <c r="AD19" s="1246" t="s">
        <v>618</v>
      </c>
      <c r="AE19" s="1246"/>
      <c r="AF19" s="1246"/>
      <c r="AG19" s="1246"/>
      <c r="AH19" s="1246"/>
      <c r="AI19" s="1246"/>
      <c r="AJ19" s="1246"/>
      <c r="AK19" s="1251"/>
    </row>
    <row r="20" spans="1:38" ht="3.75" customHeight="1" x14ac:dyDescent="0.35">
      <c r="A20" s="1235"/>
      <c r="B20" s="1242"/>
      <c r="C20" s="1246"/>
      <c r="D20" s="1246"/>
      <c r="E20" s="1246"/>
      <c r="F20" s="1246"/>
      <c r="G20" s="1246"/>
      <c r="H20" s="1246"/>
      <c r="I20" s="1246"/>
      <c r="J20" s="1246"/>
      <c r="K20" s="1246"/>
      <c r="L20" s="1246"/>
      <c r="M20" s="1246"/>
      <c r="N20" s="1246"/>
      <c r="O20" s="1246"/>
      <c r="P20" s="1246"/>
      <c r="Q20" s="1246"/>
      <c r="R20" s="1246"/>
      <c r="S20" s="1246"/>
      <c r="T20" s="1246"/>
      <c r="U20" s="1246"/>
      <c r="V20" s="1246"/>
      <c r="W20" s="1246"/>
      <c r="X20" s="1246"/>
      <c r="Y20" s="1246"/>
      <c r="Z20" s="1246"/>
      <c r="AA20" s="1246"/>
      <c r="AB20" s="1246"/>
      <c r="AC20" s="1246"/>
      <c r="AD20" s="1246"/>
      <c r="AE20" s="1246"/>
      <c r="AF20" s="1246"/>
      <c r="AG20" s="1246"/>
      <c r="AH20" s="1246"/>
      <c r="AI20" s="1246"/>
      <c r="AJ20" s="1246"/>
      <c r="AK20" s="1251"/>
    </row>
    <row r="21" spans="1:38" ht="18.75" customHeight="1" x14ac:dyDescent="0.35">
      <c r="A21" s="1235"/>
      <c r="B21" s="1242"/>
      <c r="C21" s="1246"/>
      <c r="D21" s="1246"/>
      <c r="E21" s="1246"/>
      <c r="F21" s="1187"/>
      <c r="G21" s="1122"/>
      <c r="H21" s="1187" t="s">
        <v>664</v>
      </c>
      <c r="I21" s="1187"/>
      <c r="J21" s="1917"/>
      <c r="K21" s="1934"/>
      <c r="L21" s="1934"/>
      <c r="M21" s="1934"/>
      <c r="N21" s="1934"/>
      <c r="O21" s="1934"/>
      <c r="P21" s="1934"/>
      <c r="Q21" s="1934"/>
      <c r="R21" s="1934"/>
      <c r="S21" s="1934"/>
      <c r="T21" s="1918"/>
      <c r="U21" s="1971"/>
      <c r="V21" s="1971"/>
      <c r="W21" s="1971"/>
      <c r="X21" s="1971"/>
      <c r="Y21" s="1971"/>
      <c r="Z21" s="1971"/>
      <c r="AA21" s="1971"/>
      <c r="AB21" s="1975"/>
      <c r="AC21" s="1975"/>
      <c r="AD21" s="1975"/>
      <c r="AE21" s="1975"/>
      <c r="AF21" s="1198"/>
      <c r="AG21" s="1250"/>
      <c r="AH21" s="1250"/>
      <c r="AI21" s="1250"/>
      <c r="AJ21" s="1250"/>
      <c r="AK21" s="1253"/>
      <c r="AL21" s="1111"/>
    </row>
    <row r="22" spans="1:38" ht="3.75" customHeight="1" x14ac:dyDescent="0.35">
      <c r="A22" s="1235"/>
      <c r="B22" s="1242"/>
      <c r="C22" s="1246"/>
      <c r="D22" s="1246"/>
      <c r="E22" s="1246"/>
      <c r="F22" s="1246"/>
      <c r="G22" s="1246"/>
      <c r="H22" s="1246"/>
      <c r="I22" s="1246"/>
      <c r="J22" s="1187"/>
      <c r="K22" s="1187"/>
      <c r="L22" s="1187"/>
      <c r="M22" s="1187"/>
      <c r="N22" s="1187"/>
      <c r="O22" s="1187"/>
      <c r="P22" s="1187"/>
      <c r="Q22" s="1187"/>
      <c r="R22" s="1187"/>
      <c r="S22" s="1187"/>
      <c r="T22" s="1187"/>
      <c r="U22" s="1187"/>
      <c r="V22" s="1187"/>
      <c r="W22" s="1187"/>
      <c r="X22" s="1187"/>
      <c r="Y22" s="1187"/>
      <c r="Z22" s="1187"/>
      <c r="AA22" s="1187"/>
      <c r="AB22" s="1187"/>
      <c r="AC22" s="1187"/>
      <c r="AD22" s="1187"/>
      <c r="AE22" s="1187"/>
      <c r="AF22" s="1187"/>
      <c r="AG22" s="1187"/>
      <c r="AH22" s="1187"/>
      <c r="AI22" s="1187"/>
      <c r="AJ22" s="1187"/>
      <c r="AK22" s="1254"/>
    </row>
    <row r="23" spans="1:38" ht="20.100000000000001" customHeight="1" x14ac:dyDescent="0.35">
      <c r="B23" s="1242" t="s">
        <v>789</v>
      </c>
      <c r="C23" s="1246"/>
      <c r="D23" s="1246"/>
      <c r="E23" s="1246"/>
      <c r="F23" s="1246"/>
      <c r="G23" s="1246"/>
      <c r="H23" s="1246"/>
      <c r="I23" s="1246"/>
      <c r="J23" s="1187"/>
      <c r="K23" s="1187"/>
      <c r="L23" s="1917"/>
      <c r="M23" s="1934"/>
      <c r="N23" s="1934"/>
      <c r="O23" s="1934"/>
      <c r="P23" s="1934"/>
      <c r="Q23" s="1934"/>
      <c r="R23" s="1934"/>
      <c r="S23" s="1934"/>
      <c r="T23" s="1934"/>
      <c r="U23" s="1934"/>
      <c r="V23" s="1934"/>
      <c r="W23" s="1918"/>
      <c r="X23" s="1187"/>
      <c r="Y23" s="1187" t="s">
        <v>790</v>
      </c>
      <c r="Z23" s="1187"/>
      <c r="AA23" s="1917"/>
      <c r="AB23" s="1968"/>
      <c r="AC23" s="1968"/>
      <c r="AD23" s="1968"/>
      <c r="AE23" s="1968"/>
      <c r="AF23" s="1968"/>
      <c r="AG23" s="1968"/>
      <c r="AH23" s="1968"/>
      <c r="AI23" s="1968"/>
      <c r="AJ23" s="1968"/>
      <c r="AK23" s="1974"/>
    </row>
    <row r="24" spans="1:38" ht="6.9" customHeight="1" x14ac:dyDescent="0.35">
      <c r="B24" s="1242"/>
      <c r="C24" s="1246"/>
      <c r="D24" s="1246"/>
      <c r="E24" s="1246"/>
      <c r="F24" s="1246"/>
      <c r="G24" s="1246"/>
      <c r="H24" s="1246"/>
      <c r="I24" s="1246"/>
      <c r="J24" s="1187"/>
      <c r="K24" s="1187"/>
      <c r="L24" s="1187"/>
      <c r="M24" s="1187"/>
      <c r="N24" s="1187"/>
      <c r="O24" s="1187"/>
      <c r="P24" s="1187"/>
      <c r="Q24" s="1187"/>
      <c r="R24" s="1187"/>
      <c r="S24" s="1187"/>
      <c r="T24" s="1187"/>
      <c r="U24" s="1187"/>
      <c r="V24" s="1187"/>
      <c r="W24" s="1187"/>
      <c r="X24" s="1187"/>
      <c r="Y24" s="1187"/>
      <c r="Z24" s="1187"/>
      <c r="AA24" s="1187"/>
      <c r="AB24" s="1187"/>
      <c r="AC24" s="1187"/>
      <c r="AD24" s="1187"/>
      <c r="AE24" s="1187"/>
      <c r="AF24" s="1187"/>
      <c r="AG24" s="1187"/>
      <c r="AH24" s="1187"/>
      <c r="AI24" s="1187"/>
      <c r="AJ24" s="1187"/>
      <c r="AK24" s="1254"/>
    </row>
    <row r="25" spans="1:38" ht="20.100000000000001" customHeight="1" x14ac:dyDescent="0.35">
      <c r="B25" s="1242" t="s">
        <v>789</v>
      </c>
      <c r="C25" s="1246"/>
      <c r="D25" s="1246"/>
      <c r="E25" s="1246"/>
      <c r="F25" s="1246"/>
      <c r="G25" s="1246"/>
      <c r="H25" s="1246"/>
      <c r="I25" s="1246"/>
      <c r="J25" s="1187"/>
      <c r="K25" s="1187"/>
      <c r="L25" s="1917"/>
      <c r="M25" s="1934"/>
      <c r="N25" s="1934"/>
      <c r="O25" s="1934"/>
      <c r="P25" s="1934"/>
      <c r="Q25" s="1934"/>
      <c r="R25" s="1934"/>
      <c r="S25" s="1934"/>
      <c r="T25" s="1934"/>
      <c r="U25" s="1934"/>
      <c r="V25" s="1934"/>
      <c r="W25" s="1918"/>
      <c r="X25" s="1187"/>
      <c r="Y25" s="1187" t="s">
        <v>790</v>
      </c>
      <c r="Z25" s="1187"/>
      <c r="AA25" s="1917"/>
      <c r="AB25" s="1968"/>
      <c r="AC25" s="1968"/>
      <c r="AD25" s="1968"/>
      <c r="AE25" s="1968"/>
      <c r="AF25" s="1968"/>
      <c r="AG25" s="1968"/>
      <c r="AH25" s="1968"/>
      <c r="AI25" s="1968"/>
      <c r="AJ25" s="1968"/>
      <c r="AK25" s="1974"/>
    </row>
    <row r="26" spans="1:38" ht="3" customHeight="1" x14ac:dyDescent="0.35">
      <c r="B26" s="1242"/>
      <c r="C26" s="1246"/>
      <c r="D26" s="1246"/>
      <c r="E26" s="1246"/>
      <c r="F26" s="1246"/>
      <c r="G26" s="1246"/>
      <c r="H26" s="1246"/>
      <c r="I26" s="1246"/>
      <c r="J26" s="1187"/>
      <c r="K26" s="1187"/>
      <c r="L26" s="1187"/>
      <c r="M26" s="1187"/>
      <c r="N26" s="1187"/>
      <c r="O26" s="1187"/>
      <c r="P26" s="1187"/>
      <c r="Q26" s="1187"/>
      <c r="R26" s="1187"/>
      <c r="S26" s="1187"/>
      <c r="T26" s="1187"/>
      <c r="U26" s="1187"/>
      <c r="V26" s="1187"/>
      <c r="W26" s="1187"/>
      <c r="X26" s="1187"/>
      <c r="Y26" s="1187"/>
      <c r="Z26" s="1187"/>
      <c r="AA26" s="1187"/>
      <c r="AB26" s="1249"/>
      <c r="AC26" s="1249"/>
      <c r="AD26" s="1249"/>
      <c r="AE26" s="1249"/>
      <c r="AF26" s="1249"/>
      <c r="AG26" s="1249"/>
      <c r="AH26" s="1249"/>
      <c r="AI26" s="1249"/>
      <c r="AJ26" s="1249"/>
      <c r="AK26" s="1255"/>
    </row>
    <row r="27" spans="1:38" ht="20.100000000000001" customHeight="1" x14ac:dyDescent="0.35">
      <c r="B27" s="1242" t="s">
        <v>791</v>
      </c>
      <c r="C27" s="1246"/>
      <c r="D27" s="1246"/>
      <c r="E27" s="1246"/>
      <c r="F27" s="1246"/>
      <c r="G27" s="1246"/>
      <c r="H27" s="1246"/>
      <c r="I27" s="1246"/>
      <c r="J27" s="1187"/>
      <c r="K27" s="1187"/>
      <c r="L27" s="1187"/>
      <c r="M27" s="1152"/>
      <c r="N27" s="1187" t="s">
        <v>85</v>
      </c>
      <c r="O27" s="1187"/>
      <c r="P27" s="1152"/>
      <c r="Q27" s="1187" t="s">
        <v>87</v>
      </c>
      <c r="R27" s="1187"/>
      <c r="S27" s="1187"/>
      <c r="T27" s="1187"/>
      <c r="U27" s="1187" t="s">
        <v>993</v>
      </c>
      <c r="V27" s="1187"/>
      <c r="W27" s="1187"/>
      <c r="X27" s="1187"/>
      <c r="Y27" s="1187"/>
      <c r="Z27" s="1187"/>
      <c r="AA27" s="1187"/>
      <c r="AB27" s="1187"/>
      <c r="AC27" s="1187"/>
      <c r="AD27" s="1187"/>
      <c r="AE27" s="1187"/>
      <c r="AF27" s="1152"/>
      <c r="AG27" s="1187" t="s">
        <v>85</v>
      </c>
      <c r="AH27" s="1187"/>
      <c r="AI27" s="1152"/>
      <c r="AJ27" s="1187" t="s">
        <v>87</v>
      </c>
      <c r="AK27" s="1255"/>
    </row>
    <row r="28" spans="1:38" ht="3.75" customHeight="1" x14ac:dyDescent="0.35">
      <c r="B28" s="1242"/>
      <c r="C28" s="1246"/>
      <c r="D28" s="1246"/>
      <c r="E28" s="1246"/>
      <c r="F28" s="1246"/>
      <c r="G28" s="1246"/>
      <c r="H28" s="1246"/>
      <c r="I28" s="1246"/>
      <c r="J28" s="1187"/>
      <c r="K28" s="1187"/>
      <c r="L28" s="1187"/>
      <c r="M28" s="1187"/>
      <c r="N28" s="1187"/>
      <c r="O28" s="1187"/>
      <c r="P28" s="1187"/>
      <c r="Q28" s="1187"/>
      <c r="R28" s="1187"/>
      <c r="S28" s="1187"/>
      <c r="T28" s="1187"/>
      <c r="U28" s="1187"/>
      <c r="V28" s="1187"/>
      <c r="W28" s="1187"/>
      <c r="X28" s="1187"/>
      <c r="Y28" s="1187"/>
      <c r="Z28" s="1187"/>
      <c r="AA28" s="1187"/>
      <c r="AB28" s="1249"/>
      <c r="AC28" s="1249"/>
      <c r="AD28" s="1249"/>
      <c r="AE28" s="1249"/>
      <c r="AF28" s="1249"/>
      <c r="AG28" s="1249"/>
      <c r="AH28" s="1249"/>
      <c r="AI28" s="1249"/>
      <c r="AJ28" s="1249"/>
      <c r="AK28" s="1255"/>
    </row>
    <row r="29" spans="1:38" ht="20.100000000000001" customHeight="1" x14ac:dyDescent="0.35">
      <c r="B29" s="1242" t="s">
        <v>792</v>
      </c>
      <c r="C29" s="1246"/>
      <c r="D29" s="1246"/>
      <c r="E29" s="1246"/>
      <c r="F29" s="1122"/>
      <c r="G29" s="1246" t="s">
        <v>793</v>
      </c>
      <c r="H29" s="1246"/>
      <c r="I29" s="1246"/>
      <c r="J29" s="1187"/>
      <c r="K29" s="1187"/>
      <c r="L29" s="1187"/>
      <c r="M29" s="1187"/>
      <c r="N29" s="1187"/>
      <c r="O29" s="1152"/>
      <c r="P29" s="1187" t="s">
        <v>794</v>
      </c>
      <c r="Q29" s="1187"/>
      <c r="R29" s="1187"/>
      <c r="S29" s="1187"/>
      <c r="T29" s="1187"/>
      <c r="U29" s="1187"/>
      <c r="V29" s="1187"/>
      <c r="W29" s="1187"/>
      <c r="X29" s="1187"/>
      <c r="Y29" s="1187"/>
      <c r="Z29" s="1187"/>
      <c r="AA29" s="1152"/>
      <c r="AB29" s="1249" t="s">
        <v>795</v>
      </c>
      <c r="AC29" s="1249"/>
      <c r="AD29" s="1249"/>
      <c r="AE29" s="1249"/>
      <c r="AF29" s="1249"/>
      <c r="AG29" s="1249"/>
      <c r="AH29" s="1249"/>
      <c r="AI29" s="1249"/>
      <c r="AJ29" s="1249"/>
      <c r="AK29" s="1255"/>
    </row>
    <row r="30" spans="1:38" ht="3" customHeight="1" x14ac:dyDescent="0.35">
      <c r="B30" s="1242"/>
      <c r="C30" s="1246"/>
      <c r="D30" s="1246"/>
      <c r="E30" s="1246"/>
      <c r="F30" s="1256"/>
      <c r="G30" s="1246"/>
      <c r="H30" s="1246"/>
      <c r="I30" s="1246"/>
      <c r="J30" s="1187"/>
      <c r="K30" s="1187"/>
      <c r="L30" s="1187"/>
      <c r="M30" s="1187"/>
      <c r="N30" s="1187"/>
      <c r="O30" s="1257"/>
      <c r="P30" s="1187"/>
      <c r="Q30" s="1187"/>
      <c r="R30" s="1187"/>
      <c r="S30" s="1187"/>
      <c r="T30" s="1187"/>
      <c r="U30" s="1187"/>
      <c r="V30" s="1187"/>
      <c r="W30" s="1187"/>
      <c r="X30" s="1187"/>
      <c r="Y30" s="1187"/>
      <c r="Z30" s="1187"/>
      <c r="AA30" s="1257"/>
      <c r="AB30" s="1249"/>
      <c r="AC30" s="1249"/>
      <c r="AD30" s="1249"/>
      <c r="AE30" s="1249"/>
      <c r="AF30" s="1249"/>
      <c r="AG30" s="1249"/>
      <c r="AH30" s="1249"/>
      <c r="AI30" s="1249"/>
      <c r="AJ30" s="1249"/>
      <c r="AK30" s="1255"/>
    </row>
    <row r="31" spans="1:38" ht="20.100000000000001" customHeight="1" x14ac:dyDescent="0.35">
      <c r="B31" s="1242" t="s">
        <v>1421</v>
      </c>
      <c r="C31" s="1246"/>
      <c r="D31" s="1246"/>
      <c r="E31" s="1246"/>
      <c r="F31" s="1256"/>
      <c r="G31" s="1246"/>
      <c r="H31" s="1246"/>
      <c r="I31" s="1246"/>
      <c r="J31" s="1187"/>
      <c r="K31" s="1187"/>
      <c r="L31" s="1187"/>
      <c r="M31" s="1187"/>
      <c r="N31" s="1187"/>
      <c r="O31" s="1152"/>
      <c r="P31" s="1187" t="s">
        <v>1423</v>
      </c>
      <c r="Q31" s="1187"/>
      <c r="R31" s="1152"/>
      <c r="S31" s="1187" t="s">
        <v>87</v>
      </c>
      <c r="T31" s="1187"/>
      <c r="U31" s="1187"/>
      <c r="V31" s="1187"/>
      <c r="W31" s="1187"/>
      <c r="X31" s="1187" t="s">
        <v>1424</v>
      </c>
      <c r="Y31" s="1187"/>
      <c r="Z31" s="1187"/>
      <c r="AA31" s="1917"/>
      <c r="AB31" s="1968"/>
      <c r="AC31" s="1968"/>
      <c r="AD31" s="1968"/>
      <c r="AE31" s="1968"/>
      <c r="AF31" s="1968"/>
      <c r="AG31" s="1968"/>
      <c r="AH31" s="1968"/>
      <c r="AI31" s="1968"/>
      <c r="AJ31" s="1968"/>
      <c r="AK31" s="1974"/>
    </row>
    <row r="32" spans="1:38" ht="6.75" customHeight="1" thickBot="1" x14ac:dyDescent="0.4">
      <c r="A32" s="1235"/>
      <c r="B32" s="1258"/>
      <c r="C32" s="1259"/>
      <c r="D32" s="1259"/>
      <c r="E32" s="1259"/>
      <c r="F32" s="1259"/>
      <c r="G32" s="1259"/>
      <c r="H32" s="1259"/>
      <c r="I32" s="1259"/>
      <c r="J32" s="1260"/>
      <c r="K32" s="1260"/>
      <c r="L32" s="1260"/>
      <c r="M32" s="1261"/>
      <c r="N32" s="1260"/>
      <c r="O32" s="1260"/>
      <c r="P32" s="1260"/>
      <c r="Q32" s="1260"/>
      <c r="R32" s="1260"/>
      <c r="S32" s="1260"/>
      <c r="T32" s="1260"/>
      <c r="U32" s="1260"/>
      <c r="V32" s="1260"/>
      <c r="W32" s="1260"/>
      <c r="X32" s="1260"/>
      <c r="Y32" s="1260"/>
      <c r="Z32" s="1260"/>
      <c r="AA32" s="1261"/>
      <c r="AB32" s="1261"/>
      <c r="AC32" s="1261"/>
      <c r="AD32" s="1261"/>
      <c r="AE32" s="1261"/>
      <c r="AF32" s="1261"/>
      <c r="AG32" s="1261"/>
      <c r="AH32" s="1261"/>
      <c r="AI32" s="1261"/>
      <c r="AJ32" s="1261"/>
      <c r="AK32" s="1262"/>
      <c r="AL32" s="1111"/>
    </row>
    <row r="33" spans="1:38" ht="3.75" customHeight="1" x14ac:dyDescent="0.35">
      <c r="A33" s="1235"/>
      <c r="B33" s="1235"/>
      <c r="C33" s="1235"/>
      <c r="D33" s="1235"/>
      <c r="E33" s="1235"/>
      <c r="F33" s="1235"/>
      <c r="G33" s="1235"/>
      <c r="H33" s="1235"/>
      <c r="I33" s="1235"/>
      <c r="J33" s="1236"/>
      <c r="K33" s="1236"/>
      <c r="L33" s="1236"/>
      <c r="N33" s="1236"/>
      <c r="O33" s="1236"/>
      <c r="P33" s="1236"/>
      <c r="Q33" s="1236"/>
      <c r="R33" s="1236"/>
      <c r="S33" s="1236"/>
      <c r="T33" s="1236"/>
      <c r="U33" s="1236"/>
      <c r="V33" s="1236"/>
      <c r="W33" s="1236"/>
      <c r="X33" s="1236"/>
      <c r="Y33" s="1236"/>
      <c r="Z33" s="1236"/>
      <c r="AK33" s="1236"/>
      <c r="AL33" s="1111"/>
    </row>
    <row r="34" spans="1:38" ht="8.25" customHeight="1" x14ac:dyDescent="0.35">
      <c r="A34" s="1235"/>
      <c r="C34" s="1236"/>
      <c r="D34" s="1236"/>
      <c r="E34" s="1236"/>
      <c r="F34" s="1234"/>
      <c r="G34" s="1234"/>
      <c r="H34" s="1234"/>
      <c r="I34" s="1234"/>
      <c r="J34" s="1234"/>
      <c r="K34" s="1234"/>
      <c r="L34" s="1234"/>
      <c r="M34" s="1234"/>
      <c r="N34" s="1234"/>
      <c r="O34" s="1234"/>
      <c r="P34" s="1234"/>
      <c r="Q34" s="1234"/>
      <c r="R34" s="1236"/>
      <c r="S34" s="1236"/>
      <c r="T34" s="1236"/>
      <c r="U34" s="1236"/>
      <c r="V34" s="1236"/>
    </row>
    <row r="35" spans="1:38" ht="12" customHeight="1" thickBot="1" x14ac:dyDescent="0.4">
      <c r="A35" s="1235"/>
      <c r="B35" s="1235"/>
      <c r="C35" s="1235"/>
      <c r="D35" s="1235"/>
      <c r="E35" s="1235"/>
      <c r="F35" s="1235"/>
      <c r="G35" s="1235"/>
      <c r="H35" s="1235"/>
      <c r="I35" s="1235"/>
      <c r="J35" s="1236"/>
      <c r="K35" s="1236"/>
      <c r="L35" s="1236"/>
      <c r="N35" s="1236"/>
      <c r="O35" s="1236"/>
      <c r="P35" s="1236"/>
      <c r="Q35" s="1236"/>
      <c r="R35" s="1236"/>
      <c r="S35" s="1236"/>
      <c r="T35" s="1236"/>
      <c r="U35" s="1236"/>
      <c r="V35" s="1236"/>
      <c r="W35" s="1236"/>
      <c r="X35" s="1236"/>
      <c r="Y35" s="1236"/>
      <c r="Z35" s="1236"/>
      <c r="AK35" s="1236"/>
      <c r="AL35" s="1111"/>
    </row>
    <row r="36" spans="1:38" ht="3.75" customHeight="1" x14ac:dyDescent="0.35">
      <c r="A36" s="1235"/>
      <c r="B36" s="1237"/>
      <c r="C36" s="1238"/>
      <c r="D36" s="1238"/>
      <c r="E36" s="1238"/>
      <c r="F36" s="1238"/>
      <c r="G36" s="1238"/>
      <c r="H36" s="1238"/>
      <c r="I36" s="1238"/>
      <c r="J36" s="1239"/>
      <c r="K36" s="1239"/>
      <c r="L36" s="1239"/>
      <c r="M36" s="1240"/>
      <c r="N36" s="1239"/>
      <c r="O36" s="1239"/>
      <c r="P36" s="1239"/>
      <c r="Q36" s="1239"/>
      <c r="R36" s="1239"/>
      <c r="S36" s="1239"/>
      <c r="T36" s="1239"/>
      <c r="U36" s="1239"/>
      <c r="V36" s="1239"/>
      <c r="W36" s="1239"/>
      <c r="X36" s="1239"/>
      <c r="Y36" s="1239"/>
      <c r="Z36" s="1239"/>
      <c r="AA36" s="1240"/>
      <c r="AB36" s="1240"/>
      <c r="AC36" s="1240"/>
      <c r="AD36" s="1240"/>
      <c r="AE36" s="1240"/>
      <c r="AF36" s="1240"/>
      <c r="AG36" s="1240"/>
      <c r="AH36" s="1240"/>
      <c r="AI36" s="1240"/>
      <c r="AJ36" s="1240"/>
      <c r="AK36" s="1241"/>
      <c r="AL36" s="1111"/>
    </row>
    <row r="37" spans="1:38" ht="18.75" customHeight="1" x14ac:dyDescent="0.35">
      <c r="A37" s="1235"/>
      <c r="B37" s="1242" t="s">
        <v>781</v>
      </c>
      <c r="C37" s="1246"/>
      <c r="D37" s="1246"/>
      <c r="E37" s="1246"/>
      <c r="F37" s="1917"/>
      <c r="G37" s="1934"/>
      <c r="H37" s="1934"/>
      <c r="I37" s="1918"/>
      <c r="J37" s="1198" t="s">
        <v>714</v>
      </c>
      <c r="K37" s="1187"/>
      <c r="L37" s="1917"/>
      <c r="M37" s="1934"/>
      <c r="N37" s="1934"/>
      <c r="O37" s="1934"/>
      <c r="P37" s="1934"/>
      <c r="Q37" s="1934"/>
      <c r="R37" s="1934"/>
      <c r="S37" s="1934"/>
      <c r="T37" s="1934"/>
      <c r="U37" s="1934"/>
      <c r="V37" s="1918"/>
      <c r="W37" s="1198" t="s">
        <v>715</v>
      </c>
      <c r="X37" s="1187"/>
      <c r="Y37" s="1187"/>
      <c r="Z37" s="1187"/>
      <c r="AA37" s="1187"/>
      <c r="AB37" s="1249"/>
      <c r="AC37" s="1249"/>
      <c r="AD37" s="1249"/>
      <c r="AE37" s="1249"/>
      <c r="AF37" s="1198"/>
      <c r="AG37" s="1250"/>
      <c r="AH37" s="1250"/>
      <c r="AI37" s="1250"/>
      <c r="AJ37" s="1250"/>
      <c r="AK37" s="1247"/>
      <c r="AL37" s="1111"/>
    </row>
    <row r="38" spans="1:38" ht="3.75" customHeight="1" x14ac:dyDescent="0.35">
      <c r="A38" s="1235"/>
      <c r="B38" s="1242"/>
      <c r="C38" s="1246"/>
      <c r="D38" s="1246"/>
      <c r="E38" s="1246"/>
      <c r="F38" s="1246"/>
      <c r="G38" s="1246"/>
      <c r="H38" s="1246"/>
      <c r="I38" s="1246"/>
      <c r="J38" s="1246"/>
      <c r="K38" s="1246"/>
      <c r="L38" s="1246"/>
      <c r="M38" s="1246"/>
      <c r="N38" s="1246"/>
      <c r="O38" s="1246"/>
      <c r="P38" s="1246"/>
      <c r="Q38" s="1246"/>
      <c r="R38" s="1246"/>
      <c r="S38" s="1246"/>
      <c r="T38" s="1246"/>
      <c r="U38" s="1246"/>
      <c r="V38" s="1246"/>
      <c r="W38" s="1246"/>
      <c r="X38" s="1246"/>
      <c r="Y38" s="1246"/>
      <c r="Z38" s="1246"/>
      <c r="AA38" s="1246"/>
      <c r="AB38" s="1246"/>
      <c r="AC38" s="1246"/>
      <c r="AD38" s="1246"/>
      <c r="AE38" s="1246"/>
      <c r="AF38" s="1246"/>
      <c r="AG38" s="1246"/>
      <c r="AH38" s="1246"/>
      <c r="AI38" s="1246"/>
      <c r="AJ38" s="1246"/>
      <c r="AK38" s="1251"/>
    </row>
    <row r="39" spans="1:38" ht="18.75" customHeight="1" x14ac:dyDescent="0.35">
      <c r="A39" s="1235"/>
      <c r="B39" s="1242"/>
      <c r="C39" s="1246"/>
      <c r="D39" s="1246"/>
      <c r="E39" s="1246"/>
      <c r="F39" s="1917"/>
      <c r="G39" s="1934"/>
      <c r="H39" s="1934"/>
      <c r="I39" s="1934"/>
      <c r="J39" s="1934"/>
      <c r="K39" s="1934"/>
      <c r="L39" s="1934"/>
      <c r="M39" s="1932"/>
      <c r="N39" s="1932"/>
      <c r="O39" s="1932"/>
      <c r="P39" s="1932"/>
      <c r="Q39" s="1932"/>
      <c r="R39" s="1933"/>
      <c r="S39" s="1250" t="s">
        <v>716</v>
      </c>
      <c r="T39" s="1246"/>
      <c r="U39" s="1917"/>
      <c r="V39" s="1934"/>
      <c r="W39" s="1918"/>
      <c r="X39" s="1198" t="s">
        <v>717</v>
      </c>
      <c r="Y39" s="1246"/>
      <c r="Z39" s="1244"/>
      <c r="AA39" s="1917"/>
      <c r="AB39" s="1918"/>
      <c r="AC39" s="1245" t="s">
        <v>718</v>
      </c>
      <c r="AD39" s="1246"/>
      <c r="AE39" s="1250"/>
      <c r="AF39" s="1917"/>
      <c r="AG39" s="1918"/>
      <c r="AH39" s="1198" t="s">
        <v>719</v>
      </c>
      <c r="AI39" s="1917"/>
      <c r="AJ39" s="1918"/>
      <c r="AK39" s="1252" t="s">
        <v>720</v>
      </c>
      <c r="AL39" s="1111"/>
    </row>
    <row r="40" spans="1:38" ht="3.75" customHeight="1" x14ac:dyDescent="0.35">
      <c r="A40" s="1235"/>
      <c r="B40" s="1242"/>
      <c r="C40" s="1246"/>
      <c r="D40" s="1246"/>
      <c r="E40" s="1246"/>
      <c r="F40" s="1246"/>
      <c r="G40" s="1246"/>
      <c r="H40" s="1246"/>
      <c r="I40" s="1246"/>
      <c r="J40" s="1246"/>
      <c r="K40" s="1246"/>
      <c r="L40" s="1246"/>
      <c r="M40" s="1246"/>
      <c r="N40" s="1246"/>
      <c r="O40" s="1246"/>
      <c r="P40" s="1246"/>
      <c r="Q40" s="1246"/>
      <c r="R40" s="1246"/>
      <c r="S40" s="1246"/>
      <c r="T40" s="1246"/>
      <c r="U40" s="1246"/>
      <c r="V40" s="1246"/>
      <c r="W40" s="1246"/>
      <c r="X40" s="1246"/>
      <c r="Y40" s="1246"/>
      <c r="Z40" s="1246"/>
      <c r="AA40" s="1246"/>
      <c r="AB40" s="1246"/>
      <c r="AC40" s="1246"/>
      <c r="AD40" s="1246"/>
      <c r="AE40" s="1246"/>
      <c r="AF40" s="1246"/>
      <c r="AG40" s="1246"/>
      <c r="AH40" s="1246"/>
      <c r="AI40" s="1246"/>
      <c r="AJ40" s="1246"/>
      <c r="AK40" s="1251"/>
    </row>
    <row r="41" spans="1:38" ht="18.75" customHeight="1" x14ac:dyDescent="0.35">
      <c r="A41" s="1235"/>
      <c r="B41" s="1242" t="s">
        <v>782</v>
      </c>
      <c r="C41" s="1246"/>
      <c r="D41" s="1246"/>
      <c r="E41" s="1246"/>
      <c r="F41" s="1246"/>
      <c r="G41" s="1246"/>
      <c r="H41" s="1246"/>
      <c r="I41" s="1917"/>
      <c r="J41" s="1934"/>
      <c r="K41" s="1934"/>
      <c r="L41" s="1934"/>
      <c r="M41" s="1934"/>
      <c r="N41" s="1934"/>
      <c r="O41" s="1934"/>
      <c r="P41" s="1932"/>
      <c r="Q41" s="1932"/>
      <c r="R41" s="1932"/>
      <c r="S41" s="1932"/>
      <c r="T41" s="1932"/>
      <c r="U41" s="1933"/>
      <c r="V41" s="1246"/>
      <c r="W41" s="1246"/>
      <c r="X41" s="1246"/>
      <c r="Y41" s="1246"/>
      <c r="Z41" s="1246"/>
      <c r="AA41" s="1246"/>
      <c r="AB41" s="1246"/>
      <c r="AC41" s="1246"/>
      <c r="AD41" s="1246"/>
      <c r="AE41" s="1246"/>
      <c r="AF41" s="1246"/>
      <c r="AG41" s="1246"/>
      <c r="AH41" s="1246"/>
      <c r="AI41" s="1246"/>
      <c r="AJ41" s="1246"/>
      <c r="AK41" s="1251"/>
    </row>
    <row r="42" spans="1:38" ht="3.75" customHeight="1" x14ac:dyDescent="0.35">
      <c r="A42" s="1235"/>
      <c r="B42" s="1242"/>
      <c r="C42" s="1246"/>
      <c r="D42" s="1246"/>
      <c r="E42" s="1246"/>
      <c r="F42" s="1246"/>
      <c r="G42" s="1246"/>
      <c r="H42" s="1246"/>
      <c r="I42" s="1246"/>
      <c r="J42" s="1246"/>
      <c r="K42" s="1246"/>
      <c r="L42" s="1246"/>
      <c r="M42" s="1246"/>
      <c r="N42" s="1246"/>
      <c r="O42" s="1246"/>
      <c r="P42" s="1246"/>
      <c r="Q42" s="1246"/>
      <c r="R42" s="1246"/>
      <c r="S42" s="1246"/>
      <c r="T42" s="1246"/>
      <c r="U42" s="1246"/>
      <c r="V42" s="1246"/>
      <c r="W42" s="1246"/>
      <c r="X42" s="1246"/>
      <c r="Y42" s="1246"/>
      <c r="Z42" s="1246"/>
      <c r="AA42" s="1246"/>
      <c r="AB42" s="1246"/>
      <c r="AC42" s="1246"/>
      <c r="AD42" s="1246"/>
      <c r="AE42" s="1246"/>
      <c r="AF42" s="1246"/>
      <c r="AG42" s="1246"/>
      <c r="AH42" s="1246"/>
      <c r="AI42" s="1246"/>
      <c r="AJ42" s="1246"/>
      <c r="AK42" s="1251"/>
    </row>
    <row r="43" spans="1:38" ht="18.75" customHeight="1" x14ac:dyDescent="0.35">
      <c r="A43" s="1235"/>
      <c r="B43" s="1242" t="s">
        <v>783</v>
      </c>
      <c r="C43" s="1246"/>
      <c r="D43" s="1246"/>
      <c r="E43" s="1246"/>
      <c r="F43" s="1246"/>
      <c r="G43" s="1122"/>
      <c r="H43" s="1246" t="s">
        <v>247</v>
      </c>
      <c r="I43" s="1246"/>
      <c r="J43" s="1122"/>
      <c r="K43" s="1246" t="s">
        <v>784</v>
      </c>
      <c r="L43" s="1246"/>
      <c r="M43" s="1246"/>
      <c r="N43" s="1122"/>
      <c r="O43" s="1246" t="s">
        <v>785</v>
      </c>
      <c r="P43" s="1246"/>
      <c r="Q43" s="1122"/>
      <c r="R43" s="1246" t="s">
        <v>786</v>
      </c>
      <c r="S43" s="1246"/>
      <c r="T43" s="1122"/>
      <c r="U43" s="1246" t="s">
        <v>787</v>
      </c>
      <c r="V43" s="1246"/>
      <c r="W43" s="1246"/>
      <c r="X43" s="1246"/>
      <c r="Y43" s="1246"/>
      <c r="Z43" s="1122"/>
      <c r="AA43" s="1246" t="s">
        <v>788</v>
      </c>
      <c r="AB43" s="1246"/>
      <c r="AC43" s="1122"/>
      <c r="AD43" s="1246" t="s">
        <v>618</v>
      </c>
      <c r="AE43" s="1246"/>
      <c r="AF43" s="1246"/>
      <c r="AG43" s="1246"/>
      <c r="AH43" s="1246"/>
      <c r="AI43" s="1246"/>
      <c r="AJ43" s="1246"/>
      <c r="AK43" s="1251"/>
    </row>
    <row r="44" spans="1:38" ht="3.75" customHeight="1" x14ac:dyDescent="0.35">
      <c r="A44" s="1235"/>
      <c r="B44" s="1242"/>
      <c r="C44" s="1246"/>
      <c r="D44" s="1246"/>
      <c r="E44" s="1246"/>
      <c r="F44" s="1246"/>
      <c r="G44" s="1246"/>
      <c r="H44" s="1246"/>
      <c r="I44" s="1246"/>
      <c r="J44" s="1246"/>
      <c r="K44" s="1246"/>
      <c r="L44" s="1246"/>
      <c r="M44" s="1246"/>
      <c r="N44" s="1246"/>
      <c r="O44" s="1246"/>
      <c r="P44" s="1246"/>
      <c r="Q44" s="1246"/>
      <c r="R44" s="1246"/>
      <c r="S44" s="1246"/>
      <c r="T44" s="1246"/>
      <c r="U44" s="1246"/>
      <c r="V44" s="1246"/>
      <c r="W44" s="1246"/>
      <c r="X44" s="1246"/>
      <c r="Y44" s="1246"/>
      <c r="Z44" s="1246"/>
      <c r="AA44" s="1246"/>
      <c r="AB44" s="1246"/>
      <c r="AC44" s="1246"/>
      <c r="AD44" s="1246"/>
      <c r="AE44" s="1246"/>
      <c r="AF44" s="1246"/>
      <c r="AG44" s="1246"/>
      <c r="AH44" s="1246"/>
      <c r="AI44" s="1246"/>
      <c r="AJ44" s="1246"/>
      <c r="AK44" s="1251"/>
    </row>
    <row r="45" spans="1:38" ht="18.75" customHeight="1" x14ac:dyDescent="0.35">
      <c r="A45" s="1235"/>
      <c r="B45" s="1242"/>
      <c r="C45" s="1246"/>
      <c r="D45" s="1246"/>
      <c r="E45" s="1246"/>
      <c r="F45" s="1187"/>
      <c r="G45" s="1122"/>
      <c r="H45" s="1187" t="s">
        <v>664</v>
      </c>
      <c r="I45" s="1187"/>
      <c r="J45" s="1917"/>
      <c r="K45" s="1934"/>
      <c r="L45" s="1934"/>
      <c r="M45" s="1934"/>
      <c r="N45" s="1934"/>
      <c r="O45" s="1934"/>
      <c r="P45" s="1934"/>
      <c r="Q45" s="1934"/>
      <c r="R45" s="1934"/>
      <c r="S45" s="1934"/>
      <c r="T45" s="1918"/>
      <c r="U45" s="1971"/>
      <c r="V45" s="1971"/>
      <c r="W45" s="1971"/>
      <c r="X45" s="1971"/>
      <c r="Y45" s="1971"/>
      <c r="Z45" s="1971"/>
      <c r="AA45" s="1971"/>
      <c r="AB45" s="1972"/>
      <c r="AC45" s="1972"/>
      <c r="AD45" s="1972"/>
      <c r="AE45" s="1972"/>
      <c r="AF45" s="1198"/>
      <c r="AG45" s="1250"/>
      <c r="AH45" s="1250"/>
      <c r="AI45" s="1250"/>
      <c r="AJ45" s="1250"/>
      <c r="AK45" s="1247"/>
      <c r="AL45" s="1111"/>
    </row>
    <row r="46" spans="1:38" ht="3.75" customHeight="1" x14ac:dyDescent="0.35">
      <c r="A46" s="1235"/>
      <c r="B46" s="1242"/>
      <c r="C46" s="1246"/>
      <c r="D46" s="1246"/>
      <c r="E46" s="1246"/>
      <c r="F46" s="1246"/>
      <c r="G46" s="1246"/>
      <c r="H46" s="1246"/>
      <c r="I46" s="1246"/>
      <c r="J46" s="1246"/>
      <c r="K46" s="1246"/>
      <c r="L46" s="1246"/>
      <c r="M46" s="1246"/>
      <c r="N46" s="1246"/>
      <c r="O46" s="1246"/>
      <c r="P46" s="1246"/>
      <c r="Q46" s="1246"/>
      <c r="R46" s="1246"/>
      <c r="S46" s="1246"/>
      <c r="T46" s="1246"/>
      <c r="U46" s="1246"/>
      <c r="V46" s="1246"/>
      <c r="W46" s="1246"/>
      <c r="X46" s="1246"/>
      <c r="Y46" s="1246"/>
      <c r="Z46" s="1246"/>
      <c r="AA46" s="1246"/>
      <c r="AB46" s="1246"/>
      <c r="AC46" s="1246"/>
      <c r="AD46" s="1246"/>
      <c r="AE46" s="1246"/>
      <c r="AF46" s="1246"/>
      <c r="AG46" s="1246"/>
      <c r="AH46" s="1246"/>
      <c r="AI46" s="1246"/>
      <c r="AJ46" s="1246"/>
      <c r="AK46" s="1251"/>
    </row>
    <row r="47" spans="1:38" ht="20.100000000000001" customHeight="1" x14ac:dyDescent="0.35">
      <c r="B47" s="1242" t="s">
        <v>789</v>
      </c>
      <c r="C47" s="1246"/>
      <c r="D47" s="1246"/>
      <c r="E47" s="1246"/>
      <c r="F47" s="1246"/>
      <c r="G47" s="1246"/>
      <c r="H47" s="1246"/>
      <c r="I47" s="1246"/>
      <c r="J47" s="1246"/>
      <c r="K47" s="1246"/>
      <c r="L47" s="1928"/>
      <c r="M47" s="1929"/>
      <c r="N47" s="1929"/>
      <c r="O47" s="1929"/>
      <c r="P47" s="1929"/>
      <c r="Q47" s="1929"/>
      <c r="R47" s="1929"/>
      <c r="S47" s="1929"/>
      <c r="T47" s="1929"/>
      <c r="U47" s="1929"/>
      <c r="V47" s="1929"/>
      <c r="W47" s="1930"/>
      <c r="X47" s="1246"/>
      <c r="Y47" s="1246" t="s">
        <v>790</v>
      </c>
      <c r="Z47" s="1246"/>
      <c r="AA47" s="1917"/>
      <c r="AB47" s="1968"/>
      <c r="AC47" s="1968"/>
      <c r="AD47" s="1968"/>
      <c r="AE47" s="1968"/>
      <c r="AF47" s="1968"/>
      <c r="AG47" s="1968"/>
      <c r="AH47" s="1968"/>
      <c r="AI47" s="1968"/>
      <c r="AJ47" s="1968"/>
      <c r="AK47" s="1969"/>
    </row>
    <row r="48" spans="1:38" ht="3" customHeight="1" x14ac:dyDescent="0.35">
      <c r="B48" s="1242"/>
      <c r="C48" s="1246"/>
      <c r="D48" s="1246"/>
      <c r="E48" s="1246"/>
      <c r="F48" s="1246"/>
      <c r="G48" s="1246"/>
      <c r="H48" s="1246"/>
      <c r="I48" s="1246"/>
      <c r="J48" s="1246"/>
      <c r="K48" s="1246"/>
      <c r="L48" s="1246"/>
      <c r="M48" s="1246"/>
      <c r="N48" s="1246"/>
      <c r="O48" s="1246"/>
      <c r="P48" s="1246"/>
      <c r="Q48" s="1246"/>
      <c r="R48" s="1246"/>
      <c r="S48" s="1246"/>
      <c r="T48" s="1246"/>
      <c r="U48" s="1246"/>
      <c r="V48" s="1246"/>
      <c r="W48" s="1246"/>
      <c r="X48" s="1246"/>
      <c r="Y48" s="1246"/>
      <c r="Z48" s="1246"/>
      <c r="AA48" s="1187"/>
      <c r="AB48" s="1187"/>
      <c r="AC48" s="1187"/>
      <c r="AD48" s="1187"/>
      <c r="AE48" s="1187"/>
      <c r="AF48" s="1187"/>
      <c r="AG48" s="1187"/>
      <c r="AH48" s="1187"/>
      <c r="AI48" s="1187"/>
      <c r="AJ48" s="1187"/>
      <c r="AK48" s="1254"/>
    </row>
    <row r="49" spans="1:38" ht="20.100000000000001" customHeight="1" x14ac:dyDescent="0.35">
      <c r="B49" s="1242" t="s">
        <v>789</v>
      </c>
      <c r="C49" s="1246"/>
      <c r="D49" s="1246"/>
      <c r="E49" s="1246"/>
      <c r="F49" s="1246"/>
      <c r="G49" s="1246"/>
      <c r="H49" s="1246"/>
      <c r="I49" s="1246"/>
      <c r="J49" s="1246"/>
      <c r="K49" s="1246"/>
      <c r="L49" s="1928"/>
      <c r="M49" s="1929"/>
      <c r="N49" s="1929"/>
      <c r="O49" s="1929"/>
      <c r="P49" s="1929"/>
      <c r="Q49" s="1929"/>
      <c r="R49" s="1929"/>
      <c r="S49" s="1929"/>
      <c r="T49" s="1929"/>
      <c r="U49" s="1929"/>
      <c r="V49" s="1929"/>
      <c r="W49" s="1930"/>
      <c r="X49" s="1246"/>
      <c r="Y49" s="1246" t="s">
        <v>790</v>
      </c>
      <c r="Z49" s="1246"/>
      <c r="AA49" s="1917"/>
      <c r="AB49" s="1968"/>
      <c r="AC49" s="1968"/>
      <c r="AD49" s="1968"/>
      <c r="AE49" s="1968"/>
      <c r="AF49" s="1968"/>
      <c r="AG49" s="1968"/>
      <c r="AH49" s="1968"/>
      <c r="AI49" s="1968"/>
      <c r="AJ49" s="1968"/>
      <c r="AK49" s="1969"/>
    </row>
    <row r="50" spans="1:38" ht="3" customHeight="1" x14ac:dyDescent="0.35">
      <c r="B50" s="1242"/>
      <c r="C50" s="1246"/>
      <c r="D50" s="1246"/>
      <c r="E50" s="1246"/>
      <c r="F50" s="1246"/>
      <c r="G50" s="1246"/>
      <c r="H50" s="1246"/>
      <c r="I50" s="1246"/>
      <c r="J50" s="1246"/>
      <c r="K50" s="1246"/>
      <c r="L50" s="1246"/>
      <c r="M50" s="1246"/>
      <c r="N50" s="1246"/>
      <c r="O50" s="1246"/>
      <c r="P50" s="1246"/>
      <c r="Q50" s="1246"/>
      <c r="R50" s="1246"/>
      <c r="S50" s="1246"/>
      <c r="T50" s="1246"/>
      <c r="U50" s="1246"/>
      <c r="V50" s="1246"/>
      <c r="W50" s="1246"/>
      <c r="X50" s="1246"/>
      <c r="Y50" s="1246"/>
      <c r="Z50" s="1246"/>
      <c r="AA50" s="1187"/>
      <c r="AB50" s="1249"/>
      <c r="AC50" s="1249"/>
      <c r="AD50" s="1249"/>
      <c r="AE50" s="1249"/>
      <c r="AF50" s="1249"/>
      <c r="AG50" s="1249"/>
      <c r="AH50" s="1249"/>
      <c r="AI50" s="1249"/>
      <c r="AJ50" s="1249"/>
      <c r="AK50" s="1255"/>
    </row>
    <row r="51" spans="1:38" ht="20.100000000000001" customHeight="1" x14ac:dyDescent="0.35">
      <c r="B51" s="1242" t="s">
        <v>791</v>
      </c>
      <c r="C51" s="1246"/>
      <c r="D51" s="1246"/>
      <c r="E51" s="1246"/>
      <c r="F51" s="1246"/>
      <c r="G51" s="1246"/>
      <c r="H51" s="1246"/>
      <c r="I51" s="1246"/>
      <c r="J51" s="1246"/>
      <c r="K51" s="1246"/>
      <c r="L51" s="1246"/>
      <c r="M51" s="1122"/>
      <c r="N51" s="1246" t="s">
        <v>85</v>
      </c>
      <c r="O51" s="1246"/>
      <c r="P51" s="1122"/>
      <c r="Q51" s="1246" t="s">
        <v>87</v>
      </c>
      <c r="R51" s="1246"/>
      <c r="S51" s="1246"/>
      <c r="T51" s="1246"/>
      <c r="U51" s="1246" t="s">
        <v>993</v>
      </c>
      <c r="V51" s="1246"/>
      <c r="W51" s="1246"/>
      <c r="X51" s="1246"/>
      <c r="Y51" s="1246"/>
      <c r="Z51" s="1246"/>
      <c r="AA51" s="1187"/>
      <c r="AB51" s="1187"/>
      <c r="AC51" s="1187"/>
      <c r="AD51" s="1187"/>
      <c r="AE51" s="1187"/>
      <c r="AF51" s="1152"/>
      <c r="AG51" s="1187" t="s">
        <v>85</v>
      </c>
      <c r="AH51" s="1187"/>
      <c r="AI51" s="1152"/>
      <c r="AJ51" s="1187" t="s">
        <v>87</v>
      </c>
      <c r="AK51" s="1255"/>
    </row>
    <row r="52" spans="1:38" ht="3.75" customHeight="1" x14ac:dyDescent="0.35">
      <c r="B52" s="1242"/>
      <c r="C52" s="1246"/>
      <c r="D52" s="1246"/>
      <c r="E52" s="1246"/>
      <c r="F52" s="1246"/>
      <c r="G52" s="1246"/>
      <c r="H52" s="1246"/>
      <c r="I52" s="1246"/>
      <c r="J52" s="1246"/>
      <c r="K52" s="1246"/>
      <c r="L52" s="1246"/>
      <c r="M52" s="1246"/>
      <c r="N52" s="1246"/>
      <c r="O52" s="1246"/>
      <c r="P52" s="1246"/>
      <c r="Q52" s="1246"/>
      <c r="R52" s="1246"/>
      <c r="S52" s="1246"/>
      <c r="T52" s="1246"/>
      <c r="U52" s="1246"/>
      <c r="V52" s="1246"/>
      <c r="W52" s="1246"/>
      <c r="X52" s="1246"/>
      <c r="Y52" s="1246"/>
      <c r="Z52" s="1246"/>
      <c r="AA52" s="1187"/>
      <c r="AB52" s="1249"/>
      <c r="AC52" s="1249"/>
      <c r="AD52" s="1249"/>
      <c r="AE52" s="1249"/>
      <c r="AF52" s="1249"/>
      <c r="AG52" s="1249"/>
      <c r="AH52" s="1249"/>
      <c r="AI52" s="1249"/>
      <c r="AJ52" s="1249"/>
      <c r="AK52" s="1255"/>
    </row>
    <row r="53" spans="1:38" ht="20.100000000000001" customHeight="1" x14ac:dyDescent="0.35">
      <c r="B53" s="1242" t="s">
        <v>792</v>
      </c>
      <c r="C53" s="1246"/>
      <c r="D53" s="1246"/>
      <c r="E53" s="1246"/>
      <c r="F53" s="1122"/>
      <c r="G53" s="1246" t="s">
        <v>793</v>
      </c>
      <c r="H53" s="1246"/>
      <c r="I53" s="1246"/>
      <c r="J53" s="1246"/>
      <c r="K53" s="1246"/>
      <c r="L53" s="1246"/>
      <c r="M53" s="1246"/>
      <c r="N53" s="1246"/>
      <c r="O53" s="1122"/>
      <c r="P53" s="1246" t="s">
        <v>794</v>
      </c>
      <c r="Q53" s="1246"/>
      <c r="R53" s="1246"/>
      <c r="S53" s="1246"/>
      <c r="T53" s="1246"/>
      <c r="U53" s="1246"/>
      <c r="V53" s="1246"/>
      <c r="W53" s="1246"/>
      <c r="X53" s="1246"/>
      <c r="Y53" s="1246"/>
      <c r="Z53" s="1246"/>
      <c r="AA53" s="1152"/>
      <c r="AB53" s="1249" t="s">
        <v>795</v>
      </c>
      <c r="AC53" s="1249"/>
      <c r="AD53" s="1249"/>
      <c r="AE53" s="1249"/>
      <c r="AF53" s="1249"/>
      <c r="AG53" s="1249"/>
      <c r="AH53" s="1249"/>
      <c r="AI53" s="1249"/>
      <c r="AJ53" s="1249"/>
      <c r="AK53" s="1255"/>
    </row>
    <row r="54" spans="1:38" ht="3" customHeight="1" x14ac:dyDescent="0.35">
      <c r="B54" s="1242"/>
      <c r="C54" s="1246"/>
      <c r="D54" s="1246"/>
      <c r="E54" s="1246"/>
      <c r="F54" s="1256"/>
      <c r="G54" s="1246"/>
      <c r="H54" s="1246"/>
      <c r="I54" s="1246"/>
      <c r="J54" s="1246"/>
      <c r="K54" s="1246"/>
      <c r="L54" s="1246"/>
      <c r="M54" s="1246"/>
      <c r="N54" s="1246"/>
      <c r="O54" s="1256"/>
      <c r="P54" s="1246"/>
      <c r="Q54" s="1246"/>
      <c r="R54" s="1246"/>
      <c r="S54" s="1246"/>
      <c r="T54" s="1246"/>
      <c r="U54" s="1246"/>
      <c r="V54" s="1246"/>
      <c r="W54" s="1246"/>
      <c r="X54" s="1246"/>
      <c r="Y54" s="1246"/>
      <c r="Z54" s="1246"/>
      <c r="AA54" s="1257"/>
      <c r="AB54" s="1249"/>
      <c r="AC54" s="1249"/>
      <c r="AD54" s="1249"/>
      <c r="AE54" s="1249"/>
      <c r="AF54" s="1249"/>
      <c r="AG54" s="1249"/>
      <c r="AH54" s="1249"/>
      <c r="AI54" s="1249"/>
      <c r="AJ54" s="1249"/>
      <c r="AK54" s="1255"/>
    </row>
    <row r="55" spans="1:38" ht="20.100000000000001" customHeight="1" x14ac:dyDescent="0.35">
      <c r="B55" s="1242" t="s">
        <v>1422</v>
      </c>
      <c r="C55" s="1246"/>
      <c r="D55" s="1246"/>
      <c r="E55" s="1246"/>
      <c r="F55" s="1256"/>
      <c r="G55" s="1246"/>
      <c r="H55" s="1246"/>
      <c r="I55" s="1246"/>
      <c r="J55" s="1187"/>
      <c r="K55" s="1187"/>
      <c r="L55" s="1187"/>
      <c r="M55" s="1246"/>
      <c r="N55" s="1246"/>
      <c r="O55" s="1152"/>
      <c r="P55" s="1187" t="s">
        <v>1423</v>
      </c>
      <c r="Q55" s="1187"/>
      <c r="R55" s="1152"/>
      <c r="S55" s="1187" t="s">
        <v>87</v>
      </c>
      <c r="T55" s="1246"/>
      <c r="U55" s="1246"/>
      <c r="V55" s="1246"/>
      <c r="W55" s="1246"/>
      <c r="X55" s="1187" t="s">
        <v>1424</v>
      </c>
      <c r="Y55" s="1187"/>
      <c r="Z55" s="1187"/>
      <c r="AA55" s="1917"/>
      <c r="AB55" s="1968"/>
      <c r="AC55" s="1968"/>
      <c r="AD55" s="1968"/>
      <c r="AE55" s="1968"/>
      <c r="AF55" s="1968"/>
      <c r="AG55" s="1968"/>
      <c r="AH55" s="1968"/>
      <c r="AI55" s="1968"/>
      <c r="AJ55" s="1968"/>
      <c r="AK55" s="1969"/>
    </row>
    <row r="56" spans="1:38" ht="3" customHeight="1" thickBot="1" x14ac:dyDescent="0.4">
      <c r="A56" s="1235"/>
      <c r="B56" s="1258"/>
      <c r="C56" s="1259"/>
      <c r="D56" s="1259"/>
      <c r="E56" s="1259"/>
      <c r="F56" s="1259"/>
      <c r="G56" s="1259"/>
      <c r="H56" s="1259"/>
      <c r="I56" s="1259"/>
      <c r="J56" s="1260"/>
      <c r="K56" s="1260"/>
      <c r="L56" s="1260"/>
      <c r="M56" s="1261"/>
      <c r="N56" s="1260"/>
      <c r="O56" s="1260"/>
      <c r="P56" s="1260"/>
      <c r="Q56" s="1260"/>
      <c r="R56" s="1260"/>
      <c r="S56" s="1260"/>
      <c r="T56" s="1260"/>
      <c r="U56" s="1260"/>
      <c r="V56" s="1260"/>
      <c r="W56" s="1260"/>
      <c r="X56" s="1260"/>
      <c r="Y56" s="1260"/>
      <c r="Z56" s="1260"/>
      <c r="AA56" s="1261"/>
      <c r="AB56" s="1261"/>
      <c r="AC56" s="1261"/>
      <c r="AD56" s="1261"/>
      <c r="AE56" s="1261"/>
      <c r="AF56" s="1261"/>
      <c r="AG56" s="1261"/>
      <c r="AH56" s="1261"/>
      <c r="AI56" s="1261"/>
      <c r="AJ56" s="1261"/>
      <c r="AK56" s="1262"/>
      <c r="AL56" s="1111"/>
    </row>
    <row r="57" spans="1:38" ht="3.75" customHeight="1" x14ac:dyDescent="0.35">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46"/>
    </row>
    <row r="58" spans="1:38" ht="8.25" customHeight="1" x14ac:dyDescent="0.35">
      <c r="A58" s="1235"/>
      <c r="C58" s="1236"/>
      <c r="D58" s="1236"/>
      <c r="E58" s="1236"/>
      <c r="F58" s="1234"/>
      <c r="G58" s="1234"/>
      <c r="H58" s="1234"/>
      <c r="I58" s="1234"/>
      <c r="J58" s="1234"/>
      <c r="K58" s="1234"/>
      <c r="L58" s="1234"/>
      <c r="M58" s="1234"/>
      <c r="N58" s="1234"/>
      <c r="O58" s="1234"/>
      <c r="P58" s="1234"/>
      <c r="Q58" s="1234"/>
      <c r="R58" s="1236"/>
      <c r="S58" s="1236"/>
      <c r="T58" s="1236"/>
      <c r="U58" s="1236"/>
      <c r="V58" s="1236"/>
    </row>
    <row r="59" spans="1:38" ht="12" customHeight="1" thickBot="1" x14ac:dyDescent="0.4">
      <c r="A59" s="1235"/>
      <c r="B59" s="1235"/>
      <c r="C59" s="1235"/>
      <c r="D59" s="1235"/>
      <c r="E59" s="1235"/>
      <c r="F59" s="1235"/>
      <c r="G59" s="1235"/>
      <c r="H59" s="1235"/>
      <c r="I59" s="1235"/>
      <c r="J59" s="1236"/>
      <c r="K59" s="1236"/>
      <c r="L59" s="1236"/>
      <c r="N59" s="1236"/>
      <c r="O59" s="1236"/>
      <c r="P59" s="1236"/>
      <c r="Q59" s="1236"/>
      <c r="R59" s="1236"/>
      <c r="S59" s="1236"/>
      <c r="T59" s="1236"/>
      <c r="U59" s="1236"/>
      <c r="V59" s="1236"/>
      <c r="W59" s="1236"/>
      <c r="X59" s="1236"/>
      <c r="Y59" s="1236"/>
      <c r="Z59" s="1236"/>
      <c r="AK59" s="1236"/>
      <c r="AL59" s="1111"/>
    </row>
    <row r="60" spans="1:38" ht="3.75" customHeight="1" x14ac:dyDescent="0.35">
      <c r="A60" s="1235"/>
      <c r="B60" s="1237"/>
      <c r="C60" s="1238"/>
      <c r="D60" s="1238"/>
      <c r="E60" s="1238"/>
      <c r="F60" s="1238"/>
      <c r="G60" s="1238"/>
      <c r="H60" s="1238"/>
      <c r="I60" s="1238"/>
      <c r="J60" s="1239"/>
      <c r="K60" s="1239"/>
      <c r="L60" s="1239"/>
      <c r="M60" s="1240"/>
      <c r="N60" s="1239"/>
      <c r="O60" s="1239"/>
      <c r="P60" s="1239"/>
      <c r="Q60" s="1239"/>
      <c r="R60" s="1239"/>
      <c r="S60" s="1239"/>
      <c r="T60" s="1239"/>
      <c r="U60" s="1239"/>
      <c r="V60" s="1239"/>
      <c r="W60" s="1239"/>
      <c r="X60" s="1239"/>
      <c r="Y60" s="1239"/>
      <c r="Z60" s="1239"/>
      <c r="AA60" s="1240"/>
      <c r="AB60" s="1240"/>
      <c r="AC60" s="1240"/>
      <c r="AD60" s="1240"/>
      <c r="AE60" s="1240"/>
      <c r="AF60" s="1240"/>
      <c r="AG60" s="1240"/>
      <c r="AH60" s="1240"/>
      <c r="AI60" s="1240"/>
      <c r="AJ60" s="1240"/>
      <c r="AK60" s="1241"/>
      <c r="AL60" s="1111"/>
    </row>
    <row r="61" spans="1:38" ht="18.75" customHeight="1" x14ac:dyDescent="0.35">
      <c r="A61" s="1235"/>
      <c r="B61" s="1242" t="s">
        <v>781</v>
      </c>
      <c r="C61" s="1246"/>
      <c r="D61" s="1246"/>
      <c r="E61" s="1246"/>
      <c r="F61" s="1917"/>
      <c r="G61" s="1934"/>
      <c r="H61" s="1934"/>
      <c r="I61" s="1918"/>
      <c r="J61" s="1198" t="s">
        <v>714</v>
      </c>
      <c r="K61" s="1187"/>
      <c r="L61" s="1917"/>
      <c r="M61" s="1934"/>
      <c r="N61" s="1934"/>
      <c r="O61" s="1934"/>
      <c r="P61" s="1934"/>
      <c r="Q61" s="1934"/>
      <c r="R61" s="1934"/>
      <c r="S61" s="1934"/>
      <c r="T61" s="1934"/>
      <c r="U61" s="1934"/>
      <c r="V61" s="1918"/>
      <c r="W61" s="1198" t="s">
        <v>715</v>
      </c>
      <c r="X61" s="1187"/>
      <c r="Y61" s="1187"/>
      <c r="Z61" s="1187"/>
      <c r="AA61" s="1187"/>
      <c r="AB61" s="1249"/>
      <c r="AC61" s="1249"/>
      <c r="AD61" s="1249"/>
      <c r="AE61" s="1249"/>
      <c r="AF61" s="1198"/>
      <c r="AG61" s="1250"/>
      <c r="AH61" s="1250"/>
      <c r="AI61" s="1250"/>
      <c r="AJ61" s="1250"/>
      <c r="AK61" s="1247"/>
      <c r="AL61" s="1111"/>
    </row>
    <row r="62" spans="1:38" ht="3.75" customHeight="1" x14ac:dyDescent="0.35">
      <c r="A62" s="1235"/>
      <c r="B62" s="1242"/>
      <c r="C62" s="1246"/>
      <c r="D62" s="1246"/>
      <c r="E62" s="1246"/>
      <c r="F62" s="1246"/>
      <c r="G62" s="1246"/>
      <c r="H62" s="1246"/>
      <c r="I62" s="1246"/>
      <c r="J62" s="1246"/>
      <c r="K62" s="1246"/>
      <c r="L62" s="1246"/>
      <c r="M62" s="1246"/>
      <c r="N62" s="1246"/>
      <c r="O62" s="1246"/>
      <c r="P62" s="1246"/>
      <c r="Q62" s="1246"/>
      <c r="R62" s="1246"/>
      <c r="S62" s="1246"/>
      <c r="T62" s="1246"/>
      <c r="U62" s="1246"/>
      <c r="V62" s="1246"/>
      <c r="W62" s="1246"/>
      <c r="X62" s="1246"/>
      <c r="Y62" s="1246"/>
      <c r="Z62" s="1246"/>
      <c r="AA62" s="1246"/>
      <c r="AB62" s="1246"/>
      <c r="AC62" s="1246"/>
      <c r="AD62" s="1246"/>
      <c r="AE62" s="1246"/>
      <c r="AF62" s="1246"/>
      <c r="AG62" s="1246"/>
      <c r="AH62" s="1246"/>
      <c r="AI62" s="1246"/>
      <c r="AJ62" s="1246"/>
      <c r="AK62" s="1251"/>
    </row>
    <row r="63" spans="1:38" ht="18.75" customHeight="1" x14ac:dyDescent="0.35">
      <c r="A63" s="1235"/>
      <c r="B63" s="1242"/>
      <c r="C63" s="1246"/>
      <c r="D63" s="1246"/>
      <c r="E63" s="1246"/>
      <c r="F63" s="1917"/>
      <c r="G63" s="1934"/>
      <c r="H63" s="1934"/>
      <c r="I63" s="1934"/>
      <c r="J63" s="1934"/>
      <c r="K63" s="1934"/>
      <c r="L63" s="1934"/>
      <c r="M63" s="1932"/>
      <c r="N63" s="1932"/>
      <c r="O63" s="1932"/>
      <c r="P63" s="1932"/>
      <c r="Q63" s="1932"/>
      <c r="R63" s="1933"/>
      <c r="S63" s="1250" t="s">
        <v>716</v>
      </c>
      <c r="T63" s="1246"/>
      <c r="U63" s="1917"/>
      <c r="V63" s="1934"/>
      <c r="W63" s="1918"/>
      <c r="X63" s="1198" t="s">
        <v>717</v>
      </c>
      <c r="Y63" s="1246"/>
      <c r="Z63" s="1244"/>
      <c r="AA63" s="1917"/>
      <c r="AB63" s="1918"/>
      <c r="AC63" s="1245" t="s">
        <v>718</v>
      </c>
      <c r="AD63" s="1246"/>
      <c r="AE63" s="1250"/>
      <c r="AF63" s="1917"/>
      <c r="AG63" s="1918"/>
      <c r="AH63" s="1198" t="s">
        <v>719</v>
      </c>
      <c r="AI63" s="1917"/>
      <c r="AJ63" s="1918"/>
      <c r="AK63" s="1252" t="s">
        <v>720</v>
      </c>
      <c r="AL63" s="1111"/>
    </row>
    <row r="64" spans="1:38" ht="3.75" customHeight="1" x14ac:dyDescent="0.35">
      <c r="A64" s="1235"/>
      <c r="B64" s="1242"/>
      <c r="C64" s="1246"/>
      <c r="D64" s="1246"/>
      <c r="E64" s="1246"/>
      <c r="F64" s="1246"/>
      <c r="G64" s="1246"/>
      <c r="H64" s="1246"/>
      <c r="I64" s="1246"/>
      <c r="J64" s="1246"/>
      <c r="K64" s="1246"/>
      <c r="L64" s="1246"/>
      <c r="M64" s="1246"/>
      <c r="N64" s="1246"/>
      <c r="O64" s="1246"/>
      <c r="P64" s="1246"/>
      <c r="Q64" s="1246"/>
      <c r="R64" s="1246"/>
      <c r="S64" s="1246"/>
      <c r="T64" s="1246"/>
      <c r="U64" s="1246"/>
      <c r="V64" s="1246"/>
      <c r="W64" s="1246"/>
      <c r="X64" s="1246"/>
      <c r="Y64" s="1246"/>
      <c r="Z64" s="1246"/>
      <c r="AA64" s="1246"/>
      <c r="AB64" s="1246"/>
      <c r="AC64" s="1246"/>
      <c r="AD64" s="1246"/>
      <c r="AE64" s="1246"/>
      <c r="AF64" s="1246"/>
      <c r="AG64" s="1246"/>
      <c r="AH64" s="1246"/>
      <c r="AI64" s="1246"/>
      <c r="AJ64" s="1246"/>
      <c r="AK64" s="1251"/>
    </row>
    <row r="65" spans="1:38" ht="18.75" customHeight="1" x14ac:dyDescent="0.35">
      <c r="A65" s="1235"/>
      <c r="B65" s="1242" t="s">
        <v>782</v>
      </c>
      <c r="C65" s="1246"/>
      <c r="D65" s="1246"/>
      <c r="E65" s="1246"/>
      <c r="F65" s="1246"/>
      <c r="G65" s="1246"/>
      <c r="H65" s="1246"/>
      <c r="I65" s="1917"/>
      <c r="J65" s="1934"/>
      <c r="K65" s="1934"/>
      <c r="L65" s="1934"/>
      <c r="M65" s="1934"/>
      <c r="N65" s="1934"/>
      <c r="O65" s="1934"/>
      <c r="P65" s="1932"/>
      <c r="Q65" s="1932"/>
      <c r="R65" s="1932"/>
      <c r="S65" s="1932"/>
      <c r="T65" s="1932"/>
      <c r="U65" s="1933"/>
      <c r="V65" s="1246"/>
      <c r="W65" s="1246"/>
      <c r="X65" s="1246"/>
      <c r="Y65" s="1246"/>
      <c r="Z65" s="1246"/>
      <c r="AA65" s="1246"/>
      <c r="AB65" s="1246"/>
      <c r="AC65" s="1246"/>
      <c r="AD65" s="1246"/>
      <c r="AE65" s="1246"/>
      <c r="AF65" s="1246"/>
      <c r="AG65" s="1246"/>
      <c r="AH65" s="1246"/>
      <c r="AI65" s="1246"/>
      <c r="AJ65" s="1246"/>
      <c r="AK65" s="1251"/>
    </row>
    <row r="66" spans="1:38" ht="3.75" customHeight="1" x14ac:dyDescent="0.35">
      <c r="A66" s="1235"/>
      <c r="B66" s="1242"/>
      <c r="C66" s="1246"/>
      <c r="D66" s="1246"/>
      <c r="E66" s="1246"/>
      <c r="F66" s="1246"/>
      <c r="G66" s="1246"/>
      <c r="H66" s="1246"/>
      <c r="I66" s="1246"/>
      <c r="J66" s="1246"/>
      <c r="K66" s="1246"/>
      <c r="L66" s="1246"/>
      <c r="M66" s="1246"/>
      <c r="N66" s="1246"/>
      <c r="O66" s="1246"/>
      <c r="P66" s="1246"/>
      <c r="Q66" s="1246"/>
      <c r="R66" s="1246"/>
      <c r="S66" s="1246"/>
      <c r="T66" s="1246"/>
      <c r="U66" s="1246"/>
      <c r="V66" s="1246"/>
      <c r="W66" s="1246"/>
      <c r="X66" s="1246"/>
      <c r="Y66" s="1246"/>
      <c r="Z66" s="1246"/>
      <c r="AA66" s="1246"/>
      <c r="AB66" s="1246"/>
      <c r="AC66" s="1246"/>
      <c r="AD66" s="1246"/>
      <c r="AE66" s="1246"/>
      <c r="AF66" s="1246"/>
      <c r="AG66" s="1246"/>
      <c r="AH66" s="1246"/>
      <c r="AI66" s="1246"/>
      <c r="AJ66" s="1246"/>
      <c r="AK66" s="1251"/>
    </row>
    <row r="67" spans="1:38" ht="18.75" customHeight="1" x14ac:dyDescent="0.35">
      <c r="A67" s="1235"/>
      <c r="B67" s="1242" t="s">
        <v>783</v>
      </c>
      <c r="C67" s="1246"/>
      <c r="D67" s="1246"/>
      <c r="E67" s="1246"/>
      <c r="F67" s="1246"/>
      <c r="G67" s="1122"/>
      <c r="H67" s="1246" t="s">
        <v>247</v>
      </c>
      <c r="I67" s="1246"/>
      <c r="J67" s="1122"/>
      <c r="K67" s="1246" t="s">
        <v>784</v>
      </c>
      <c r="L67" s="1246"/>
      <c r="M67" s="1246"/>
      <c r="N67" s="1122"/>
      <c r="O67" s="1246" t="s">
        <v>785</v>
      </c>
      <c r="P67" s="1246"/>
      <c r="Q67" s="1122"/>
      <c r="R67" s="1246" t="s">
        <v>786</v>
      </c>
      <c r="S67" s="1246"/>
      <c r="T67" s="1122"/>
      <c r="U67" s="1246" t="s">
        <v>787</v>
      </c>
      <c r="V67" s="1246"/>
      <c r="W67" s="1246"/>
      <c r="X67" s="1246"/>
      <c r="Y67" s="1246"/>
      <c r="Z67" s="1122"/>
      <c r="AA67" s="1246" t="s">
        <v>788</v>
      </c>
      <c r="AB67" s="1246"/>
      <c r="AC67" s="1122"/>
      <c r="AD67" s="1246" t="s">
        <v>618</v>
      </c>
      <c r="AE67" s="1246"/>
      <c r="AF67" s="1246"/>
      <c r="AG67" s="1246"/>
      <c r="AH67" s="1246"/>
      <c r="AI67" s="1246"/>
      <c r="AJ67" s="1246"/>
      <c r="AK67" s="1251"/>
    </row>
    <row r="68" spans="1:38" ht="3.75" customHeight="1" x14ac:dyDescent="0.35">
      <c r="A68" s="1235"/>
      <c r="B68" s="1242"/>
      <c r="C68" s="1246"/>
      <c r="D68" s="1246"/>
      <c r="E68" s="1246"/>
      <c r="F68" s="1246"/>
      <c r="G68" s="1246"/>
      <c r="H68" s="1246"/>
      <c r="I68" s="1246"/>
      <c r="J68" s="1246"/>
      <c r="K68" s="1246"/>
      <c r="L68" s="1246"/>
      <c r="M68" s="1246"/>
      <c r="N68" s="1246"/>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51"/>
    </row>
    <row r="69" spans="1:38" ht="18.75" customHeight="1" x14ac:dyDescent="0.35">
      <c r="A69" s="1235"/>
      <c r="B69" s="1242"/>
      <c r="C69" s="1246"/>
      <c r="D69" s="1246"/>
      <c r="E69" s="1246"/>
      <c r="F69" s="1187"/>
      <c r="G69" s="1122"/>
      <c r="H69" s="1187" t="s">
        <v>664</v>
      </c>
      <c r="I69" s="1187"/>
      <c r="J69" s="1917"/>
      <c r="K69" s="1934"/>
      <c r="L69" s="1934"/>
      <c r="M69" s="1934"/>
      <c r="N69" s="1934"/>
      <c r="O69" s="1934"/>
      <c r="P69" s="1934"/>
      <c r="Q69" s="1934"/>
      <c r="R69" s="1934"/>
      <c r="S69" s="1934"/>
      <c r="T69" s="1918"/>
      <c r="U69" s="1971"/>
      <c r="V69" s="1971"/>
      <c r="W69" s="1971"/>
      <c r="X69" s="1971"/>
      <c r="Y69" s="1971"/>
      <c r="Z69" s="1971"/>
      <c r="AA69" s="1971"/>
      <c r="AB69" s="1972"/>
      <c r="AC69" s="1972"/>
      <c r="AD69" s="1972"/>
      <c r="AE69" s="1972"/>
      <c r="AF69" s="1198"/>
      <c r="AG69" s="1250"/>
      <c r="AH69" s="1250"/>
      <c r="AI69" s="1250"/>
      <c r="AJ69" s="1250"/>
      <c r="AK69" s="1247"/>
      <c r="AL69" s="1111"/>
    </row>
    <row r="70" spans="1:38" ht="3.75" customHeight="1" x14ac:dyDescent="0.35">
      <c r="A70" s="1235"/>
      <c r="B70" s="1242"/>
      <c r="C70" s="1246"/>
      <c r="D70" s="1246"/>
      <c r="E70" s="1246"/>
      <c r="F70" s="1246"/>
      <c r="G70" s="1246"/>
      <c r="H70" s="1246"/>
      <c r="I70" s="1246"/>
      <c r="J70" s="1246"/>
      <c r="K70" s="1246"/>
      <c r="L70" s="1246"/>
      <c r="M70" s="1246"/>
      <c r="N70" s="1246"/>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51"/>
    </row>
    <row r="71" spans="1:38" ht="20.100000000000001" customHeight="1" x14ac:dyDescent="0.35">
      <c r="B71" s="1242" t="s">
        <v>789</v>
      </c>
      <c r="C71" s="1246"/>
      <c r="D71" s="1246"/>
      <c r="E71" s="1246"/>
      <c r="F71" s="1246"/>
      <c r="G71" s="1246"/>
      <c r="H71" s="1246"/>
      <c r="I71" s="1246"/>
      <c r="J71" s="1246"/>
      <c r="K71" s="1246"/>
      <c r="L71" s="1928"/>
      <c r="M71" s="1929"/>
      <c r="N71" s="1929"/>
      <c r="O71" s="1929"/>
      <c r="P71" s="1929"/>
      <c r="Q71" s="1929"/>
      <c r="R71" s="1929"/>
      <c r="S71" s="1929"/>
      <c r="T71" s="1929"/>
      <c r="U71" s="1929"/>
      <c r="V71" s="1929"/>
      <c r="W71" s="1930"/>
      <c r="X71" s="1246"/>
      <c r="Y71" s="1246" t="s">
        <v>790</v>
      </c>
      <c r="Z71" s="1246"/>
      <c r="AA71" s="1928"/>
      <c r="AB71" s="1932"/>
      <c r="AC71" s="1932"/>
      <c r="AD71" s="1932"/>
      <c r="AE71" s="1932"/>
      <c r="AF71" s="1932"/>
      <c r="AG71" s="1932"/>
      <c r="AH71" s="1932"/>
      <c r="AI71" s="1932"/>
      <c r="AJ71" s="1932"/>
      <c r="AK71" s="1973"/>
    </row>
    <row r="72" spans="1:38" ht="3" customHeight="1" x14ac:dyDescent="0.35">
      <c r="B72" s="1242"/>
      <c r="C72" s="1246"/>
      <c r="D72" s="1246"/>
      <c r="E72" s="1246"/>
      <c r="F72" s="1246"/>
      <c r="G72" s="1246"/>
      <c r="H72" s="1246"/>
      <c r="I72" s="1246"/>
      <c r="J72" s="1246"/>
      <c r="K72" s="1246"/>
      <c r="L72" s="1246"/>
      <c r="M72" s="1246"/>
      <c r="N72" s="1246"/>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51"/>
    </row>
    <row r="73" spans="1:38" ht="20.100000000000001" customHeight="1" x14ac:dyDescent="0.35">
      <c r="B73" s="1242" t="s">
        <v>789</v>
      </c>
      <c r="C73" s="1246"/>
      <c r="D73" s="1246"/>
      <c r="E73" s="1246"/>
      <c r="F73" s="1246"/>
      <c r="G73" s="1246"/>
      <c r="H73" s="1246"/>
      <c r="I73" s="1246"/>
      <c r="J73" s="1246"/>
      <c r="K73" s="1246"/>
      <c r="L73" s="1928"/>
      <c r="M73" s="1929"/>
      <c r="N73" s="1929"/>
      <c r="O73" s="1929"/>
      <c r="P73" s="1929"/>
      <c r="Q73" s="1929"/>
      <c r="R73" s="1929"/>
      <c r="S73" s="1929"/>
      <c r="T73" s="1929"/>
      <c r="U73" s="1929"/>
      <c r="V73" s="1929"/>
      <c r="W73" s="1930"/>
      <c r="X73" s="1246"/>
      <c r="Y73" s="1246" t="s">
        <v>790</v>
      </c>
      <c r="Z73" s="1246"/>
      <c r="AA73" s="1917"/>
      <c r="AB73" s="1968"/>
      <c r="AC73" s="1968"/>
      <c r="AD73" s="1968"/>
      <c r="AE73" s="1968"/>
      <c r="AF73" s="1968"/>
      <c r="AG73" s="1968"/>
      <c r="AH73" s="1968"/>
      <c r="AI73" s="1968"/>
      <c r="AJ73" s="1968"/>
      <c r="AK73" s="1969"/>
    </row>
    <row r="74" spans="1:38" ht="3.75" customHeight="1" x14ac:dyDescent="0.35">
      <c r="B74" s="1242"/>
      <c r="C74" s="1246"/>
      <c r="D74" s="1246"/>
      <c r="E74" s="1246"/>
      <c r="F74" s="1246"/>
      <c r="G74" s="1246"/>
      <c r="H74" s="1246"/>
      <c r="I74" s="1246"/>
      <c r="J74" s="1246"/>
      <c r="K74" s="1246"/>
      <c r="L74" s="1246"/>
      <c r="M74" s="1246"/>
      <c r="N74" s="1246"/>
      <c r="O74" s="1246"/>
      <c r="P74" s="1246"/>
      <c r="Q74" s="1246"/>
      <c r="R74" s="1246"/>
      <c r="S74" s="1246"/>
      <c r="T74" s="1246"/>
      <c r="U74" s="1246"/>
      <c r="V74" s="1246"/>
      <c r="W74" s="1246"/>
      <c r="X74" s="1246"/>
      <c r="Y74" s="1246"/>
      <c r="Z74" s="1246"/>
      <c r="AA74" s="1187"/>
      <c r="AB74" s="1249"/>
      <c r="AC74" s="1249"/>
      <c r="AD74" s="1249"/>
      <c r="AE74" s="1249"/>
      <c r="AF74" s="1249"/>
      <c r="AG74" s="1249"/>
      <c r="AH74" s="1249"/>
      <c r="AI74" s="1249"/>
      <c r="AJ74" s="1249"/>
      <c r="AK74" s="1255"/>
    </row>
    <row r="75" spans="1:38" ht="20.100000000000001" customHeight="1" x14ac:dyDescent="0.35">
      <c r="B75" s="1242" t="s">
        <v>791</v>
      </c>
      <c r="C75" s="1246"/>
      <c r="D75" s="1246"/>
      <c r="E75" s="1246"/>
      <c r="F75" s="1246"/>
      <c r="G75" s="1246"/>
      <c r="H75" s="1246"/>
      <c r="I75" s="1246"/>
      <c r="J75" s="1246"/>
      <c r="K75" s="1246"/>
      <c r="L75" s="1246"/>
      <c r="M75" s="1122"/>
      <c r="N75" s="1246" t="s">
        <v>85</v>
      </c>
      <c r="O75" s="1246"/>
      <c r="P75" s="1122"/>
      <c r="Q75" s="1246" t="s">
        <v>87</v>
      </c>
      <c r="R75" s="1246"/>
      <c r="S75" s="1246"/>
      <c r="T75" s="1246"/>
      <c r="U75" s="1246" t="s">
        <v>993</v>
      </c>
      <c r="V75" s="1246"/>
      <c r="W75" s="1246"/>
      <c r="X75" s="1246"/>
      <c r="Y75" s="1246"/>
      <c r="Z75" s="1246"/>
      <c r="AA75" s="1187"/>
      <c r="AB75" s="1187"/>
      <c r="AC75" s="1187"/>
      <c r="AD75" s="1187"/>
      <c r="AE75" s="1187"/>
      <c r="AF75" s="1152"/>
      <c r="AG75" s="1187" t="s">
        <v>85</v>
      </c>
      <c r="AH75" s="1187"/>
      <c r="AI75" s="1152"/>
      <c r="AJ75" s="1187" t="s">
        <v>87</v>
      </c>
      <c r="AK75" s="1255"/>
    </row>
    <row r="76" spans="1:38" ht="3.75" customHeight="1" x14ac:dyDescent="0.35">
      <c r="B76" s="1242"/>
      <c r="C76" s="1246"/>
      <c r="D76" s="1246"/>
      <c r="E76" s="1246"/>
      <c r="F76" s="1246"/>
      <c r="G76" s="1246"/>
      <c r="H76" s="1246"/>
      <c r="I76" s="1246"/>
      <c r="J76" s="1246"/>
      <c r="K76" s="1246"/>
      <c r="L76" s="1246"/>
      <c r="M76" s="1246"/>
      <c r="N76" s="1246"/>
      <c r="O76" s="1246"/>
      <c r="P76" s="1246"/>
      <c r="Q76" s="1246"/>
      <c r="R76" s="1246"/>
      <c r="S76" s="1246"/>
      <c r="T76" s="1246"/>
      <c r="U76" s="1246"/>
      <c r="V76" s="1246"/>
      <c r="W76" s="1246"/>
      <c r="X76" s="1246"/>
      <c r="Y76" s="1246"/>
      <c r="Z76" s="1246"/>
      <c r="AA76" s="1187"/>
      <c r="AB76" s="1249"/>
      <c r="AC76" s="1249"/>
      <c r="AD76" s="1249"/>
      <c r="AE76" s="1249"/>
      <c r="AF76" s="1249"/>
      <c r="AG76" s="1249"/>
      <c r="AH76" s="1249"/>
      <c r="AI76" s="1249"/>
      <c r="AJ76" s="1249"/>
      <c r="AK76" s="1255"/>
    </row>
    <row r="77" spans="1:38" ht="20.100000000000001" customHeight="1" x14ac:dyDescent="0.35">
      <c r="B77" s="1242" t="s">
        <v>792</v>
      </c>
      <c r="C77" s="1246"/>
      <c r="D77" s="1246"/>
      <c r="E77" s="1246"/>
      <c r="F77" s="1122"/>
      <c r="G77" s="1246" t="s">
        <v>793</v>
      </c>
      <c r="H77" s="1246"/>
      <c r="I77" s="1246"/>
      <c r="J77" s="1246"/>
      <c r="K77" s="1246"/>
      <c r="L77" s="1246"/>
      <c r="M77" s="1246"/>
      <c r="N77" s="1246"/>
      <c r="O77" s="1122"/>
      <c r="P77" s="1246" t="s">
        <v>794</v>
      </c>
      <c r="Q77" s="1246"/>
      <c r="R77" s="1246"/>
      <c r="S77" s="1246"/>
      <c r="T77" s="1246"/>
      <c r="U77" s="1246"/>
      <c r="V77" s="1246"/>
      <c r="W77" s="1246"/>
      <c r="X77" s="1246"/>
      <c r="Y77" s="1246"/>
      <c r="Z77" s="1246"/>
      <c r="AA77" s="1152"/>
      <c r="AB77" s="1264" t="s">
        <v>795</v>
      </c>
      <c r="AC77" s="1249"/>
      <c r="AD77" s="1249"/>
      <c r="AE77" s="1249"/>
      <c r="AF77" s="1249"/>
      <c r="AG77" s="1249"/>
      <c r="AH77" s="1249"/>
      <c r="AI77" s="1249"/>
      <c r="AJ77" s="1249"/>
      <c r="AK77" s="1255"/>
    </row>
    <row r="78" spans="1:38" ht="3" customHeight="1" x14ac:dyDescent="0.35">
      <c r="B78" s="1242"/>
      <c r="C78" s="1246"/>
      <c r="D78" s="1246"/>
      <c r="E78" s="1246"/>
      <c r="F78" s="1256"/>
      <c r="G78" s="1246"/>
      <c r="H78" s="1246"/>
      <c r="I78" s="1246"/>
      <c r="J78" s="1246"/>
      <c r="K78" s="1246"/>
      <c r="L78" s="1246"/>
      <c r="M78" s="1246"/>
      <c r="N78" s="1246"/>
      <c r="O78" s="1256"/>
      <c r="P78" s="1246"/>
      <c r="Q78" s="1246"/>
      <c r="R78" s="1246"/>
      <c r="S78" s="1246"/>
      <c r="T78" s="1246"/>
      <c r="U78" s="1246"/>
      <c r="V78" s="1246"/>
      <c r="W78" s="1246"/>
      <c r="X78" s="1246"/>
      <c r="Y78" s="1246"/>
      <c r="Z78" s="1246"/>
      <c r="AA78" s="1257"/>
      <c r="AB78" s="1249"/>
      <c r="AC78" s="1249"/>
      <c r="AD78" s="1249"/>
      <c r="AE78" s="1249"/>
      <c r="AF78" s="1249"/>
      <c r="AG78" s="1249"/>
      <c r="AH78" s="1249"/>
      <c r="AI78" s="1249"/>
      <c r="AJ78" s="1249"/>
      <c r="AK78" s="1255"/>
    </row>
    <row r="79" spans="1:38" ht="20.100000000000001" customHeight="1" x14ac:dyDescent="0.35">
      <c r="B79" s="1242" t="s">
        <v>1422</v>
      </c>
      <c r="C79" s="1246"/>
      <c r="D79" s="1246"/>
      <c r="E79" s="1246"/>
      <c r="F79" s="1256"/>
      <c r="G79" s="1246"/>
      <c r="H79" s="1246"/>
      <c r="I79" s="1246"/>
      <c r="J79" s="1187"/>
      <c r="K79" s="1187"/>
      <c r="L79" s="1187"/>
      <c r="M79" s="1246"/>
      <c r="N79" s="1246"/>
      <c r="O79" s="1152"/>
      <c r="P79" s="1187" t="s">
        <v>1423</v>
      </c>
      <c r="Q79" s="1187"/>
      <c r="R79" s="1152"/>
      <c r="S79" s="1187" t="s">
        <v>87</v>
      </c>
      <c r="T79" s="1246"/>
      <c r="U79" s="1246"/>
      <c r="V79" s="1246"/>
      <c r="W79" s="1246"/>
      <c r="X79" s="1187" t="s">
        <v>1424</v>
      </c>
      <c r="Y79" s="1187"/>
      <c r="Z79" s="1187"/>
      <c r="AA79" s="1917"/>
      <c r="AB79" s="1968"/>
      <c r="AC79" s="1968"/>
      <c r="AD79" s="1968"/>
      <c r="AE79" s="1968"/>
      <c r="AF79" s="1968"/>
      <c r="AG79" s="1968"/>
      <c r="AH79" s="1968"/>
      <c r="AI79" s="1968"/>
      <c r="AJ79" s="1968"/>
      <c r="AK79" s="1969"/>
    </row>
    <row r="80" spans="1:38" ht="6.75" customHeight="1" thickBot="1" x14ac:dyDescent="0.4">
      <c r="A80" s="1235"/>
      <c r="B80" s="1258"/>
      <c r="C80" s="1259"/>
      <c r="D80" s="1259"/>
      <c r="E80" s="1259"/>
      <c r="F80" s="1259"/>
      <c r="G80" s="1259"/>
      <c r="H80" s="1259"/>
      <c r="I80" s="1259"/>
      <c r="J80" s="1260"/>
      <c r="K80" s="1260"/>
      <c r="L80" s="1260"/>
      <c r="M80" s="1261"/>
      <c r="N80" s="1260"/>
      <c r="O80" s="1260"/>
      <c r="P80" s="1260"/>
      <c r="Q80" s="1260"/>
      <c r="R80" s="1260"/>
      <c r="S80" s="1260"/>
      <c r="T80" s="1260"/>
      <c r="U80" s="1260"/>
      <c r="V80" s="1260"/>
      <c r="W80" s="1260"/>
      <c r="X80" s="1260"/>
      <c r="Y80" s="1260"/>
      <c r="Z80" s="1260"/>
      <c r="AA80" s="1261"/>
      <c r="AB80" s="1261"/>
      <c r="AC80" s="1261"/>
      <c r="AD80" s="1261"/>
      <c r="AE80" s="1261"/>
      <c r="AF80" s="1261"/>
      <c r="AG80" s="1261"/>
      <c r="AH80" s="1261"/>
      <c r="AI80" s="1261"/>
      <c r="AJ80" s="1261"/>
      <c r="AK80" s="1262"/>
      <c r="AL80" s="1111"/>
    </row>
    <row r="81" spans="1:38" ht="6.75" customHeight="1" x14ac:dyDescent="0.35"/>
    <row r="82" spans="1:38" ht="8.25" customHeight="1" x14ac:dyDescent="0.35">
      <c r="A82" s="1235"/>
      <c r="C82" s="1236"/>
      <c r="D82" s="1236"/>
      <c r="E82" s="1236"/>
      <c r="F82" s="1234"/>
      <c r="G82" s="1234"/>
      <c r="H82" s="1234"/>
      <c r="I82" s="1234"/>
      <c r="J82" s="1234"/>
      <c r="K82" s="1234"/>
      <c r="L82" s="1234"/>
      <c r="M82" s="1234"/>
      <c r="N82" s="1234"/>
      <c r="O82" s="1234"/>
      <c r="P82" s="1234"/>
      <c r="Q82" s="1234"/>
      <c r="R82" s="1236"/>
      <c r="S82" s="1236"/>
      <c r="T82" s="1236"/>
      <c r="U82" s="1236"/>
      <c r="V82" s="1236"/>
    </row>
    <row r="83" spans="1:38" ht="12" customHeight="1" thickBot="1" x14ac:dyDescent="0.4">
      <c r="A83" s="1235"/>
      <c r="B83" s="1235"/>
      <c r="C83" s="1235"/>
      <c r="D83" s="1235"/>
      <c r="E83" s="1235"/>
      <c r="F83" s="1235"/>
      <c r="G83" s="1235"/>
      <c r="H83" s="1235"/>
      <c r="I83" s="1235"/>
      <c r="J83" s="1236"/>
      <c r="K83" s="1236"/>
      <c r="L83" s="1236"/>
      <c r="N83" s="1236"/>
      <c r="O83" s="1236"/>
      <c r="P83" s="1236"/>
      <c r="Q83" s="1236"/>
      <c r="R83" s="1236"/>
      <c r="S83" s="1236"/>
      <c r="T83" s="1236"/>
      <c r="U83" s="1236"/>
      <c r="V83" s="1236"/>
      <c r="W83" s="1236"/>
      <c r="X83" s="1236"/>
      <c r="Y83" s="1236"/>
      <c r="Z83" s="1236"/>
      <c r="AK83" s="1236"/>
      <c r="AL83" s="1111"/>
    </row>
    <row r="84" spans="1:38" ht="3.75" customHeight="1" x14ac:dyDescent="0.35">
      <c r="A84" s="1235"/>
      <c r="B84" s="1237"/>
      <c r="C84" s="1238"/>
      <c r="D84" s="1238"/>
      <c r="E84" s="1238"/>
      <c r="F84" s="1238"/>
      <c r="G84" s="1238"/>
      <c r="H84" s="1238"/>
      <c r="I84" s="1238"/>
      <c r="J84" s="1239"/>
      <c r="K84" s="1239"/>
      <c r="L84" s="1239"/>
      <c r="M84" s="1240"/>
      <c r="N84" s="1239"/>
      <c r="O84" s="1239"/>
      <c r="P84" s="1239"/>
      <c r="Q84" s="1239"/>
      <c r="R84" s="1239"/>
      <c r="S84" s="1239"/>
      <c r="T84" s="1239"/>
      <c r="U84" s="1239"/>
      <c r="V84" s="1239"/>
      <c r="W84" s="1239"/>
      <c r="X84" s="1239"/>
      <c r="Y84" s="1239"/>
      <c r="Z84" s="1239"/>
      <c r="AA84" s="1240"/>
      <c r="AB84" s="1240"/>
      <c r="AC84" s="1240"/>
      <c r="AD84" s="1240"/>
      <c r="AE84" s="1240"/>
      <c r="AF84" s="1240"/>
      <c r="AG84" s="1240"/>
      <c r="AH84" s="1240"/>
      <c r="AI84" s="1240"/>
      <c r="AJ84" s="1240"/>
      <c r="AK84" s="1241"/>
      <c r="AL84" s="1111"/>
    </row>
    <row r="85" spans="1:38" ht="18.75" customHeight="1" x14ac:dyDescent="0.35">
      <c r="A85" s="1235"/>
      <c r="B85" s="1242" t="s">
        <v>781</v>
      </c>
      <c r="C85" s="1246"/>
      <c r="D85" s="1246"/>
      <c r="E85" s="1246"/>
      <c r="F85" s="1917"/>
      <c r="G85" s="1934"/>
      <c r="H85" s="1934"/>
      <c r="I85" s="1918"/>
      <c r="J85" s="1198" t="s">
        <v>714</v>
      </c>
      <c r="K85" s="1187"/>
      <c r="L85" s="1917"/>
      <c r="M85" s="1934"/>
      <c r="N85" s="1934"/>
      <c r="O85" s="1934"/>
      <c r="P85" s="1934"/>
      <c r="Q85" s="1934"/>
      <c r="R85" s="1934"/>
      <c r="S85" s="1934"/>
      <c r="T85" s="1934"/>
      <c r="U85" s="1934"/>
      <c r="V85" s="1918"/>
      <c r="W85" s="1198" t="s">
        <v>715</v>
      </c>
      <c r="X85" s="1187"/>
      <c r="Y85" s="1187"/>
      <c r="Z85" s="1187"/>
      <c r="AA85" s="1187"/>
      <c r="AB85" s="1249"/>
      <c r="AC85" s="1249"/>
      <c r="AD85" s="1249"/>
      <c r="AE85" s="1249"/>
      <c r="AF85" s="1198"/>
      <c r="AG85" s="1250"/>
      <c r="AH85" s="1250"/>
      <c r="AI85" s="1250"/>
      <c r="AJ85" s="1250"/>
      <c r="AK85" s="1247"/>
      <c r="AL85" s="1111"/>
    </row>
    <row r="86" spans="1:38" ht="3.75" customHeight="1" x14ac:dyDescent="0.35">
      <c r="A86" s="1235"/>
      <c r="B86" s="1242"/>
      <c r="C86" s="1246"/>
      <c r="D86" s="1246"/>
      <c r="E86" s="1246"/>
      <c r="F86" s="1246"/>
      <c r="G86" s="1246"/>
      <c r="H86" s="1246"/>
      <c r="I86" s="1246"/>
      <c r="J86" s="1246"/>
      <c r="K86" s="1246"/>
      <c r="L86" s="1246"/>
      <c r="M86" s="1246"/>
      <c r="N86" s="1246"/>
      <c r="O86" s="1246"/>
      <c r="P86" s="1246"/>
      <c r="Q86" s="1246"/>
      <c r="R86" s="1246"/>
      <c r="S86" s="1246"/>
      <c r="T86" s="1246"/>
      <c r="U86" s="1246"/>
      <c r="V86" s="1246"/>
      <c r="W86" s="1246"/>
      <c r="X86" s="1246"/>
      <c r="Y86" s="1246"/>
      <c r="Z86" s="1246"/>
      <c r="AA86" s="1246"/>
      <c r="AB86" s="1246"/>
      <c r="AC86" s="1246"/>
      <c r="AD86" s="1246"/>
      <c r="AE86" s="1246"/>
      <c r="AF86" s="1246"/>
      <c r="AG86" s="1246"/>
      <c r="AH86" s="1246"/>
      <c r="AI86" s="1246"/>
      <c r="AJ86" s="1246"/>
      <c r="AK86" s="1251"/>
    </row>
    <row r="87" spans="1:38" ht="18.75" customHeight="1" x14ac:dyDescent="0.35">
      <c r="A87" s="1235"/>
      <c r="B87" s="1242"/>
      <c r="C87" s="1246"/>
      <c r="D87" s="1246"/>
      <c r="E87" s="1246"/>
      <c r="F87" s="1917"/>
      <c r="G87" s="1934"/>
      <c r="H87" s="1934"/>
      <c r="I87" s="1934"/>
      <c r="J87" s="1934"/>
      <c r="K87" s="1934"/>
      <c r="L87" s="1934"/>
      <c r="M87" s="1932"/>
      <c r="N87" s="1932"/>
      <c r="O87" s="1932"/>
      <c r="P87" s="1932"/>
      <c r="Q87" s="1932"/>
      <c r="R87" s="1933"/>
      <c r="S87" s="1250" t="s">
        <v>716</v>
      </c>
      <c r="T87" s="1246"/>
      <c r="U87" s="1917"/>
      <c r="V87" s="1934"/>
      <c r="W87" s="1918"/>
      <c r="X87" s="1198" t="s">
        <v>717</v>
      </c>
      <c r="Y87" s="1246"/>
      <c r="Z87" s="1244"/>
      <c r="AA87" s="1917"/>
      <c r="AB87" s="1918"/>
      <c r="AC87" s="1245" t="s">
        <v>718</v>
      </c>
      <c r="AD87" s="1246"/>
      <c r="AE87" s="1250"/>
      <c r="AF87" s="1917"/>
      <c r="AG87" s="1918"/>
      <c r="AH87" s="1198" t="s">
        <v>719</v>
      </c>
      <c r="AI87" s="1917"/>
      <c r="AJ87" s="1918"/>
      <c r="AK87" s="1252" t="s">
        <v>720</v>
      </c>
      <c r="AL87" s="1111"/>
    </row>
    <row r="88" spans="1:38" ht="3.75" customHeight="1" x14ac:dyDescent="0.35">
      <c r="A88" s="1235"/>
      <c r="B88" s="1242"/>
      <c r="C88" s="1246"/>
      <c r="D88" s="1246"/>
      <c r="E88" s="1246"/>
      <c r="F88" s="1246"/>
      <c r="G88" s="1246"/>
      <c r="H88" s="1246"/>
      <c r="I88" s="1246"/>
      <c r="J88" s="1246"/>
      <c r="K88" s="1246"/>
      <c r="L88" s="1246"/>
      <c r="M88" s="1246"/>
      <c r="N88" s="1246"/>
      <c r="O88" s="1246"/>
      <c r="P88" s="1246"/>
      <c r="Q88" s="1246"/>
      <c r="R88" s="1246"/>
      <c r="S88" s="1246"/>
      <c r="T88" s="1246"/>
      <c r="U88" s="1246"/>
      <c r="V88" s="1246"/>
      <c r="W88" s="1246"/>
      <c r="X88" s="1246"/>
      <c r="Y88" s="1246"/>
      <c r="Z88" s="1246"/>
      <c r="AA88" s="1246"/>
      <c r="AB88" s="1246"/>
      <c r="AC88" s="1246"/>
      <c r="AD88" s="1246"/>
      <c r="AE88" s="1246"/>
      <c r="AF88" s="1246"/>
      <c r="AG88" s="1246"/>
      <c r="AH88" s="1246"/>
      <c r="AI88" s="1246"/>
      <c r="AJ88" s="1246"/>
      <c r="AK88" s="1251"/>
    </row>
    <row r="89" spans="1:38" ht="18.75" customHeight="1" x14ac:dyDescent="0.35">
      <c r="A89" s="1235"/>
      <c r="B89" s="1242" t="s">
        <v>782</v>
      </c>
      <c r="C89" s="1246"/>
      <c r="D89" s="1246"/>
      <c r="E89" s="1246"/>
      <c r="F89" s="1246"/>
      <c r="G89" s="1246"/>
      <c r="H89" s="1246"/>
      <c r="I89" s="1917"/>
      <c r="J89" s="1934"/>
      <c r="K89" s="1934"/>
      <c r="L89" s="1934"/>
      <c r="M89" s="1934"/>
      <c r="N89" s="1934"/>
      <c r="O89" s="1934"/>
      <c r="P89" s="1932"/>
      <c r="Q89" s="1932"/>
      <c r="R89" s="1932"/>
      <c r="S89" s="1932"/>
      <c r="T89" s="1932"/>
      <c r="U89" s="1933"/>
      <c r="V89" s="1246"/>
      <c r="W89" s="1246"/>
      <c r="X89" s="1246"/>
      <c r="Y89" s="1246"/>
      <c r="Z89" s="1246"/>
      <c r="AA89" s="1246"/>
      <c r="AB89" s="1246"/>
      <c r="AC89" s="1246"/>
      <c r="AD89" s="1246"/>
      <c r="AE89" s="1246"/>
      <c r="AF89" s="1246"/>
      <c r="AG89" s="1246"/>
      <c r="AH89" s="1246"/>
      <c r="AI89" s="1246"/>
      <c r="AJ89" s="1246"/>
      <c r="AK89" s="1251"/>
    </row>
    <row r="90" spans="1:38" ht="3.75" customHeight="1" x14ac:dyDescent="0.35">
      <c r="A90" s="1235"/>
      <c r="B90" s="1242"/>
      <c r="C90" s="1246"/>
      <c r="D90" s="1246"/>
      <c r="E90" s="1246"/>
      <c r="F90" s="1246"/>
      <c r="G90" s="1246"/>
      <c r="H90" s="1246"/>
      <c r="I90" s="1246"/>
      <c r="J90" s="1246"/>
      <c r="K90" s="1246"/>
      <c r="L90" s="1246"/>
      <c r="M90" s="1246"/>
      <c r="N90" s="1246"/>
      <c r="O90" s="1246"/>
      <c r="P90" s="1246"/>
      <c r="Q90" s="1246"/>
      <c r="R90" s="1246"/>
      <c r="S90" s="1246"/>
      <c r="T90" s="1246"/>
      <c r="U90" s="1246"/>
      <c r="V90" s="1246"/>
      <c r="W90" s="1246"/>
      <c r="X90" s="1246"/>
      <c r="Y90" s="1246"/>
      <c r="Z90" s="1246"/>
      <c r="AA90" s="1246"/>
      <c r="AB90" s="1246"/>
      <c r="AC90" s="1246"/>
      <c r="AD90" s="1246"/>
      <c r="AE90" s="1246"/>
      <c r="AF90" s="1246"/>
      <c r="AG90" s="1246"/>
      <c r="AH90" s="1246"/>
      <c r="AI90" s="1246"/>
      <c r="AJ90" s="1246"/>
      <c r="AK90" s="1251"/>
    </row>
    <row r="91" spans="1:38" ht="18.75" customHeight="1" x14ac:dyDescent="0.35">
      <c r="A91" s="1235"/>
      <c r="B91" s="1242" t="s">
        <v>783</v>
      </c>
      <c r="C91" s="1246"/>
      <c r="D91" s="1246"/>
      <c r="E91" s="1246"/>
      <c r="F91" s="1246"/>
      <c r="G91" s="1122"/>
      <c r="H91" s="1246" t="s">
        <v>247</v>
      </c>
      <c r="I91" s="1246"/>
      <c r="J91" s="1122"/>
      <c r="K91" s="1246" t="s">
        <v>784</v>
      </c>
      <c r="L91" s="1246"/>
      <c r="M91" s="1246"/>
      <c r="N91" s="1122"/>
      <c r="O91" s="1246" t="s">
        <v>785</v>
      </c>
      <c r="P91" s="1246"/>
      <c r="Q91" s="1122"/>
      <c r="R91" s="1246" t="s">
        <v>786</v>
      </c>
      <c r="S91" s="1246"/>
      <c r="T91" s="1122"/>
      <c r="U91" s="1246" t="s">
        <v>787</v>
      </c>
      <c r="V91" s="1246"/>
      <c r="W91" s="1246"/>
      <c r="X91" s="1246"/>
      <c r="Y91" s="1246"/>
      <c r="Z91" s="1122"/>
      <c r="AA91" s="1246" t="s">
        <v>788</v>
      </c>
      <c r="AB91" s="1246"/>
      <c r="AC91" s="1122"/>
      <c r="AD91" s="1246" t="s">
        <v>618</v>
      </c>
      <c r="AE91" s="1246"/>
      <c r="AF91" s="1246"/>
      <c r="AG91" s="1246"/>
      <c r="AH91" s="1246"/>
      <c r="AI91" s="1246"/>
      <c r="AJ91" s="1246"/>
      <c r="AK91" s="1251"/>
    </row>
    <row r="92" spans="1:38" ht="3.75" customHeight="1" x14ac:dyDescent="0.35">
      <c r="A92" s="1235"/>
      <c r="B92" s="1242"/>
      <c r="C92" s="1246"/>
      <c r="D92" s="1246"/>
      <c r="E92" s="1246"/>
      <c r="F92" s="1246"/>
      <c r="G92" s="1246"/>
      <c r="H92" s="1246"/>
      <c r="I92" s="1246"/>
      <c r="J92" s="1246"/>
      <c r="K92" s="1246"/>
      <c r="L92" s="1246"/>
      <c r="M92" s="1246"/>
      <c r="N92" s="1246"/>
      <c r="O92" s="1246"/>
      <c r="P92" s="1246"/>
      <c r="Q92" s="1246"/>
      <c r="R92" s="1246"/>
      <c r="S92" s="1246"/>
      <c r="T92" s="1246"/>
      <c r="U92" s="1246"/>
      <c r="V92" s="1246"/>
      <c r="W92" s="1246"/>
      <c r="X92" s="1246"/>
      <c r="Y92" s="1246"/>
      <c r="Z92" s="1246"/>
      <c r="AA92" s="1246"/>
      <c r="AB92" s="1246"/>
      <c r="AC92" s="1246"/>
      <c r="AD92" s="1246"/>
      <c r="AE92" s="1246"/>
      <c r="AF92" s="1246"/>
      <c r="AG92" s="1246"/>
      <c r="AH92" s="1246"/>
      <c r="AI92" s="1246"/>
      <c r="AJ92" s="1246"/>
      <c r="AK92" s="1251"/>
    </row>
    <row r="93" spans="1:38" ht="18.75" customHeight="1" x14ac:dyDescent="0.35">
      <c r="A93" s="1235"/>
      <c r="B93" s="1242"/>
      <c r="C93" s="1246"/>
      <c r="D93" s="1246"/>
      <c r="E93" s="1246"/>
      <c r="F93" s="1187"/>
      <c r="G93" s="1122"/>
      <c r="H93" s="1187" t="s">
        <v>664</v>
      </c>
      <c r="I93" s="1187"/>
      <c r="J93" s="1917"/>
      <c r="K93" s="1934"/>
      <c r="L93" s="1934"/>
      <c r="M93" s="1934"/>
      <c r="N93" s="1934"/>
      <c r="O93" s="1934"/>
      <c r="P93" s="1934"/>
      <c r="Q93" s="1934"/>
      <c r="R93" s="1934"/>
      <c r="S93" s="1934"/>
      <c r="T93" s="1918"/>
      <c r="U93" s="1971"/>
      <c r="V93" s="1971"/>
      <c r="W93" s="1971"/>
      <c r="X93" s="1971"/>
      <c r="Y93" s="1971"/>
      <c r="Z93" s="1971"/>
      <c r="AA93" s="1971"/>
      <c r="AB93" s="1972"/>
      <c r="AC93" s="1972"/>
      <c r="AD93" s="1972"/>
      <c r="AE93" s="1972"/>
      <c r="AF93" s="1198"/>
      <c r="AG93" s="1250"/>
      <c r="AH93" s="1250"/>
      <c r="AI93" s="1250"/>
      <c r="AJ93" s="1250"/>
      <c r="AK93" s="1247"/>
      <c r="AL93" s="1111"/>
    </row>
    <row r="94" spans="1:38" ht="3.75" customHeight="1" x14ac:dyDescent="0.35">
      <c r="A94" s="1235"/>
      <c r="B94" s="1242"/>
      <c r="C94" s="1246"/>
      <c r="D94" s="1246"/>
      <c r="E94" s="1246"/>
      <c r="F94" s="1246"/>
      <c r="G94" s="1246"/>
      <c r="H94" s="1246"/>
      <c r="I94" s="1246"/>
      <c r="J94" s="1246"/>
      <c r="K94" s="1246"/>
      <c r="L94" s="1246"/>
      <c r="M94" s="1246"/>
      <c r="N94" s="1246"/>
      <c r="O94" s="1246"/>
      <c r="P94" s="1246"/>
      <c r="Q94" s="1246"/>
      <c r="R94" s="1246"/>
      <c r="S94" s="1246"/>
      <c r="T94" s="1246"/>
      <c r="U94" s="1246"/>
      <c r="V94" s="1246"/>
      <c r="W94" s="1246"/>
      <c r="X94" s="1246"/>
      <c r="Y94" s="1246"/>
      <c r="Z94" s="1246"/>
      <c r="AA94" s="1246"/>
      <c r="AB94" s="1246"/>
      <c r="AC94" s="1246"/>
      <c r="AD94" s="1246"/>
      <c r="AE94" s="1246"/>
      <c r="AF94" s="1246"/>
      <c r="AG94" s="1246"/>
      <c r="AH94" s="1246"/>
      <c r="AI94" s="1246"/>
      <c r="AJ94" s="1246"/>
      <c r="AK94" s="1251"/>
    </row>
    <row r="95" spans="1:38" ht="20.100000000000001" customHeight="1" x14ac:dyDescent="0.35">
      <c r="B95" s="1242" t="s">
        <v>789</v>
      </c>
      <c r="C95" s="1246"/>
      <c r="D95" s="1246"/>
      <c r="E95" s="1246"/>
      <c r="F95" s="1246"/>
      <c r="G95" s="1246"/>
      <c r="H95" s="1246"/>
      <c r="I95" s="1246"/>
      <c r="J95" s="1246"/>
      <c r="K95" s="1246"/>
      <c r="L95" s="1928"/>
      <c r="M95" s="1929"/>
      <c r="N95" s="1929"/>
      <c r="O95" s="1929"/>
      <c r="P95" s="1929"/>
      <c r="Q95" s="1929"/>
      <c r="R95" s="1929"/>
      <c r="S95" s="1929"/>
      <c r="T95" s="1929"/>
      <c r="U95" s="1929"/>
      <c r="V95" s="1929"/>
      <c r="W95" s="1930"/>
      <c r="X95" s="1246"/>
      <c r="Y95" s="1246" t="s">
        <v>790</v>
      </c>
      <c r="Z95" s="1246"/>
      <c r="AA95" s="1928"/>
      <c r="AB95" s="1932"/>
      <c r="AC95" s="1932"/>
      <c r="AD95" s="1932"/>
      <c r="AE95" s="1932"/>
      <c r="AF95" s="1932"/>
      <c r="AG95" s="1932"/>
      <c r="AH95" s="1932"/>
      <c r="AI95" s="1932"/>
      <c r="AJ95" s="1932"/>
      <c r="AK95" s="1973"/>
    </row>
    <row r="96" spans="1:38" ht="3" customHeight="1" x14ac:dyDescent="0.35">
      <c r="B96" s="1242"/>
      <c r="C96" s="1246"/>
      <c r="D96" s="1246"/>
      <c r="E96" s="1246"/>
      <c r="F96" s="1246"/>
      <c r="G96" s="1246"/>
      <c r="H96" s="1246"/>
      <c r="I96" s="1246"/>
      <c r="J96" s="1246"/>
      <c r="K96" s="1246"/>
      <c r="L96" s="1246"/>
      <c r="M96" s="1246"/>
      <c r="N96" s="1246"/>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51"/>
    </row>
    <row r="97" spans="1:38" ht="20.100000000000001" customHeight="1" x14ac:dyDescent="0.35">
      <c r="B97" s="1242" t="s">
        <v>789</v>
      </c>
      <c r="C97" s="1246"/>
      <c r="D97" s="1246"/>
      <c r="E97" s="1246"/>
      <c r="F97" s="1246"/>
      <c r="G97" s="1246"/>
      <c r="H97" s="1246"/>
      <c r="I97" s="1246"/>
      <c r="J97" s="1246"/>
      <c r="K97" s="1246"/>
      <c r="L97" s="1928"/>
      <c r="M97" s="1929"/>
      <c r="N97" s="1929"/>
      <c r="O97" s="1929"/>
      <c r="P97" s="1929"/>
      <c r="Q97" s="1929"/>
      <c r="R97" s="1929"/>
      <c r="S97" s="1929"/>
      <c r="T97" s="1929"/>
      <c r="U97" s="1929"/>
      <c r="V97" s="1929"/>
      <c r="W97" s="1930"/>
      <c r="X97" s="1246"/>
      <c r="Y97" s="1246" t="s">
        <v>790</v>
      </c>
      <c r="Z97" s="1246"/>
      <c r="AA97" s="1917"/>
      <c r="AB97" s="1968"/>
      <c r="AC97" s="1968"/>
      <c r="AD97" s="1968"/>
      <c r="AE97" s="1968"/>
      <c r="AF97" s="1968"/>
      <c r="AG97" s="1968"/>
      <c r="AH97" s="1968"/>
      <c r="AI97" s="1968"/>
      <c r="AJ97" s="1968"/>
      <c r="AK97" s="1969"/>
    </row>
    <row r="98" spans="1:38" ht="3.75" customHeight="1" x14ac:dyDescent="0.35">
      <c r="B98" s="1242"/>
      <c r="C98" s="1246"/>
      <c r="D98" s="1246"/>
      <c r="E98" s="1246"/>
      <c r="F98" s="1246"/>
      <c r="G98" s="1246"/>
      <c r="H98" s="1246"/>
      <c r="I98" s="1246"/>
      <c r="J98" s="1246"/>
      <c r="K98" s="1246"/>
      <c r="L98" s="1246"/>
      <c r="M98" s="1246"/>
      <c r="N98" s="1246"/>
      <c r="O98" s="1246"/>
      <c r="P98" s="1246"/>
      <c r="Q98" s="1246"/>
      <c r="R98" s="1246"/>
      <c r="S98" s="1246"/>
      <c r="T98" s="1246"/>
      <c r="U98" s="1246"/>
      <c r="V98" s="1246"/>
      <c r="W98" s="1246"/>
      <c r="X98" s="1246"/>
      <c r="Y98" s="1246"/>
      <c r="Z98" s="1246"/>
      <c r="AA98" s="1187"/>
      <c r="AB98" s="1249"/>
      <c r="AC98" s="1249"/>
      <c r="AD98" s="1249"/>
      <c r="AE98" s="1249"/>
      <c r="AF98" s="1249"/>
      <c r="AG98" s="1249"/>
      <c r="AH98" s="1249"/>
      <c r="AI98" s="1249"/>
      <c r="AJ98" s="1249"/>
      <c r="AK98" s="1255"/>
    </row>
    <row r="99" spans="1:38" ht="20.100000000000001" customHeight="1" x14ac:dyDescent="0.35">
      <c r="B99" s="1242" t="s">
        <v>791</v>
      </c>
      <c r="C99" s="1246"/>
      <c r="D99" s="1246"/>
      <c r="E99" s="1246"/>
      <c r="F99" s="1246"/>
      <c r="G99" s="1246"/>
      <c r="H99" s="1246"/>
      <c r="I99" s="1246"/>
      <c r="J99" s="1246"/>
      <c r="K99" s="1246"/>
      <c r="L99" s="1246"/>
      <c r="M99" s="1122"/>
      <c r="N99" s="1246" t="s">
        <v>85</v>
      </c>
      <c r="O99" s="1246"/>
      <c r="P99" s="1122"/>
      <c r="Q99" s="1246" t="s">
        <v>87</v>
      </c>
      <c r="R99" s="1246"/>
      <c r="S99" s="1246"/>
      <c r="T99" s="1246"/>
      <c r="U99" s="1246" t="s">
        <v>993</v>
      </c>
      <c r="V99" s="1246"/>
      <c r="W99" s="1246"/>
      <c r="X99" s="1246"/>
      <c r="Y99" s="1246"/>
      <c r="Z99" s="1246"/>
      <c r="AA99" s="1187"/>
      <c r="AB99" s="1187"/>
      <c r="AC99" s="1187"/>
      <c r="AD99" s="1187"/>
      <c r="AE99" s="1187"/>
      <c r="AF99" s="1152"/>
      <c r="AG99" s="1187" t="s">
        <v>85</v>
      </c>
      <c r="AH99" s="1187"/>
      <c r="AI99" s="1152"/>
      <c r="AJ99" s="1187" t="s">
        <v>87</v>
      </c>
      <c r="AK99" s="1255"/>
    </row>
    <row r="100" spans="1:38" ht="3.75" customHeight="1" x14ac:dyDescent="0.35">
      <c r="B100" s="1242"/>
      <c r="C100" s="1246"/>
      <c r="D100" s="1246"/>
      <c r="E100" s="1246"/>
      <c r="F100" s="1246"/>
      <c r="G100" s="1246"/>
      <c r="H100" s="1246"/>
      <c r="I100" s="1246"/>
      <c r="J100" s="1246"/>
      <c r="K100" s="1246"/>
      <c r="L100" s="1246"/>
      <c r="M100" s="1246"/>
      <c r="N100" s="1246"/>
      <c r="O100" s="1246"/>
      <c r="P100" s="1246"/>
      <c r="Q100" s="1246"/>
      <c r="R100" s="1246"/>
      <c r="S100" s="1246"/>
      <c r="T100" s="1246"/>
      <c r="U100" s="1246"/>
      <c r="V100" s="1246"/>
      <c r="W100" s="1246"/>
      <c r="X100" s="1246"/>
      <c r="Y100" s="1246"/>
      <c r="Z100" s="1246"/>
      <c r="AA100" s="1187"/>
      <c r="AB100" s="1249"/>
      <c r="AC100" s="1249"/>
      <c r="AD100" s="1249"/>
      <c r="AE100" s="1249"/>
      <c r="AF100" s="1249"/>
      <c r="AG100" s="1249"/>
      <c r="AH100" s="1249"/>
      <c r="AI100" s="1249"/>
      <c r="AJ100" s="1249"/>
      <c r="AK100" s="1255"/>
    </row>
    <row r="101" spans="1:38" ht="20.100000000000001" customHeight="1" x14ac:dyDescent="0.35">
      <c r="B101" s="1242" t="s">
        <v>792</v>
      </c>
      <c r="C101" s="1246"/>
      <c r="D101" s="1246"/>
      <c r="E101" s="1246"/>
      <c r="F101" s="1122"/>
      <c r="G101" s="1246" t="s">
        <v>793</v>
      </c>
      <c r="H101" s="1246"/>
      <c r="I101" s="1246"/>
      <c r="J101" s="1246"/>
      <c r="K101" s="1246"/>
      <c r="L101" s="1246"/>
      <c r="M101" s="1246"/>
      <c r="N101" s="1246"/>
      <c r="O101" s="1122"/>
      <c r="P101" s="1246" t="s">
        <v>794</v>
      </c>
      <c r="Q101" s="1246"/>
      <c r="R101" s="1246"/>
      <c r="S101" s="1246"/>
      <c r="T101" s="1246"/>
      <c r="U101" s="1246"/>
      <c r="V101" s="1246"/>
      <c r="W101" s="1246"/>
      <c r="X101" s="1246"/>
      <c r="Y101" s="1246"/>
      <c r="Z101" s="1246"/>
      <c r="AA101" s="1152"/>
      <c r="AB101" s="1249" t="s">
        <v>795</v>
      </c>
      <c r="AC101" s="1249"/>
      <c r="AD101" s="1249"/>
      <c r="AE101" s="1249"/>
      <c r="AF101" s="1249"/>
      <c r="AG101" s="1249"/>
      <c r="AH101" s="1249"/>
      <c r="AI101" s="1249"/>
      <c r="AJ101" s="1249"/>
      <c r="AK101" s="1255"/>
    </row>
    <row r="102" spans="1:38" ht="3" customHeight="1" x14ac:dyDescent="0.35">
      <c r="B102" s="1242"/>
      <c r="C102" s="1246"/>
      <c r="D102" s="1246"/>
      <c r="E102" s="1246"/>
      <c r="F102" s="1256"/>
      <c r="G102" s="1246"/>
      <c r="H102" s="1246"/>
      <c r="I102" s="1246"/>
      <c r="J102" s="1246"/>
      <c r="K102" s="1246"/>
      <c r="L102" s="1246"/>
      <c r="M102" s="1246"/>
      <c r="N102" s="1246"/>
      <c r="O102" s="1256"/>
      <c r="P102" s="1246"/>
      <c r="Q102" s="1246"/>
      <c r="R102" s="1246"/>
      <c r="S102" s="1246"/>
      <c r="T102" s="1246"/>
      <c r="U102" s="1246"/>
      <c r="V102" s="1246"/>
      <c r="W102" s="1246"/>
      <c r="X102" s="1246"/>
      <c r="Y102" s="1246"/>
      <c r="Z102" s="1246"/>
      <c r="AA102" s="1257"/>
      <c r="AB102" s="1249"/>
      <c r="AC102" s="1249"/>
      <c r="AD102" s="1249"/>
      <c r="AE102" s="1249"/>
      <c r="AF102" s="1249"/>
      <c r="AG102" s="1249"/>
      <c r="AH102" s="1249"/>
      <c r="AI102" s="1249"/>
      <c r="AJ102" s="1249"/>
      <c r="AK102" s="1255"/>
    </row>
    <row r="103" spans="1:38" ht="20.100000000000001" customHeight="1" x14ac:dyDescent="0.35">
      <c r="B103" s="1242" t="s">
        <v>1422</v>
      </c>
      <c r="C103" s="1246"/>
      <c r="D103" s="1246"/>
      <c r="E103" s="1246"/>
      <c r="F103" s="1256"/>
      <c r="G103" s="1246"/>
      <c r="H103" s="1246"/>
      <c r="I103" s="1246"/>
      <c r="J103" s="1187"/>
      <c r="K103" s="1187"/>
      <c r="L103" s="1187"/>
      <c r="M103" s="1246"/>
      <c r="N103" s="1246"/>
      <c r="O103" s="1152"/>
      <c r="P103" s="1187" t="s">
        <v>1423</v>
      </c>
      <c r="Q103" s="1187"/>
      <c r="R103" s="1152"/>
      <c r="S103" s="1187" t="s">
        <v>87</v>
      </c>
      <c r="T103" s="1246"/>
      <c r="U103" s="1246"/>
      <c r="V103" s="1246"/>
      <c r="W103" s="1246"/>
      <c r="X103" s="1187" t="s">
        <v>1424</v>
      </c>
      <c r="Y103" s="1187"/>
      <c r="Z103" s="1187"/>
      <c r="AA103" s="1917"/>
      <c r="AB103" s="1968"/>
      <c r="AC103" s="1968"/>
      <c r="AD103" s="1968"/>
      <c r="AE103" s="1968"/>
      <c r="AF103" s="1968"/>
      <c r="AG103" s="1968"/>
      <c r="AH103" s="1968"/>
      <c r="AI103" s="1968"/>
      <c r="AJ103" s="1968"/>
      <c r="AK103" s="1969"/>
    </row>
    <row r="104" spans="1:38" ht="6.75" customHeight="1" thickBot="1" x14ac:dyDescent="0.4">
      <c r="A104" s="1235"/>
      <c r="B104" s="1258"/>
      <c r="C104" s="1259"/>
      <c r="D104" s="1259"/>
      <c r="E104" s="1259"/>
      <c r="F104" s="1259"/>
      <c r="G104" s="1259"/>
      <c r="H104" s="1259"/>
      <c r="I104" s="1259"/>
      <c r="J104" s="1260"/>
      <c r="K104" s="1260"/>
      <c r="L104" s="1260"/>
      <c r="M104" s="1261"/>
      <c r="N104" s="1260"/>
      <c r="O104" s="1260"/>
      <c r="P104" s="1260"/>
      <c r="Q104" s="1260"/>
      <c r="R104" s="1260"/>
      <c r="S104" s="1260"/>
      <c r="T104" s="1260"/>
      <c r="U104" s="1260"/>
      <c r="V104" s="1260"/>
      <c r="W104" s="1260"/>
      <c r="X104" s="1260"/>
      <c r="Y104" s="1260"/>
      <c r="Z104" s="1260"/>
      <c r="AA104" s="1261"/>
      <c r="AB104" s="1261"/>
      <c r="AC104" s="1261"/>
      <c r="AD104" s="1261"/>
      <c r="AE104" s="1261"/>
      <c r="AF104" s="1261"/>
      <c r="AG104" s="1261"/>
      <c r="AH104" s="1261"/>
      <c r="AI104" s="1261"/>
      <c r="AJ104" s="1261"/>
      <c r="AK104" s="1262"/>
      <c r="AL104" s="1111"/>
    </row>
    <row r="105" spans="1:38" ht="8.25" customHeight="1" x14ac:dyDescent="0.35">
      <c r="A105" s="1235"/>
      <c r="B105" s="1235"/>
      <c r="C105" s="1235"/>
      <c r="D105" s="1235"/>
      <c r="E105" s="1235"/>
      <c r="F105" s="1235"/>
      <c r="G105" s="1235"/>
      <c r="H105" s="1235"/>
      <c r="I105" s="1235"/>
      <c r="J105" s="1236"/>
      <c r="K105" s="1236"/>
      <c r="L105" s="1236"/>
      <c r="N105" s="1236"/>
      <c r="O105" s="1236"/>
      <c r="P105" s="1236"/>
      <c r="Q105" s="1236"/>
      <c r="R105" s="1236"/>
      <c r="S105" s="1236"/>
      <c r="T105" s="1236"/>
      <c r="U105" s="1236"/>
      <c r="V105" s="1236"/>
      <c r="W105" s="1236"/>
      <c r="X105" s="1236"/>
      <c r="Y105" s="1236"/>
      <c r="Z105" s="1236"/>
      <c r="AK105" s="1236"/>
      <c r="AL105" s="1111"/>
    </row>
    <row r="106" spans="1:38" ht="13.5" customHeight="1" x14ac:dyDescent="0.35">
      <c r="A106" s="1235"/>
      <c r="B106" s="1217" t="s">
        <v>984</v>
      </c>
      <c r="C106" s="1235"/>
      <c r="D106" s="1235"/>
      <c r="E106" s="1235"/>
      <c r="F106" s="1235"/>
      <c r="G106" s="1235"/>
      <c r="H106" s="1235"/>
      <c r="I106" s="1235"/>
      <c r="J106" s="1236"/>
      <c r="K106" s="1236"/>
      <c r="L106" s="1236"/>
      <c r="N106" s="1236"/>
      <c r="O106" s="1236"/>
      <c r="P106" s="1236"/>
      <c r="Q106" s="1236"/>
      <c r="R106" s="1236"/>
      <c r="S106" s="1236"/>
      <c r="T106" s="1236"/>
      <c r="U106" s="1236"/>
      <c r="V106" s="1236"/>
      <c r="W106" s="1236"/>
      <c r="X106" s="1236"/>
      <c r="Y106" s="1236"/>
      <c r="Z106" s="1236"/>
      <c r="AK106" s="1236"/>
      <c r="AL106" s="1111"/>
    </row>
    <row r="107" spans="1:38" ht="6" customHeight="1" x14ac:dyDescent="0.35">
      <c r="A107" s="1235"/>
      <c r="B107" s="1235"/>
      <c r="C107" s="1235"/>
      <c r="D107" s="1235"/>
      <c r="E107" s="1235"/>
      <c r="F107" s="1235"/>
      <c r="G107" s="1235"/>
      <c r="H107" s="1235"/>
      <c r="I107" s="1235"/>
      <c r="J107" s="1236"/>
      <c r="K107" s="1236"/>
      <c r="L107" s="1236"/>
      <c r="N107" s="1236"/>
      <c r="O107" s="1236"/>
      <c r="P107" s="1236"/>
      <c r="Q107" s="1236"/>
      <c r="R107" s="1236"/>
      <c r="S107" s="1236"/>
      <c r="T107" s="1236"/>
      <c r="U107" s="1236"/>
      <c r="V107" s="1236"/>
      <c r="W107" s="1236"/>
      <c r="X107" s="1265"/>
      <c r="Y107" s="1266"/>
      <c r="Z107" s="1266"/>
      <c r="AA107" s="1266"/>
      <c r="AB107" s="1266"/>
      <c r="AC107" s="1266"/>
      <c r="AD107" s="1266"/>
      <c r="AE107" s="1266"/>
      <c r="AF107" s="1266"/>
      <c r="AG107" s="1266"/>
      <c r="AH107" s="1266"/>
      <c r="AI107" s="1266"/>
      <c r="AJ107" s="1267"/>
      <c r="AK107" s="1236"/>
      <c r="AL107" s="1111"/>
    </row>
    <row r="108" spans="1:38" ht="26.25" customHeight="1" x14ac:dyDescent="0.35">
      <c r="X108" s="1268"/>
      <c r="Y108" s="1246"/>
      <c r="Z108" s="1246"/>
      <c r="AA108" s="1246"/>
      <c r="AB108" s="1246"/>
      <c r="AC108" s="1246"/>
      <c r="AD108" s="1246"/>
      <c r="AE108" s="1246"/>
      <c r="AF108" s="1246"/>
      <c r="AG108" s="1246"/>
      <c r="AH108" s="1246"/>
      <c r="AI108" s="1246"/>
      <c r="AJ108" s="1269"/>
    </row>
    <row r="109" spans="1:38" ht="4.5" hidden="1" customHeight="1" x14ac:dyDescent="0.35">
      <c r="X109" s="1268"/>
      <c r="Y109" s="1246"/>
      <c r="Z109" s="1246"/>
      <c r="AA109" s="1246"/>
      <c r="AB109" s="1246"/>
      <c r="AC109" s="1246"/>
      <c r="AD109" s="1246"/>
      <c r="AE109" s="1246"/>
      <c r="AF109" s="1246"/>
      <c r="AG109" s="1246"/>
      <c r="AH109" s="1246"/>
      <c r="AI109" s="1246"/>
      <c r="AJ109" s="1269"/>
    </row>
    <row r="110" spans="1:38" ht="18.75" customHeight="1" x14ac:dyDescent="0.35">
      <c r="B110" s="1928"/>
      <c r="C110" s="1929"/>
      <c r="D110" s="1929"/>
      <c r="E110" s="1929"/>
      <c r="F110" s="1929"/>
      <c r="G110" s="1929"/>
      <c r="H110" s="1929"/>
      <c r="I110" s="1929"/>
      <c r="J110" s="1930"/>
      <c r="K110" s="1093" t="s">
        <v>682</v>
      </c>
      <c r="L110" s="1931"/>
      <c r="M110" s="1932"/>
      <c r="N110" s="1933"/>
      <c r="O110" s="1093"/>
      <c r="P110" s="1917"/>
      <c r="Q110" s="1918"/>
      <c r="R110" s="1093"/>
      <c r="S110" s="1917"/>
      <c r="T110" s="1918"/>
      <c r="U110" s="1970"/>
      <c r="V110" s="1970"/>
      <c r="X110" s="1270"/>
      <c r="Y110" s="1271"/>
      <c r="Z110" s="1271"/>
      <c r="AA110" s="1271"/>
      <c r="AB110" s="1271"/>
      <c r="AC110" s="1271"/>
      <c r="AD110" s="1271"/>
      <c r="AE110" s="1271"/>
      <c r="AF110" s="1271"/>
      <c r="AG110" s="1271"/>
      <c r="AH110" s="1271"/>
      <c r="AI110" s="1271"/>
      <c r="AJ110" s="1272"/>
    </row>
    <row r="111" spans="1:38" x14ac:dyDescent="0.35">
      <c r="X111" s="1967" t="s">
        <v>683</v>
      </c>
      <c r="Y111" s="1967"/>
      <c r="Z111" s="1967"/>
      <c r="AA111" s="1967"/>
      <c r="AB111" s="1967"/>
      <c r="AC111" s="1967"/>
      <c r="AD111" s="1967"/>
      <c r="AE111" s="1967"/>
      <c r="AF111" s="1967"/>
      <c r="AG111" s="1967"/>
      <c r="AH111" s="1967"/>
      <c r="AI111" s="1967"/>
      <c r="AJ111" s="1967"/>
    </row>
  </sheetData>
  <sheetProtection algorithmName="SHA-512" hashValue="V6Wa6dAcUnZ32Fg0ZqGwRL8twTOTDgLKwIkwFVE3GJMfvxleDlyiqWDuA0zgn3QIJphtwvgIbEqSPrL/w5B6Qg==" saltValue="SWeSvj5bnsbaXRxjB/GCtQ==" spinCount="100000" sheet="1" selectLockedCells="1"/>
  <mergeCells count="68">
    <mergeCell ref="A1:X1"/>
    <mergeCell ref="J4:T4"/>
    <mergeCell ref="F13:I13"/>
    <mergeCell ref="L13:V13"/>
    <mergeCell ref="F15:R15"/>
    <mergeCell ref="U15:W15"/>
    <mergeCell ref="AA15:AB15"/>
    <mergeCell ref="AF15:AG15"/>
    <mergeCell ref="AI15:AJ15"/>
    <mergeCell ref="I17:U17"/>
    <mergeCell ref="J21:T21"/>
    <mergeCell ref="U21:AE21"/>
    <mergeCell ref="I41:U41"/>
    <mergeCell ref="L23:W23"/>
    <mergeCell ref="AA23:AK23"/>
    <mergeCell ref="L25:W25"/>
    <mergeCell ref="AA25:AK25"/>
    <mergeCell ref="AA31:AK31"/>
    <mergeCell ref="F37:I37"/>
    <mergeCell ref="L37:V37"/>
    <mergeCell ref="F39:R39"/>
    <mergeCell ref="U39:W39"/>
    <mergeCell ref="AA39:AB39"/>
    <mergeCell ref="AF39:AG39"/>
    <mergeCell ref="AI39:AJ39"/>
    <mergeCell ref="J45:T45"/>
    <mergeCell ref="U45:AE45"/>
    <mergeCell ref="L47:W47"/>
    <mergeCell ref="AA47:AK47"/>
    <mergeCell ref="L49:W49"/>
    <mergeCell ref="AA49:AK49"/>
    <mergeCell ref="L73:W73"/>
    <mergeCell ref="AA73:AK73"/>
    <mergeCell ref="AA55:AK55"/>
    <mergeCell ref="F61:I61"/>
    <mergeCell ref="L61:V61"/>
    <mergeCell ref="F63:R63"/>
    <mergeCell ref="U63:W63"/>
    <mergeCell ref="AA63:AB63"/>
    <mergeCell ref="AF63:AG63"/>
    <mergeCell ref="AI63:AJ63"/>
    <mergeCell ref="I65:U65"/>
    <mergeCell ref="J69:T69"/>
    <mergeCell ref="U69:AE69"/>
    <mergeCell ref="L71:W71"/>
    <mergeCell ref="AA71:AK71"/>
    <mergeCell ref="L97:W97"/>
    <mergeCell ref="AA97:AK97"/>
    <mergeCell ref="AA79:AK79"/>
    <mergeCell ref="F85:I85"/>
    <mergeCell ref="L85:V85"/>
    <mergeCell ref="F87:R87"/>
    <mergeCell ref="U87:W87"/>
    <mergeCell ref="AA87:AB87"/>
    <mergeCell ref="AF87:AG87"/>
    <mergeCell ref="AI87:AJ87"/>
    <mergeCell ref="I89:U89"/>
    <mergeCell ref="J93:T93"/>
    <mergeCell ref="U93:AE93"/>
    <mergeCell ref="L95:W95"/>
    <mergeCell ref="AA95:AK95"/>
    <mergeCell ref="X111:AJ111"/>
    <mergeCell ref="AA103:AK103"/>
    <mergeCell ref="B110:J110"/>
    <mergeCell ref="L110:N110"/>
    <mergeCell ref="P110:Q110"/>
    <mergeCell ref="S110:T110"/>
    <mergeCell ref="U110:V110"/>
  </mergeCells>
  <pageMargins left="0.78740157480314965" right="0.51181102362204722" top="0.59983333333333333" bottom="0.48666666666666669" header="0.27559055118110237" footer="0.19685039370078741"/>
  <pageSetup paperSize="9" scale="61" orientation="portrait" horizontalDpi="4294967293" r:id="rId1"/>
  <headerFooter alignWithMargins="0">
    <oddHeader>&amp;L&amp;G</oddHeader>
    <oddFooter>&amp;L&amp;"Trebuchet MS,Normál"&amp;K000000&amp;P/&amp;N&amp;C&amp;"Trebuchet MS,Normál"&amp;K000000Gránit Bank Zrt. 
székhely: 1095 Budapest, Lechner Ödön fasor 8. ; cégjegyzékszáma: 01-10-041028&amp;R&amp;"Trebuchet MS,Normál"&amp;K000000www.granitbank.hu</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7"/>
  <sheetViews>
    <sheetView showGridLines="0" zoomScaleNormal="100" workbookViewId="0">
      <selection activeCell="L37" sqref="L37"/>
    </sheetView>
  </sheetViews>
  <sheetFormatPr defaultColWidth="9.109375" defaultRowHeight="14.4" x14ac:dyDescent="0.35"/>
  <cols>
    <col min="1" max="1" width="1.5546875" style="1274" customWidth="1"/>
    <col min="2" max="24" width="3.5546875" style="1274" customWidth="1"/>
    <col min="25" max="25" width="4.33203125" style="1274" customWidth="1"/>
    <col min="26" max="35" width="3.5546875" style="1274" customWidth="1"/>
    <col min="36" max="36" width="4.109375" style="1274" customWidth="1"/>
    <col min="37" max="37" width="3.5546875" style="1274" customWidth="1"/>
    <col min="38" max="16384" width="9.109375" style="284"/>
  </cols>
  <sheetData>
    <row r="1" spans="1:37" s="187" customFormat="1" ht="59.25" customHeight="1" x14ac:dyDescent="0.3">
      <c r="A1" s="1962" t="s">
        <v>796</v>
      </c>
      <c r="B1" s="1962"/>
      <c r="C1" s="1962"/>
      <c r="D1" s="1962"/>
      <c r="E1" s="1962"/>
      <c r="F1" s="1962"/>
      <c r="G1" s="1962"/>
      <c r="H1" s="1962"/>
      <c r="I1" s="1962"/>
      <c r="J1" s="1962"/>
      <c r="K1" s="1962"/>
      <c r="L1" s="1962"/>
      <c r="M1" s="1962"/>
      <c r="N1" s="1962"/>
      <c r="O1" s="1962"/>
      <c r="P1" s="1962"/>
      <c r="Q1" s="1962"/>
      <c r="R1" s="1962"/>
      <c r="S1" s="1962"/>
      <c r="T1" s="1962"/>
      <c r="U1" s="1962"/>
      <c r="V1" s="1962"/>
      <c r="W1" s="1962"/>
      <c r="X1" s="1962"/>
      <c r="Y1" s="1962"/>
      <c r="Z1" s="1962"/>
      <c r="AA1" s="1962"/>
      <c r="AB1" s="1273"/>
      <c r="AC1" s="1273"/>
      <c r="AD1" s="1273"/>
      <c r="AE1" s="1273"/>
      <c r="AF1" s="1273"/>
      <c r="AG1" s="1273"/>
      <c r="AH1" s="1273"/>
      <c r="AI1" s="1273"/>
      <c r="AJ1" s="1273"/>
      <c r="AK1" s="1273"/>
    </row>
    <row r="2" spans="1:37" s="187" customFormat="1" ht="27" customHeight="1" thickBot="1" x14ac:dyDescent="0.35">
      <c r="A2" s="1091"/>
      <c r="B2" s="1091"/>
      <c r="C2" s="1091"/>
      <c r="D2" s="1091"/>
      <c r="E2" s="1091"/>
      <c r="F2" s="1091"/>
      <c r="G2" s="1091"/>
      <c r="H2" s="1091"/>
      <c r="I2" s="1091"/>
      <c r="J2" s="1091"/>
      <c r="K2" s="1091"/>
      <c r="L2" s="1091"/>
      <c r="M2" s="1091"/>
      <c r="N2" s="1091"/>
      <c r="O2" s="1091"/>
      <c r="P2" s="1091"/>
      <c r="Q2" s="1091"/>
      <c r="R2" s="1091"/>
      <c r="S2" s="1091"/>
      <c r="T2" s="1091"/>
      <c r="U2" s="1091"/>
      <c r="V2" s="1091"/>
      <c r="W2" s="1091"/>
      <c r="X2" s="1091"/>
      <c r="Y2" s="1091"/>
      <c r="Z2" s="1091"/>
      <c r="AA2" s="1091"/>
      <c r="AB2" s="1273"/>
      <c r="AC2" s="1273"/>
      <c r="AD2" s="1273"/>
      <c r="AE2" s="1273"/>
      <c r="AF2" s="1273"/>
      <c r="AG2" s="1273"/>
      <c r="AH2" s="1273"/>
      <c r="AI2" s="1273"/>
      <c r="AJ2" s="1273"/>
      <c r="AK2" s="1273"/>
    </row>
    <row r="3" spans="1:37" ht="3.75" customHeight="1" x14ac:dyDescent="0.35">
      <c r="B3" s="1275"/>
      <c r="C3" s="1276"/>
      <c r="D3" s="1277"/>
      <c r="E3" s="1277"/>
      <c r="F3" s="1277"/>
      <c r="G3" s="1277"/>
      <c r="H3" s="1277"/>
      <c r="I3" s="1277"/>
      <c r="J3" s="1277"/>
      <c r="K3" s="1277"/>
      <c r="L3" s="1277"/>
      <c r="M3" s="1277"/>
      <c r="N3" s="1277"/>
      <c r="O3" s="1277"/>
      <c r="P3" s="1277"/>
      <c r="Q3" s="1276"/>
      <c r="R3" s="1276"/>
      <c r="S3" s="1277"/>
      <c r="T3" s="1277"/>
      <c r="U3" s="1277"/>
      <c r="V3" s="1277"/>
      <c r="W3" s="1277"/>
      <c r="X3" s="1277"/>
      <c r="Y3" s="1277"/>
      <c r="Z3" s="1277"/>
      <c r="AA3" s="1277"/>
      <c r="AB3" s="1277"/>
      <c r="AC3" s="1277"/>
      <c r="AD3" s="1277"/>
      <c r="AE3" s="1277"/>
      <c r="AF3" s="1277"/>
      <c r="AG3" s="1277"/>
      <c r="AH3" s="1277"/>
      <c r="AI3" s="1277"/>
      <c r="AJ3" s="1278"/>
    </row>
    <row r="4" spans="1:37" ht="18.75" customHeight="1" x14ac:dyDescent="0.35">
      <c r="B4" s="1279" t="s">
        <v>797</v>
      </c>
      <c r="C4" s="1280"/>
      <c r="D4" s="1281"/>
      <c r="E4" s="1281"/>
      <c r="F4" s="1281"/>
      <c r="G4" s="1281"/>
      <c r="H4" s="1931"/>
      <c r="I4" s="1932"/>
      <c r="J4" s="1932"/>
      <c r="K4" s="1932"/>
      <c r="L4" s="1932"/>
      <c r="M4" s="1932"/>
      <c r="N4" s="1932"/>
      <c r="O4" s="1932"/>
      <c r="P4" s="1932"/>
      <c r="Q4" s="1932"/>
      <c r="R4" s="1932"/>
      <c r="S4" s="1932"/>
      <c r="T4" s="1932"/>
      <c r="U4" s="1932"/>
      <c r="V4" s="1932"/>
      <c r="W4" s="1932"/>
      <c r="X4" s="1932"/>
      <c r="Y4" s="1932"/>
      <c r="Z4" s="1932"/>
      <c r="AA4" s="1932"/>
      <c r="AB4" s="1932"/>
      <c r="AC4" s="1932"/>
      <c r="AD4" s="1932"/>
      <c r="AE4" s="1932"/>
      <c r="AF4" s="1932"/>
      <c r="AG4" s="1933"/>
      <c r="AH4" s="1280"/>
      <c r="AI4" s="1280"/>
      <c r="AJ4" s="1282"/>
    </row>
    <row r="5" spans="1:37" ht="3.75" customHeight="1" x14ac:dyDescent="0.35">
      <c r="B5" s="1279"/>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2"/>
    </row>
    <row r="6" spans="1:37" ht="18.75" customHeight="1" x14ac:dyDescent="0.35">
      <c r="B6" s="1279" t="s">
        <v>798</v>
      </c>
      <c r="C6" s="1280"/>
      <c r="D6" s="1280"/>
      <c r="E6" s="1280"/>
      <c r="F6" s="1280"/>
      <c r="G6" s="1280"/>
      <c r="H6" s="1931"/>
      <c r="I6" s="1932"/>
      <c r="J6" s="1932"/>
      <c r="K6" s="1932"/>
      <c r="L6" s="1932"/>
      <c r="M6" s="1932"/>
      <c r="N6" s="1932"/>
      <c r="O6" s="1932"/>
      <c r="P6" s="1932"/>
      <c r="Q6" s="1932"/>
      <c r="R6" s="1932"/>
      <c r="S6" s="1932"/>
      <c r="T6" s="1932"/>
      <c r="U6" s="1932"/>
      <c r="V6" s="1932"/>
      <c r="W6" s="1932"/>
      <c r="X6" s="1932"/>
      <c r="Y6" s="1932"/>
      <c r="Z6" s="1932"/>
      <c r="AA6" s="1932"/>
      <c r="AB6" s="1932"/>
      <c r="AC6" s="1932"/>
      <c r="AD6" s="1932"/>
      <c r="AE6" s="1932"/>
      <c r="AF6" s="1932"/>
      <c r="AG6" s="1933"/>
      <c r="AH6" s="1280"/>
      <c r="AI6" s="1280"/>
      <c r="AJ6" s="1282"/>
    </row>
    <row r="7" spans="1:37" ht="3.75" customHeight="1" x14ac:dyDescent="0.35">
      <c r="B7" s="1279"/>
      <c r="C7" s="1280"/>
      <c r="D7" s="1280"/>
      <c r="E7" s="1280"/>
      <c r="F7" s="1280"/>
      <c r="G7" s="1280"/>
      <c r="H7" s="1280"/>
      <c r="I7" s="1280"/>
      <c r="J7" s="1280"/>
      <c r="K7" s="1280"/>
      <c r="L7" s="1280"/>
      <c r="M7" s="1280"/>
      <c r="N7" s="1280"/>
      <c r="O7" s="1280"/>
      <c r="P7" s="1280"/>
      <c r="Q7" s="1280"/>
      <c r="R7" s="1280"/>
      <c r="S7" s="1280"/>
      <c r="T7" s="1280"/>
      <c r="U7" s="1280"/>
      <c r="V7" s="1280"/>
      <c r="W7" s="1280"/>
      <c r="X7" s="1280"/>
      <c r="Y7" s="1280"/>
      <c r="Z7" s="1280"/>
      <c r="AA7" s="1280"/>
      <c r="AB7" s="1280"/>
      <c r="AC7" s="1280"/>
      <c r="AD7" s="1280"/>
      <c r="AE7" s="1280"/>
      <c r="AF7" s="1280"/>
      <c r="AG7" s="1280"/>
      <c r="AH7" s="1280"/>
      <c r="AI7" s="1280"/>
      <c r="AJ7" s="1282"/>
    </row>
    <row r="8" spans="1:37" ht="18.75" customHeight="1" x14ac:dyDescent="0.35">
      <c r="B8" s="1279" t="s">
        <v>799</v>
      </c>
      <c r="C8" s="1280"/>
      <c r="D8" s="1280"/>
      <c r="E8" s="1280"/>
      <c r="F8" s="1280"/>
      <c r="G8" s="1280"/>
      <c r="H8" s="1280"/>
      <c r="I8" s="1280"/>
      <c r="J8" s="1280"/>
      <c r="K8" s="1280"/>
      <c r="L8" s="1280"/>
      <c r="M8" s="1280"/>
      <c r="N8" s="1280"/>
      <c r="O8" s="1280"/>
      <c r="P8" s="1931"/>
      <c r="Q8" s="1932"/>
      <c r="R8" s="1932"/>
      <c r="S8" s="1932"/>
      <c r="T8" s="1932"/>
      <c r="U8" s="1932"/>
      <c r="V8" s="1932"/>
      <c r="W8" s="1933"/>
      <c r="X8" s="1283" t="s">
        <v>679</v>
      </c>
      <c r="Y8" s="1284"/>
      <c r="Z8" s="1283" t="s">
        <v>679</v>
      </c>
      <c r="AA8" s="1931"/>
      <c r="AB8" s="1933"/>
      <c r="AC8" s="1280"/>
      <c r="AD8" s="1280"/>
      <c r="AE8" s="1280"/>
      <c r="AF8" s="1280"/>
      <c r="AG8" s="1280"/>
      <c r="AH8" s="1280"/>
      <c r="AI8" s="1280"/>
      <c r="AJ8" s="1282"/>
    </row>
    <row r="9" spans="1:37" ht="3.75" customHeight="1" x14ac:dyDescent="0.35">
      <c r="B9" s="1279"/>
      <c r="C9" s="1280"/>
      <c r="D9" s="1285"/>
      <c r="E9" s="1285"/>
      <c r="F9" s="1280"/>
      <c r="G9" s="1280"/>
      <c r="H9" s="1280"/>
      <c r="I9" s="1280"/>
      <c r="J9" s="1280"/>
      <c r="K9" s="1280"/>
      <c r="L9" s="1280"/>
      <c r="M9" s="1280"/>
      <c r="N9" s="1280"/>
      <c r="O9" s="1280"/>
      <c r="P9" s="1280"/>
      <c r="Q9" s="1280"/>
      <c r="R9" s="1280"/>
      <c r="S9" s="1280"/>
      <c r="T9" s="1280"/>
      <c r="U9" s="1280"/>
      <c r="V9" s="1280"/>
      <c r="W9" s="1280"/>
      <c r="X9" s="1280"/>
      <c r="Y9" s="1280"/>
      <c r="Z9" s="1280"/>
      <c r="AA9" s="1280"/>
      <c r="AB9" s="1280"/>
      <c r="AC9" s="1280"/>
      <c r="AD9" s="1280"/>
      <c r="AE9" s="1280"/>
      <c r="AF9" s="1280"/>
      <c r="AG9" s="1280"/>
      <c r="AH9" s="1280"/>
      <c r="AI9" s="1280"/>
      <c r="AJ9" s="1282"/>
    </row>
    <row r="10" spans="1:37" ht="18.75" customHeight="1" x14ac:dyDescent="0.35">
      <c r="B10" s="1279" t="s">
        <v>800</v>
      </c>
      <c r="C10" s="1280"/>
      <c r="D10" s="1280"/>
      <c r="E10" s="1280"/>
      <c r="F10" s="1280"/>
      <c r="G10" s="1280"/>
      <c r="H10" s="1280"/>
      <c r="I10" s="1280"/>
      <c r="J10" s="1280"/>
      <c r="K10" s="1280"/>
      <c r="L10" s="1280"/>
      <c r="M10" s="1280"/>
      <c r="N10" s="1280"/>
      <c r="O10" s="1280"/>
      <c r="P10" s="1931"/>
      <c r="Q10" s="1932"/>
      <c r="R10" s="1932"/>
      <c r="S10" s="1932"/>
      <c r="T10" s="1932"/>
      <c r="U10" s="1932"/>
      <c r="V10" s="1932"/>
      <c r="W10" s="1932"/>
      <c r="X10" s="1932"/>
      <c r="Y10" s="1932"/>
      <c r="Z10" s="1932"/>
      <c r="AA10" s="1932"/>
      <c r="AB10" s="1933"/>
      <c r="AC10" s="1280"/>
      <c r="AD10" s="1280"/>
      <c r="AE10" s="1280"/>
      <c r="AF10" s="1280"/>
      <c r="AG10" s="1280"/>
      <c r="AH10" s="1280"/>
      <c r="AI10" s="1280"/>
      <c r="AJ10" s="1282"/>
    </row>
    <row r="11" spans="1:37" ht="3.75" customHeight="1" x14ac:dyDescent="0.35">
      <c r="B11" s="1279"/>
      <c r="C11" s="1280"/>
      <c r="D11" s="1285"/>
      <c r="E11" s="1285"/>
      <c r="F11" s="1280"/>
      <c r="G11" s="1280"/>
      <c r="H11" s="1280"/>
      <c r="I11" s="1280"/>
      <c r="J11" s="1280"/>
      <c r="K11" s="1280"/>
      <c r="L11" s="1280"/>
      <c r="M11" s="1280"/>
      <c r="N11" s="1280"/>
      <c r="O11" s="1280"/>
      <c r="P11" s="1280"/>
      <c r="Q11" s="1280"/>
      <c r="R11" s="1280"/>
      <c r="S11" s="1280"/>
      <c r="T11" s="1280"/>
      <c r="U11" s="1280"/>
      <c r="V11" s="1280"/>
      <c r="W11" s="1280"/>
      <c r="X11" s="1280"/>
      <c r="Y11" s="1280"/>
      <c r="Z11" s="1280"/>
      <c r="AA11" s="1280"/>
      <c r="AB11" s="1280"/>
      <c r="AC11" s="1280"/>
      <c r="AD11" s="1280"/>
      <c r="AE11" s="1280"/>
      <c r="AF11" s="1280"/>
      <c r="AG11" s="1280"/>
      <c r="AH11" s="1280"/>
      <c r="AI11" s="1280"/>
      <c r="AJ11" s="1282"/>
    </row>
    <row r="12" spans="1:37" ht="18.75" customHeight="1" x14ac:dyDescent="0.35">
      <c r="B12" s="1279" t="s">
        <v>801</v>
      </c>
      <c r="C12" s="1280"/>
      <c r="D12" s="1280"/>
      <c r="E12" s="1280"/>
      <c r="F12" s="1280"/>
      <c r="G12" s="1280"/>
      <c r="H12" s="1280"/>
      <c r="I12" s="1280"/>
      <c r="J12" s="1280"/>
      <c r="K12" s="1280"/>
      <c r="L12" s="1280"/>
      <c r="M12" s="1280"/>
      <c r="N12" s="1280"/>
      <c r="O12" s="1280"/>
      <c r="P12" s="1931"/>
      <c r="Q12" s="1932"/>
      <c r="R12" s="1932"/>
      <c r="S12" s="1932"/>
      <c r="T12" s="1932"/>
      <c r="U12" s="1932"/>
      <c r="V12" s="1932"/>
      <c r="W12" s="1932"/>
      <c r="X12" s="1932"/>
      <c r="Y12" s="1932"/>
      <c r="Z12" s="1932"/>
      <c r="AA12" s="1932"/>
      <c r="AB12" s="1933"/>
      <c r="AC12" s="1280"/>
      <c r="AD12" s="1280"/>
      <c r="AE12" s="1280"/>
      <c r="AF12" s="1280"/>
      <c r="AG12" s="1280"/>
      <c r="AH12" s="1280"/>
      <c r="AI12" s="1280"/>
      <c r="AJ12" s="1282"/>
    </row>
    <row r="13" spans="1:37" ht="3.75" customHeight="1" x14ac:dyDescent="0.35">
      <c r="B13" s="1279"/>
      <c r="C13" s="1280"/>
      <c r="D13" s="1285"/>
      <c r="E13" s="1285"/>
      <c r="F13" s="1280"/>
      <c r="G13" s="1280"/>
      <c r="H13" s="1280"/>
      <c r="I13" s="1280"/>
      <c r="J13" s="1280"/>
      <c r="K13" s="1280"/>
      <c r="L13" s="1280"/>
      <c r="M13" s="1280"/>
      <c r="N13" s="1280"/>
      <c r="O13" s="1280"/>
      <c r="P13" s="1280"/>
      <c r="Q13" s="1280"/>
      <c r="R13" s="1280"/>
      <c r="S13" s="1280"/>
      <c r="T13" s="1280"/>
      <c r="U13" s="1280"/>
      <c r="V13" s="1280"/>
      <c r="W13" s="1280"/>
      <c r="X13" s="1280"/>
      <c r="Y13" s="1280"/>
      <c r="Z13" s="1280"/>
      <c r="AA13" s="1280"/>
      <c r="AB13" s="1280"/>
      <c r="AC13" s="1280"/>
      <c r="AD13" s="1280"/>
      <c r="AE13" s="1280"/>
      <c r="AF13" s="1280"/>
      <c r="AG13" s="1280"/>
      <c r="AH13" s="1280"/>
      <c r="AI13" s="1280"/>
      <c r="AJ13" s="1282"/>
    </row>
    <row r="14" spans="1:37" ht="18.75" customHeight="1" x14ac:dyDescent="0.35">
      <c r="B14" s="1279" t="s">
        <v>802</v>
      </c>
      <c r="C14" s="1280"/>
      <c r="D14" s="1280"/>
      <c r="E14" s="1280"/>
      <c r="F14" s="1280"/>
      <c r="G14" s="1280"/>
      <c r="H14" s="1280"/>
      <c r="I14" s="1280"/>
      <c r="J14" s="1280"/>
      <c r="K14" s="1280"/>
      <c r="L14" s="1280"/>
      <c r="M14" s="1280"/>
      <c r="N14" s="1280"/>
      <c r="O14" s="1280"/>
      <c r="P14" s="1931"/>
      <c r="Q14" s="1932"/>
      <c r="R14" s="1932"/>
      <c r="S14" s="1933"/>
      <c r="T14" s="1280" t="s">
        <v>702</v>
      </c>
      <c r="U14" s="1931"/>
      <c r="V14" s="1933"/>
      <c r="W14" s="1280" t="s">
        <v>703</v>
      </c>
      <c r="X14" s="1931"/>
      <c r="Y14" s="1933"/>
      <c r="Z14" s="1280" t="s">
        <v>704</v>
      </c>
      <c r="AA14" s="1280"/>
      <c r="AB14" s="1280"/>
      <c r="AC14" s="1280"/>
      <c r="AD14" s="1280"/>
      <c r="AE14" s="1280"/>
      <c r="AF14" s="1280"/>
      <c r="AG14" s="1280"/>
      <c r="AH14" s="1280"/>
      <c r="AI14" s="1280"/>
      <c r="AJ14" s="1282"/>
    </row>
    <row r="15" spans="1:37" ht="3.75" customHeight="1" x14ac:dyDescent="0.35">
      <c r="B15" s="1279"/>
      <c r="C15" s="1280"/>
      <c r="D15" s="1280"/>
      <c r="E15" s="1280"/>
      <c r="F15" s="1280"/>
      <c r="G15" s="1280"/>
      <c r="H15" s="1280"/>
      <c r="I15" s="1280"/>
      <c r="J15" s="1280"/>
      <c r="K15" s="1280"/>
      <c r="L15" s="1280"/>
      <c r="M15" s="1280"/>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2"/>
    </row>
    <row r="16" spans="1:37" ht="18.75" customHeight="1" x14ac:dyDescent="0.35">
      <c r="B16" s="1279" t="s">
        <v>803</v>
      </c>
      <c r="C16" s="1280"/>
      <c r="D16" s="1281"/>
      <c r="E16" s="1281"/>
      <c r="F16" s="1281"/>
      <c r="G16" s="1281"/>
      <c r="H16" s="1281"/>
      <c r="I16" s="1281"/>
      <c r="J16" s="1281"/>
      <c r="K16" s="1281"/>
      <c r="L16" s="1281"/>
      <c r="M16" s="1281"/>
      <c r="N16" s="1281"/>
      <c r="O16" s="1281"/>
      <c r="P16" s="1281"/>
      <c r="Q16" s="1280" t="s">
        <v>804</v>
      </c>
      <c r="R16" s="1280"/>
      <c r="S16" s="1280"/>
      <c r="T16" s="1280"/>
      <c r="U16" s="1931"/>
      <c r="V16" s="1933"/>
      <c r="W16" s="1283" t="s">
        <v>679</v>
      </c>
      <c r="X16" s="1931"/>
      <c r="Y16" s="1932"/>
      <c r="Z16" s="1933"/>
      <c r="AA16" s="1280"/>
      <c r="AB16" s="1280"/>
      <c r="AC16" s="1280"/>
      <c r="AD16" s="1280"/>
      <c r="AE16" s="1280"/>
      <c r="AF16" s="1280"/>
      <c r="AG16" s="1280"/>
      <c r="AH16" s="1280"/>
      <c r="AI16" s="1280"/>
      <c r="AJ16" s="1282"/>
    </row>
    <row r="17" spans="1:39" ht="3.75" customHeight="1" x14ac:dyDescent="0.35">
      <c r="B17" s="1279"/>
      <c r="C17" s="1280"/>
      <c r="D17" s="1280"/>
      <c r="E17" s="1280"/>
      <c r="F17" s="1280"/>
      <c r="G17" s="1280"/>
      <c r="H17" s="1280"/>
      <c r="I17" s="1280"/>
      <c r="J17" s="1280"/>
      <c r="K17" s="1280"/>
      <c r="L17" s="1280"/>
      <c r="M17" s="1280"/>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2"/>
    </row>
    <row r="18" spans="1:39" ht="18.75" customHeight="1" x14ac:dyDescent="0.35">
      <c r="B18" s="1279" t="s">
        <v>805</v>
      </c>
      <c r="C18" s="1280"/>
      <c r="D18" s="1280"/>
      <c r="E18" s="1280"/>
      <c r="F18" s="1280"/>
      <c r="G18" s="1280"/>
      <c r="H18" s="1280"/>
      <c r="I18" s="1280"/>
      <c r="J18" s="1280"/>
      <c r="K18" s="1284"/>
      <c r="L18" s="1286">
        <v>1</v>
      </c>
      <c r="M18" s="1284"/>
      <c r="N18" s="1280" t="s">
        <v>806</v>
      </c>
      <c r="O18" s="1280"/>
      <c r="P18" s="1284"/>
      <c r="Q18" s="1280" t="s">
        <v>807</v>
      </c>
      <c r="R18" s="1280"/>
      <c r="S18" s="1284"/>
      <c r="T18" s="1280" t="s">
        <v>808</v>
      </c>
      <c r="U18" s="1280"/>
      <c r="V18" s="1284"/>
      <c r="W18" s="1280" t="s">
        <v>809</v>
      </c>
      <c r="X18" s="1280"/>
      <c r="Y18" s="1280"/>
      <c r="Z18" s="1284"/>
      <c r="AA18" s="1280" t="s">
        <v>810</v>
      </c>
      <c r="AB18" s="1280"/>
      <c r="AC18" s="1280"/>
      <c r="AD18" s="1284"/>
      <c r="AE18" s="1280" t="s">
        <v>811</v>
      </c>
      <c r="AF18" s="1280"/>
      <c r="AG18" s="1280"/>
      <c r="AH18" s="1280"/>
      <c r="AI18" s="1280"/>
      <c r="AJ18" s="1282"/>
    </row>
    <row r="19" spans="1:39" ht="3.75" customHeight="1" thickBot="1" x14ac:dyDescent="0.4">
      <c r="B19" s="1287"/>
      <c r="C19" s="1288"/>
      <c r="D19" s="1288"/>
      <c r="E19" s="1289"/>
      <c r="F19" s="1288"/>
      <c r="G19" s="1288"/>
      <c r="H19" s="1288"/>
      <c r="I19" s="1288"/>
      <c r="J19" s="1288"/>
      <c r="K19" s="1288"/>
      <c r="L19" s="1288"/>
      <c r="M19" s="1288"/>
      <c r="N19" s="1288"/>
      <c r="O19" s="1288"/>
      <c r="P19" s="1288"/>
      <c r="Q19" s="1288"/>
      <c r="R19" s="1288"/>
      <c r="S19" s="1288"/>
      <c r="T19" s="1288"/>
      <c r="U19" s="1288"/>
      <c r="V19" s="1288"/>
      <c r="W19" s="1288"/>
      <c r="X19" s="1288"/>
      <c r="Y19" s="1288"/>
      <c r="Z19" s="1288"/>
      <c r="AA19" s="1288"/>
      <c r="AB19" s="1288"/>
      <c r="AC19" s="1288"/>
      <c r="AD19" s="1288"/>
      <c r="AE19" s="1288"/>
      <c r="AF19" s="1288"/>
      <c r="AG19" s="1288"/>
      <c r="AH19" s="1288"/>
      <c r="AI19" s="1288"/>
      <c r="AJ19" s="1290"/>
    </row>
    <row r="20" spans="1:39" ht="3.75" customHeight="1" x14ac:dyDescent="0.35">
      <c r="E20" s="1291"/>
    </row>
    <row r="21" spans="1:39" ht="25.5" customHeight="1" thickBot="1" x14ac:dyDescent="0.4">
      <c r="E21" s="1291"/>
    </row>
    <row r="22" spans="1:39" ht="3.75" customHeight="1" x14ac:dyDescent="0.35">
      <c r="B22" s="1292"/>
      <c r="C22" s="1277"/>
      <c r="D22" s="1277"/>
      <c r="E22" s="1293"/>
      <c r="F22" s="1277"/>
      <c r="G22" s="1277"/>
      <c r="H22" s="1277"/>
      <c r="I22" s="1277"/>
      <c r="J22" s="1277"/>
      <c r="K22" s="1277"/>
      <c r="L22" s="1277"/>
      <c r="M22" s="1277"/>
      <c r="N22" s="1277"/>
      <c r="O22" s="1277"/>
      <c r="P22" s="1277"/>
      <c r="Q22" s="1277"/>
      <c r="R22" s="1277"/>
      <c r="S22" s="1277"/>
      <c r="T22" s="1277"/>
      <c r="U22" s="1277"/>
      <c r="V22" s="1277"/>
      <c r="W22" s="1277"/>
      <c r="X22" s="1277"/>
      <c r="Y22" s="1277"/>
      <c r="Z22" s="1277"/>
      <c r="AA22" s="1277"/>
      <c r="AB22" s="1277"/>
      <c r="AC22" s="1277"/>
      <c r="AD22" s="1277"/>
      <c r="AE22" s="1277"/>
      <c r="AF22" s="1277"/>
      <c r="AG22" s="1277"/>
      <c r="AH22" s="1277"/>
      <c r="AI22" s="1277"/>
      <c r="AJ22" s="1278"/>
    </row>
    <row r="23" spans="1:39" ht="18.75" customHeight="1" x14ac:dyDescent="0.35">
      <c r="B23" s="1279" t="s">
        <v>812</v>
      </c>
      <c r="C23" s="1280"/>
      <c r="D23" s="1281"/>
      <c r="E23" s="1281"/>
      <c r="F23" s="1281"/>
      <c r="G23" s="1281"/>
      <c r="H23" s="1281"/>
      <c r="I23" s="1931"/>
      <c r="J23" s="1932"/>
      <c r="K23" s="1932"/>
      <c r="L23" s="1932"/>
      <c r="M23" s="1932"/>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3"/>
      <c r="AI23" s="1280"/>
      <c r="AJ23" s="1282"/>
    </row>
    <row r="24" spans="1:39" ht="3.75" customHeight="1" x14ac:dyDescent="0.35">
      <c r="A24" s="1294"/>
      <c r="B24" s="1279"/>
      <c r="C24" s="1280"/>
      <c r="D24" s="1280"/>
      <c r="E24" s="1280"/>
      <c r="F24" s="1280"/>
      <c r="G24" s="1280"/>
      <c r="H24" s="1280"/>
      <c r="I24" s="1280"/>
      <c r="J24" s="1280"/>
      <c r="K24" s="1280"/>
      <c r="L24" s="1280"/>
      <c r="M24" s="1280"/>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2"/>
    </row>
    <row r="25" spans="1:39" ht="18.75" customHeight="1" x14ac:dyDescent="0.35">
      <c r="B25" s="1279" t="s">
        <v>813</v>
      </c>
      <c r="C25" s="1280"/>
      <c r="D25" s="1281"/>
      <c r="E25" s="1281"/>
      <c r="F25" s="1281"/>
      <c r="G25" s="1281"/>
      <c r="H25" s="1281"/>
      <c r="I25" s="1931"/>
      <c r="J25" s="1932"/>
      <c r="K25" s="1932"/>
      <c r="L25" s="1932"/>
      <c r="M25" s="1932"/>
      <c r="N25" s="1932"/>
      <c r="O25" s="1932"/>
      <c r="P25" s="1932"/>
      <c r="Q25" s="1932"/>
      <c r="R25" s="1932"/>
      <c r="S25" s="1932"/>
      <c r="T25" s="1932"/>
      <c r="U25" s="1932"/>
      <c r="V25" s="1932"/>
      <c r="W25" s="1932"/>
      <c r="X25" s="1932"/>
      <c r="Y25" s="1932"/>
      <c r="Z25" s="1932"/>
      <c r="AA25" s="1932"/>
      <c r="AB25" s="1932"/>
      <c r="AC25" s="1932"/>
      <c r="AD25" s="1932"/>
      <c r="AE25" s="1932"/>
      <c r="AF25" s="1932"/>
      <c r="AG25" s="1932"/>
      <c r="AH25" s="1933"/>
      <c r="AI25" s="1280"/>
      <c r="AJ25" s="1282"/>
    </row>
    <row r="26" spans="1:39" ht="3.75" customHeight="1" x14ac:dyDescent="0.35">
      <c r="B26" s="1279"/>
      <c r="C26" s="1280"/>
      <c r="D26" s="1280"/>
      <c r="E26" s="1280"/>
      <c r="F26" s="1280"/>
      <c r="G26" s="1280"/>
      <c r="H26" s="1280"/>
      <c r="I26" s="1280"/>
      <c r="J26" s="1280"/>
      <c r="K26" s="1280"/>
      <c r="L26" s="128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2"/>
    </row>
    <row r="27" spans="1:39" ht="18.75" customHeight="1" x14ac:dyDescent="0.35">
      <c r="B27" s="1279" t="s">
        <v>814</v>
      </c>
      <c r="C27" s="1280"/>
      <c r="D27" s="1281"/>
      <c r="E27" s="1281"/>
      <c r="F27" s="1281"/>
      <c r="G27" s="1281"/>
      <c r="H27" s="1281"/>
      <c r="I27" s="1931"/>
      <c r="J27" s="1932"/>
      <c r="K27" s="1932"/>
      <c r="L27" s="1932"/>
      <c r="M27" s="1932"/>
      <c r="N27" s="1932"/>
      <c r="O27" s="1932"/>
      <c r="P27" s="1932"/>
      <c r="Q27" s="1932"/>
      <c r="R27" s="1932"/>
      <c r="S27" s="1932"/>
      <c r="T27" s="1932"/>
      <c r="U27" s="1932"/>
      <c r="V27" s="1932"/>
      <c r="W27" s="1932"/>
      <c r="X27" s="1932"/>
      <c r="Y27" s="1932"/>
      <c r="Z27" s="1932"/>
      <c r="AA27" s="1932"/>
      <c r="AB27" s="1932"/>
      <c r="AC27" s="1932"/>
      <c r="AD27" s="1932"/>
      <c r="AE27" s="1932"/>
      <c r="AF27" s="1932"/>
      <c r="AG27" s="1932"/>
      <c r="AH27" s="1933"/>
      <c r="AI27" s="1280"/>
      <c r="AJ27" s="1282"/>
    </row>
    <row r="28" spans="1:39" ht="3.75" customHeight="1" x14ac:dyDescent="0.35">
      <c r="B28" s="1279"/>
      <c r="C28" s="1280"/>
      <c r="D28" s="1280"/>
      <c r="E28" s="1280"/>
      <c r="F28" s="1280"/>
      <c r="G28" s="1280"/>
      <c r="H28" s="1280"/>
      <c r="I28" s="1280"/>
      <c r="J28" s="1280"/>
      <c r="K28" s="1280"/>
      <c r="L28" s="1280"/>
      <c r="M28" s="1280"/>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2"/>
    </row>
    <row r="29" spans="1:39" ht="18.75" customHeight="1" x14ac:dyDescent="0.35">
      <c r="B29" s="1279" t="s">
        <v>815</v>
      </c>
      <c r="C29" s="1280"/>
      <c r="D29" s="1280"/>
      <c r="E29" s="1280"/>
      <c r="F29" s="1280"/>
      <c r="G29" s="1280"/>
      <c r="H29" s="1280"/>
      <c r="I29" s="1931"/>
      <c r="J29" s="1932"/>
      <c r="K29" s="1932"/>
      <c r="L29" s="1932"/>
      <c r="M29" s="1932"/>
      <c r="N29" s="1932"/>
      <c r="O29" s="1932"/>
      <c r="P29" s="1932"/>
      <c r="Q29" s="1932"/>
      <c r="R29" s="1932"/>
      <c r="S29" s="1932"/>
      <c r="T29" s="1932"/>
      <c r="U29" s="1932"/>
      <c r="V29" s="1932"/>
      <c r="W29" s="1932"/>
      <c r="X29" s="1933"/>
      <c r="Y29" s="1280" t="s">
        <v>816</v>
      </c>
      <c r="Z29" s="1931"/>
      <c r="AA29" s="1932"/>
      <c r="AB29" s="1932"/>
      <c r="AC29" s="1933"/>
      <c r="AD29" s="1280" t="s">
        <v>702</v>
      </c>
      <c r="AE29" s="1931"/>
      <c r="AF29" s="1933"/>
      <c r="AG29" s="1280" t="s">
        <v>703</v>
      </c>
      <c r="AH29" s="1931"/>
      <c r="AI29" s="1933"/>
      <c r="AJ29" s="1282" t="s">
        <v>704</v>
      </c>
      <c r="AK29" s="1295"/>
      <c r="AL29" s="633"/>
      <c r="AM29" s="633"/>
    </row>
    <row r="30" spans="1:39" ht="3.75" customHeight="1" thickBot="1" x14ac:dyDescent="0.4">
      <c r="B30" s="1287"/>
      <c r="C30" s="1288"/>
      <c r="D30" s="1288"/>
      <c r="E30" s="1288"/>
      <c r="F30" s="1288"/>
      <c r="G30" s="1288"/>
      <c r="H30" s="1288"/>
      <c r="I30" s="1288"/>
      <c r="J30" s="1288"/>
      <c r="K30" s="1288"/>
      <c r="L30" s="1288"/>
      <c r="M30" s="1288"/>
      <c r="N30" s="1288"/>
      <c r="O30" s="1288"/>
      <c r="P30" s="1288"/>
      <c r="Q30" s="1288"/>
      <c r="R30" s="1288"/>
      <c r="S30" s="1288"/>
      <c r="T30" s="1288"/>
      <c r="U30" s="1288"/>
      <c r="V30" s="1288"/>
      <c r="W30" s="1288"/>
      <c r="X30" s="1288"/>
      <c r="Y30" s="1288"/>
      <c r="Z30" s="1288"/>
      <c r="AA30" s="1288"/>
      <c r="AB30" s="1288"/>
      <c r="AC30" s="1288"/>
      <c r="AD30" s="1288"/>
      <c r="AE30" s="1288"/>
      <c r="AF30" s="1288"/>
      <c r="AG30" s="1288"/>
      <c r="AH30" s="1288"/>
      <c r="AI30" s="1288"/>
      <c r="AJ30" s="1290"/>
    </row>
    <row r="31" spans="1:39" ht="30.75" customHeight="1" thickBot="1" x14ac:dyDescent="0.4"/>
    <row r="32" spans="1:39" ht="3.75" customHeight="1" x14ac:dyDescent="0.35">
      <c r="B32" s="1292"/>
      <c r="C32" s="1277"/>
      <c r="D32" s="1277"/>
      <c r="E32" s="1277"/>
      <c r="F32" s="1277"/>
      <c r="G32" s="1277"/>
      <c r="H32" s="1277"/>
      <c r="I32" s="1277"/>
      <c r="J32" s="1277"/>
      <c r="K32" s="1277"/>
      <c r="L32" s="1277"/>
      <c r="M32" s="1277"/>
      <c r="N32" s="1277"/>
      <c r="O32" s="1277"/>
      <c r="P32" s="1277"/>
      <c r="Q32" s="1277"/>
      <c r="R32" s="1277"/>
      <c r="S32" s="1277"/>
      <c r="T32" s="1277"/>
      <c r="U32" s="1277"/>
      <c r="V32" s="1277"/>
      <c r="W32" s="1277"/>
      <c r="X32" s="1277"/>
      <c r="Y32" s="1277"/>
      <c r="Z32" s="1277"/>
      <c r="AA32" s="1277"/>
      <c r="AB32" s="1277"/>
      <c r="AC32" s="1277"/>
      <c r="AD32" s="1277"/>
      <c r="AE32" s="1277"/>
      <c r="AF32" s="1277"/>
      <c r="AG32" s="1277"/>
      <c r="AH32" s="1277"/>
      <c r="AI32" s="1277"/>
      <c r="AJ32" s="1278"/>
    </row>
    <row r="33" spans="1:36" ht="18.75" customHeight="1" x14ac:dyDescent="0.35">
      <c r="B33" s="1279" t="s">
        <v>817</v>
      </c>
      <c r="C33" s="1280"/>
      <c r="D33" s="1280"/>
      <c r="E33" s="1280"/>
      <c r="F33" s="1280"/>
      <c r="G33" s="1280"/>
      <c r="H33" s="1280"/>
      <c r="I33" s="1280"/>
      <c r="J33" s="1280"/>
      <c r="K33" s="1280"/>
      <c r="L33" s="1931"/>
      <c r="M33" s="1932"/>
      <c r="N33" s="1932"/>
      <c r="O33" s="1933"/>
      <c r="P33" s="1280" t="s">
        <v>702</v>
      </c>
      <c r="Q33" s="1931"/>
      <c r="R33" s="1933"/>
      <c r="S33" s="1280" t="s">
        <v>703</v>
      </c>
      <c r="T33" s="1931"/>
      <c r="U33" s="1933"/>
      <c r="V33" s="1280" t="s">
        <v>704</v>
      </c>
      <c r="W33" s="1280"/>
      <c r="X33" s="1280"/>
      <c r="Y33" s="1280"/>
      <c r="Z33" s="1280"/>
      <c r="AA33" s="1280"/>
      <c r="AB33" s="1280"/>
      <c r="AC33" s="1280"/>
      <c r="AD33" s="1280"/>
      <c r="AE33" s="1280"/>
      <c r="AF33" s="1280"/>
      <c r="AG33" s="1280"/>
      <c r="AH33" s="1280"/>
      <c r="AI33" s="1280"/>
      <c r="AJ33" s="1282"/>
    </row>
    <row r="34" spans="1:36" ht="3.75" customHeight="1" x14ac:dyDescent="0.35">
      <c r="B34" s="1279"/>
      <c r="C34" s="1280"/>
      <c r="D34" s="1285"/>
      <c r="E34" s="1285"/>
      <c r="F34" s="1280"/>
      <c r="G34" s="1280"/>
      <c r="H34" s="1280"/>
      <c r="I34" s="1280"/>
      <c r="J34" s="1280"/>
      <c r="K34" s="1280"/>
      <c r="L34" s="1280"/>
      <c r="M34" s="1280"/>
      <c r="N34" s="1280"/>
      <c r="O34" s="1280"/>
      <c r="P34" s="1280"/>
      <c r="Q34" s="1280"/>
      <c r="R34" s="1280"/>
      <c r="S34" s="1280"/>
      <c r="T34" s="1280"/>
      <c r="U34" s="1280"/>
      <c r="V34" s="1280"/>
      <c r="W34" s="1280"/>
      <c r="X34" s="1280"/>
      <c r="Y34" s="1280"/>
      <c r="Z34" s="1280"/>
      <c r="AA34" s="1280"/>
      <c r="AB34" s="1280"/>
      <c r="AC34" s="1280"/>
      <c r="AD34" s="1280"/>
      <c r="AE34" s="1280"/>
      <c r="AF34" s="1280"/>
      <c r="AG34" s="1280"/>
      <c r="AH34" s="1280"/>
      <c r="AI34" s="1280"/>
      <c r="AJ34" s="1282"/>
    </row>
    <row r="35" spans="1:36" ht="18.75" customHeight="1" x14ac:dyDescent="0.35">
      <c r="B35" s="1279" t="s">
        <v>1428</v>
      </c>
      <c r="C35" s="1280"/>
      <c r="D35" s="1280"/>
      <c r="E35" s="1280"/>
      <c r="F35" s="1280"/>
      <c r="G35" s="1280"/>
      <c r="H35" s="1280"/>
      <c r="I35" s="1280"/>
      <c r="J35" s="1280"/>
      <c r="K35" s="1280"/>
      <c r="L35" s="1284"/>
      <c r="M35" s="1280" t="s">
        <v>85</v>
      </c>
      <c r="N35" s="1280"/>
      <c r="O35" s="1280"/>
      <c r="P35" s="1280"/>
      <c r="Q35" s="1284"/>
      <c r="R35" s="1280" t="s">
        <v>87</v>
      </c>
      <c r="S35" s="1280"/>
      <c r="T35" s="1280" t="s">
        <v>1429</v>
      </c>
      <c r="U35" s="1280"/>
      <c r="V35" s="1280"/>
      <c r="W35" s="1280"/>
      <c r="X35" s="1280"/>
      <c r="Y35" s="1280"/>
      <c r="Z35" s="1931"/>
      <c r="AA35" s="1932"/>
      <c r="AB35" s="1932"/>
      <c r="AC35" s="1933"/>
      <c r="AD35" s="1280" t="s">
        <v>702</v>
      </c>
      <c r="AE35" s="1931"/>
      <c r="AF35" s="1933"/>
      <c r="AG35" s="1280" t="s">
        <v>703</v>
      </c>
      <c r="AH35" s="1931"/>
      <c r="AI35" s="1933"/>
      <c r="AJ35" s="1282" t="s">
        <v>704</v>
      </c>
    </row>
    <row r="36" spans="1:36" ht="3.75" customHeight="1" x14ac:dyDescent="0.35">
      <c r="B36" s="1279"/>
      <c r="C36" s="1280"/>
      <c r="D36" s="1285"/>
      <c r="E36" s="1285"/>
      <c r="F36" s="1280"/>
      <c r="G36" s="1280"/>
      <c r="H36" s="1280"/>
      <c r="I36" s="1280"/>
      <c r="J36" s="1280"/>
      <c r="K36" s="1280"/>
      <c r="L36" s="1280"/>
      <c r="M36" s="1280"/>
      <c r="N36" s="1280"/>
      <c r="O36" s="1280"/>
      <c r="P36" s="1280"/>
      <c r="Q36" s="1280"/>
      <c r="R36" s="1280"/>
      <c r="S36" s="1280"/>
      <c r="T36" s="1280"/>
      <c r="U36" s="1280"/>
      <c r="V36" s="1280"/>
      <c r="W36" s="1280"/>
      <c r="X36" s="1280"/>
      <c r="Y36" s="1280"/>
      <c r="Z36" s="1280"/>
      <c r="AA36" s="1280"/>
      <c r="AB36" s="1280"/>
      <c r="AC36" s="1280"/>
      <c r="AD36" s="1280"/>
      <c r="AE36" s="1280"/>
      <c r="AF36" s="1280"/>
      <c r="AG36" s="1280"/>
      <c r="AH36" s="1280"/>
      <c r="AI36" s="1280"/>
      <c r="AJ36" s="1282"/>
    </row>
    <row r="37" spans="1:36" ht="18.75" customHeight="1" x14ac:dyDescent="0.35">
      <c r="B37" s="1279" t="s">
        <v>1425</v>
      </c>
      <c r="C37" s="1280"/>
      <c r="D37" s="1280"/>
      <c r="E37" s="1280"/>
      <c r="F37" s="1280"/>
      <c r="G37" s="1280"/>
      <c r="H37" s="1280"/>
      <c r="I37" s="1280"/>
      <c r="J37" s="1280"/>
      <c r="K37" s="1280"/>
      <c r="L37" s="1284"/>
      <c r="M37" s="1280" t="s">
        <v>818</v>
      </c>
      <c r="N37" s="1280"/>
      <c r="O37" s="1280"/>
      <c r="P37" s="1280"/>
      <c r="Q37" s="1280"/>
      <c r="R37" s="1280"/>
      <c r="S37" s="1280"/>
      <c r="T37" s="1284"/>
      <c r="U37" s="1280" t="s">
        <v>819</v>
      </c>
      <c r="V37" s="1280"/>
      <c r="W37" s="1280"/>
      <c r="X37" s="1280"/>
      <c r="Y37" s="1280"/>
      <c r="Z37" s="1931"/>
      <c r="AA37" s="1932"/>
      <c r="AB37" s="1932"/>
      <c r="AC37" s="1933"/>
      <c r="AD37" s="1280" t="s">
        <v>702</v>
      </c>
      <c r="AE37" s="1931"/>
      <c r="AF37" s="1933"/>
      <c r="AG37" s="1280" t="s">
        <v>703</v>
      </c>
      <c r="AH37" s="1931"/>
      <c r="AI37" s="1933"/>
      <c r="AJ37" s="1282" t="s">
        <v>704</v>
      </c>
    </row>
    <row r="38" spans="1:36" ht="3.75" customHeight="1" x14ac:dyDescent="0.35">
      <c r="B38" s="1279"/>
      <c r="C38" s="1280"/>
      <c r="D38" s="1280"/>
      <c r="E38" s="1280"/>
      <c r="F38" s="1280"/>
      <c r="G38" s="1280"/>
      <c r="H38" s="1280"/>
      <c r="I38" s="1280"/>
      <c r="J38" s="1280"/>
      <c r="K38" s="1280"/>
      <c r="L38" s="1280"/>
      <c r="M38" s="1280"/>
      <c r="N38" s="1280"/>
      <c r="O38" s="1280"/>
      <c r="P38" s="1280"/>
      <c r="Q38" s="1280"/>
      <c r="R38" s="1280"/>
      <c r="S38" s="1280"/>
      <c r="T38" s="1280"/>
      <c r="U38" s="1280"/>
      <c r="V38" s="1280"/>
      <c r="W38" s="1280"/>
      <c r="X38" s="1280"/>
      <c r="Y38" s="1280"/>
      <c r="Z38" s="1280"/>
      <c r="AA38" s="1280"/>
      <c r="AB38" s="1280"/>
      <c r="AC38" s="1280"/>
      <c r="AD38" s="1280"/>
      <c r="AE38" s="1280"/>
      <c r="AF38" s="1280"/>
      <c r="AG38" s="1280"/>
      <c r="AH38" s="1280"/>
      <c r="AI38" s="1280"/>
      <c r="AJ38" s="1282"/>
    </row>
    <row r="39" spans="1:36" ht="18.75" customHeight="1" x14ac:dyDescent="0.35">
      <c r="B39" s="1279" t="s">
        <v>1426</v>
      </c>
      <c r="C39" s="1280"/>
      <c r="D39" s="1281"/>
      <c r="E39" s="1281"/>
      <c r="F39" s="1281"/>
      <c r="G39" s="1281"/>
      <c r="H39" s="1281"/>
      <c r="I39" s="1281"/>
      <c r="J39" s="1281"/>
      <c r="K39" s="1281"/>
      <c r="L39" s="1931"/>
      <c r="M39" s="1932"/>
      <c r="N39" s="1932"/>
      <c r="O39" s="1932"/>
      <c r="P39" s="1932"/>
      <c r="Q39" s="1932"/>
      <c r="R39" s="1932"/>
      <c r="S39" s="1932"/>
      <c r="T39" s="1932"/>
      <c r="U39" s="1932"/>
      <c r="V39" s="1932"/>
      <c r="W39" s="1932"/>
      <c r="X39" s="1932"/>
      <c r="Y39" s="1932"/>
      <c r="Z39" s="1932"/>
      <c r="AA39" s="1933"/>
      <c r="AB39" s="1280"/>
      <c r="AC39" s="1280"/>
      <c r="AD39" s="1280"/>
      <c r="AE39" s="1280"/>
      <c r="AF39" s="1280"/>
      <c r="AG39" s="1280"/>
      <c r="AH39" s="1280"/>
      <c r="AI39" s="1280"/>
      <c r="AJ39" s="1282"/>
    </row>
    <row r="40" spans="1:36" ht="3.75" customHeight="1" x14ac:dyDescent="0.35">
      <c r="B40" s="1279"/>
      <c r="C40" s="1280"/>
      <c r="D40" s="1281"/>
      <c r="E40" s="1281"/>
      <c r="F40" s="1281"/>
      <c r="G40" s="1281"/>
      <c r="H40" s="1281"/>
      <c r="I40" s="1281"/>
      <c r="J40" s="1281"/>
      <c r="K40" s="1281"/>
      <c r="L40" s="1280"/>
      <c r="M40" s="1281"/>
      <c r="N40" s="1281"/>
      <c r="O40" s="1281"/>
      <c r="P40" s="1281"/>
      <c r="Q40" s="1281"/>
      <c r="R40" s="1281"/>
      <c r="S40" s="1281"/>
      <c r="T40" s="1281"/>
      <c r="U40" s="1281"/>
      <c r="V40" s="1281"/>
      <c r="W40" s="1281"/>
      <c r="X40" s="1281"/>
      <c r="Y40" s="1281"/>
      <c r="Z40" s="1281"/>
      <c r="AA40" s="1281"/>
      <c r="AB40" s="1280"/>
      <c r="AC40" s="1280"/>
      <c r="AD40" s="1280"/>
      <c r="AE40" s="1280"/>
      <c r="AF40" s="1280"/>
      <c r="AG40" s="1280"/>
      <c r="AH40" s="1280"/>
      <c r="AI40" s="1280"/>
      <c r="AJ40" s="1282"/>
    </row>
    <row r="41" spans="1:36" ht="18.75" customHeight="1" x14ac:dyDescent="0.35">
      <c r="A41" s="1294"/>
      <c r="B41" s="1279" t="s">
        <v>1427</v>
      </c>
      <c r="C41" s="1280"/>
      <c r="D41" s="1280"/>
      <c r="E41" s="1280"/>
      <c r="F41" s="1280"/>
      <c r="G41" s="1280"/>
      <c r="H41" s="1280"/>
      <c r="I41" s="1280"/>
      <c r="J41" s="1280"/>
      <c r="K41" s="1280"/>
      <c r="L41" s="1931"/>
      <c r="M41" s="1932"/>
      <c r="N41" s="1932"/>
      <c r="O41" s="1933"/>
      <c r="P41" s="1280" t="s">
        <v>702</v>
      </c>
      <c r="Q41" s="1931"/>
      <c r="R41" s="1933"/>
      <c r="S41" s="1280" t="s">
        <v>703</v>
      </c>
      <c r="T41" s="1931"/>
      <c r="U41" s="1933"/>
      <c r="V41" s="1280" t="s">
        <v>704</v>
      </c>
      <c r="W41" s="1280"/>
      <c r="X41" s="1280"/>
      <c r="Y41" s="1280"/>
      <c r="Z41" s="1280"/>
      <c r="AA41" s="1280"/>
      <c r="AB41" s="1280"/>
      <c r="AC41" s="1280"/>
      <c r="AD41" s="1280"/>
      <c r="AE41" s="1280"/>
      <c r="AF41" s="1280"/>
      <c r="AG41" s="1280"/>
      <c r="AH41" s="1280"/>
      <c r="AI41" s="1280"/>
      <c r="AJ41" s="1282"/>
    </row>
    <row r="42" spans="1:36" ht="3.75" customHeight="1" x14ac:dyDescent="0.35">
      <c r="B42" s="1279"/>
      <c r="C42" s="1280"/>
      <c r="D42" s="1280"/>
      <c r="E42" s="1280"/>
      <c r="F42" s="1280"/>
      <c r="G42" s="1280"/>
      <c r="H42" s="1280"/>
      <c r="I42" s="1280"/>
      <c r="J42" s="1280"/>
      <c r="K42" s="1280"/>
      <c r="L42" s="1280"/>
      <c r="M42" s="1280"/>
      <c r="N42" s="1280"/>
      <c r="O42" s="1280"/>
      <c r="P42" s="1280"/>
      <c r="Q42" s="1280"/>
      <c r="R42" s="1280"/>
      <c r="S42" s="1280"/>
      <c r="T42" s="1280"/>
      <c r="U42" s="1280"/>
      <c r="V42" s="1280"/>
      <c r="W42" s="1280"/>
      <c r="X42" s="1280"/>
      <c r="Y42" s="1280"/>
      <c r="Z42" s="1280"/>
      <c r="AA42" s="1280"/>
      <c r="AB42" s="1280"/>
      <c r="AC42" s="1280"/>
      <c r="AD42" s="1280"/>
      <c r="AE42" s="1280"/>
      <c r="AF42" s="1280"/>
      <c r="AG42" s="1280"/>
      <c r="AH42" s="1280"/>
      <c r="AI42" s="1280"/>
      <c r="AJ42" s="1282"/>
    </row>
    <row r="43" spans="1:36" ht="18.75" customHeight="1" x14ac:dyDescent="0.35">
      <c r="B43" s="1279" t="s">
        <v>820</v>
      </c>
      <c r="C43" s="1280"/>
      <c r="D43" s="1280"/>
      <c r="E43" s="1280"/>
      <c r="F43" s="1280"/>
      <c r="G43" s="1280"/>
      <c r="H43" s="1280"/>
      <c r="I43" s="1280"/>
      <c r="J43" s="1280"/>
      <c r="K43" s="1280"/>
      <c r="L43" s="1931"/>
      <c r="M43" s="1932"/>
      <c r="N43" s="1932"/>
      <c r="O43" s="1933"/>
      <c r="P43" s="1280" t="s">
        <v>702</v>
      </c>
      <c r="Q43" s="1931"/>
      <c r="R43" s="1933"/>
      <c r="S43" s="1280" t="s">
        <v>703</v>
      </c>
      <c r="T43" s="1931"/>
      <c r="U43" s="1933"/>
      <c r="V43" s="1280" t="s">
        <v>704</v>
      </c>
      <c r="W43" s="1280"/>
      <c r="X43" s="1280"/>
      <c r="Y43" s="1280"/>
      <c r="Z43" s="1280"/>
      <c r="AA43" s="1280"/>
      <c r="AB43" s="1280"/>
      <c r="AC43" s="1280"/>
      <c r="AD43" s="1280"/>
      <c r="AE43" s="1280"/>
      <c r="AF43" s="1280"/>
      <c r="AG43" s="1280"/>
      <c r="AH43" s="1280"/>
      <c r="AI43" s="1280"/>
      <c r="AJ43" s="1282"/>
    </row>
    <row r="44" spans="1:36" ht="3.75" customHeight="1" thickBot="1" x14ac:dyDescent="0.4">
      <c r="B44" s="1287"/>
      <c r="C44" s="1288"/>
      <c r="D44" s="1288"/>
      <c r="E44" s="1288"/>
      <c r="F44" s="1288"/>
      <c r="G44" s="1288"/>
      <c r="H44" s="1288"/>
      <c r="I44" s="1288"/>
      <c r="J44" s="1288"/>
      <c r="K44" s="1288"/>
      <c r="L44" s="1288"/>
      <c r="M44" s="1288"/>
      <c r="N44" s="1288"/>
      <c r="O44" s="1288"/>
      <c r="P44" s="1288"/>
      <c r="Q44" s="1288"/>
      <c r="R44" s="1288"/>
      <c r="S44" s="1288"/>
      <c r="T44" s="1288"/>
      <c r="U44" s="1288"/>
      <c r="V44" s="1288"/>
      <c r="W44" s="1288"/>
      <c r="X44" s="1288"/>
      <c r="Y44" s="1288"/>
      <c r="Z44" s="1288"/>
      <c r="AA44" s="1288"/>
      <c r="AB44" s="1288"/>
      <c r="AC44" s="1288"/>
      <c r="AD44" s="1288"/>
      <c r="AE44" s="1288"/>
      <c r="AF44" s="1288"/>
      <c r="AG44" s="1288"/>
      <c r="AH44" s="1288"/>
      <c r="AI44" s="1288"/>
      <c r="AJ44" s="1290"/>
    </row>
    <row r="45" spans="1:36" ht="7.5" customHeight="1" x14ac:dyDescent="0.35"/>
    <row r="46" spans="1:36" ht="25.5" customHeight="1" thickBot="1" x14ac:dyDescent="0.4"/>
    <row r="47" spans="1:36" ht="13.5" customHeight="1" x14ac:dyDescent="0.35">
      <c r="B47" s="1296" t="s">
        <v>1972</v>
      </c>
      <c r="C47" s="1277"/>
      <c r="D47" s="1277"/>
      <c r="E47" s="1277"/>
      <c r="F47" s="1277"/>
      <c r="G47" s="1277"/>
      <c r="H47" s="1277"/>
      <c r="I47" s="1277"/>
      <c r="J47" s="1277"/>
      <c r="K47" s="1277"/>
      <c r="L47" s="1277"/>
      <c r="M47" s="1277"/>
      <c r="N47" s="1277"/>
      <c r="O47" s="1277"/>
      <c r="P47" s="1277"/>
      <c r="Q47" s="1277"/>
      <c r="R47" s="1277"/>
      <c r="S47" s="1277"/>
      <c r="T47" s="1277"/>
      <c r="U47" s="1277"/>
      <c r="V47" s="1277"/>
      <c r="W47" s="1277"/>
      <c r="X47" s="1277"/>
      <c r="Y47" s="1277"/>
      <c r="Z47" s="1277"/>
      <c r="AA47" s="1277"/>
      <c r="AB47" s="1277"/>
      <c r="AC47" s="1277"/>
      <c r="AD47" s="1277"/>
      <c r="AE47" s="1277"/>
      <c r="AF47" s="1277"/>
      <c r="AG47" s="1277"/>
      <c r="AH47" s="1277"/>
      <c r="AI47" s="1277"/>
      <c r="AJ47" s="1278"/>
    </row>
    <row r="48" spans="1:36" ht="18.75" customHeight="1" x14ac:dyDescent="0.35">
      <c r="B48" s="1279" t="s">
        <v>1973</v>
      </c>
      <c r="C48" s="1280"/>
      <c r="D48" s="1280"/>
      <c r="E48" s="1280"/>
      <c r="F48" s="1280"/>
      <c r="G48" s="1280"/>
      <c r="H48" s="1280"/>
      <c r="I48" s="1280"/>
      <c r="J48" s="1280"/>
      <c r="K48" s="1280"/>
      <c r="L48" s="1280"/>
      <c r="M48" s="1280"/>
      <c r="N48" s="1280"/>
      <c r="O48" s="1280"/>
      <c r="P48" s="1280"/>
      <c r="Q48" s="1931"/>
      <c r="R48" s="1932"/>
      <c r="S48" s="1932"/>
      <c r="T48" s="1932"/>
      <c r="U48" s="1932"/>
      <c r="V48" s="1932"/>
      <c r="W48" s="1933"/>
      <c r="X48" s="1280" t="s">
        <v>821</v>
      </c>
      <c r="Y48" s="1280"/>
      <c r="Z48" s="1931"/>
      <c r="AA48" s="1932"/>
      <c r="AB48" s="1932"/>
      <c r="AC48" s="1932"/>
      <c r="AD48" s="1932"/>
      <c r="AE48" s="1932"/>
      <c r="AF48" s="1932"/>
      <c r="AG48" s="1932"/>
      <c r="AH48" s="1933"/>
      <c r="AI48" s="1280" t="s">
        <v>822</v>
      </c>
      <c r="AJ48" s="1282"/>
    </row>
    <row r="49" spans="2:36" ht="3.75" customHeight="1" x14ac:dyDescent="0.35">
      <c r="B49" s="1279"/>
      <c r="C49" s="1280"/>
      <c r="D49" s="1280"/>
      <c r="E49" s="1280"/>
      <c r="F49" s="1280"/>
      <c r="G49" s="1280"/>
      <c r="H49" s="1280"/>
      <c r="I49" s="1280"/>
      <c r="J49" s="1280"/>
      <c r="K49" s="1280"/>
      <c r="L49" s="1280"/>
      <c r="M49" s="1280"/>
      <c r="N49" s="1280"/>
      <c r="O49" s="1280"/>
      <c r="P49" s="1280"/>
      <c r="Q49" s="1280"/>
      <c r="R49" s="1280"/>
      <c r="S49" s="1280"/>
      <c r="T49" s="1280"/>
      <c r="U49" s="1280"/>
      <c r="V49" s="1280"/>
      <c r="W49" s="1280"/>
      <c r="X49" s="1280"/>
      <c r="Y49" s="1280"/>
      <c r="Z49" s="1280"/>
      <c r="AA49" s="1280"/>
      <c r="AB49" s="1280"/>
      <c r="AC49" s="1280"/>
      <c r="AD49" s="1280"/>
      <c r="AE49" s="1280"/>
      <c r="AF49" s="1280"/>
      <c r="AG49" s="1280"/>
      <c r="AH49" s="1280"/>
      <c r="AI49" s="1280"/>
      <c r="AJ49" s="1282"/>
    </row>
    <row r="50" spans="2:36" ht="18.75" customHeight="1" x14ac:dyDescent="0.35">
      <c r="B50" s="1279" t="s">
        <v>823</v>
      </c>
      <c r="C50" s="1280"/>
      <c r="D50" s="1280"/>
      <c r="E50" s="1280"/>
      <c r="F50" s="1280"/>
      <c r="G50" s="1280"/>
      <c r="H50" s="1280"/>
      <c r="I50" s="1280"/>
      <c r="J50" s="1280"/>
      <c r="K50" s="1280"/>
      <c r="L50" s="1280"/>
      <c r="M50" s="1280"/>
      <c r="N50" s="1280"/>
      <c r="O50" s="1280"/>
      <c r="P50" s="1280"/>
      <c r="Q50" s="1931"/>
      <c r="R50" s="1932"/>
      <c r="S50" s="1932"/>
      <c r="T50" s="1932"/>
      <c r="U50" s="1932"/>
      <c r="V50" s="1932"/>
      <c r="W50" s="1933"/>
      <c r="X50" s="1280" t="s">
        <v>821</v>
      </c>
      <c r="Y50" s="1280"/>
      <c r="Z50" s="1931"/>
      <c r="AA50" s="1932"/>
      <c r="AB50" s="1932"/>
      <c r="AC50" s="1932"/>
      <c r="AD50" s="1932"/>
      <c r="AE50" s="1932"/>
      <c r="AF50" s="1932"/>
      <c r="AG50" s="1932"/>
      <c r="AH50" s="1933"/>
      <c r="AI50" s="1280" t="s">
        <v>822</v>
      </c>
      <c r="AJ50" s="1282"/>
    </row>
    <row r="51" spans="2:36" ht="3.75" customHeight="1" x14ac:dyDescent="0.35">
      <c r="B51" s="1279"/>
      <c r="C51" s="1280"/>
      <c r="D51" s="1280"/>
      <c r="E51" s="1280"/>
      <c r="F51" s="1280"/>
      <c r="G51" s="1280"/>
      <c r="H51" s="1280"/>
      <c r="I51" s="1280"/>
      <c r="J51" s="1280"/>
      <c r="K51" s="1280"/>
      <c r="L51" s="1280"/>
      <c r="M51" s="1280"/>
      <c r="N51" s="1280"/>
      <c r="O51" s="1280"/>
      <c r="P51" s="1280"/>
      <c r="Q51" s="1280"/>
      <c r="R51" s="1280"/>
      <c r="S51" s="1280"/>
      <c r="T51" s="1280"/>
      <c r="U51" s="1280"/>
      <c r="V51" s="1280"/>
      <c r="W51" s="1280"/>
      <c r="X51" s="1280"/>
      <c r="Y51" s="1280"/>
      <c r="Z51" s="1280"/>
      <c r="AA51" s="1280"/>
      <c r="AB51" s="1280"/>
      <c r="AC51" s="1280"/>
      <c r="AD51" s="1280"/>
      <c r="AE51" s="1280"/>
      <c r="AF51" s="1280"/>
      <c r="AG51" s="1280"/>
      <c r="AH51" s="1280"/>
      <c r="AI51" s="1280"/>
      <c r="AJ51" s="1282"/>
    </row>
    <row r="52" spans="2:36" ht="18.75" customHeight="1" x14ac:dyDescent="0.35">
      <c r="B52" s="1297" t="s">
        <v>1974</v>
      </c>
      <c r="C52" s="1280"/>
      <c r="D52" s="1280"/>
      <c r="E52" s="1280"/>
      <c r="F52" s="1280"/>
      <c r="G52" s="1280"/>
      <c r="H52" s="1280"/>
      <c r="I52" s="1280"/>
      <c r="J52" s="1280"/>
      <c r="K52" s="1280"/>
      <c r="L52" s="1280"/>
      <c r="M52" s="1280"/>
      <c r="N52" s="1280"/>
      <c r="O52" s="1280"/>
      <c r="P52" s="1280"/>
      <c r="Q52" s="1931"/>
      <c r="R52" s="1932"/>
      <c r="S52" s="1932"/>
      <c r="T52" s="1932"/>
      <c r="U52" s="1932"/>
      <c r="V52" s="1932"/>
      <c r="W52" s="1933"/>
      <c r="X52" s="1280" t="s">
        <v>821</v>
      </c>
      <c r="Y52" s="1280"/>
      <c r="Z52" s="1931"/>
      <c r="AA52" s="1932"/>
      <c r="AB52" s="1932"/>
      <c r="AC52" s="1932"/>
      <c r="AD52" s="1932"/>
      <c r="AE52" s="1932"/>
      <c r="AF52" s="1932"/>
      <c r="AG52" s="1932"/>
      <c r="AH52" s="1933"/>
      <c r="AI52" s="1280" t="s">
        <v>822</v>
      </c>
      <c r="AJ52" s="1282"/>
    </row>
    <row r="53" spans="2:36" ht="7.5" customHeight="1" x14ac:dyDescent="0.35">
      <c r="B53" s="1279"/>
      <c r="C53" s="1280"/>
      <c r="D53" s="1280"/>
      <c r="E53" s="1280"/>
      <c r="F53" s="1280"/>
      <c r="G53" s="1280"/>
      <c r="H53" s="1280"/>
      <c r="I53" s="1280"/>
      <c r="J53" s="1280"/>
      <c r="K53" s="1280"/>
      <c r="L53" s="1280"/>
      <c r="M53" s="1280"/>
      <c r="N53" s="1280"/>
      <c r="O53" s="1280"/>
      <c r="P53" s="1280"/>
      <c r="Q53" s="1280"/>
      <c r="R53" s="1280"/>
      <c r="S53" s="1280"/>
      <c r="T53" s="1280"/>
      <c r="U53" s="1280"/>
      <c r="V53" s="1280"/>
      <c r="W53" s="1280"/>
      <c r="X53" s="1280"/>
      <c r="Y53" s="1280"/>
      <c r="Z53" s="1280"/>
      <c r="AA53" s="1280"/>
      <c r="AB53" s="1280"/>
      <c r="AC53" s="1280"/>
      <c r="AD53" s="1280"/>
      <c r="AE53" s="1280"/>
      <c r="AF53" s="1280"/>
      <c r="AG53" s="1280"/>
      <c r="AH53" s="1280"/>
      <c r="AI53" s="1280"/>
      <c r="AJ53" s="1282"/>
    </row>
    <row r="54" spans="2:36" ht="11.25" customHeight="1" x14ac:dyDescent="0.35">
      <c r="B54" s="1297" t="s">
        <v>1975</v>
      </c>
      <c r="C54" s="1280"/>
      <c r="D54" s="1280"/>
      <c r="E54" s="1280"/>
      <c r="F54" s="1280"/>
      <c r="G54" s="1280"/>
      <c r="H54" s="1280"/>
      <c r="I54" s="1280"/>
      <c r="J54" s="1280"/>
      <c r="K54" s="1280"/>
      <c r="L54" s="1280"/>
      <c r="M54" s="1280"/>
      <c r="N54" s="1280"/>
      <c r="O54" s="1280"/>
      <c r="P54" s="1280"/>
      <c r="Q54" s="1280"/>
      <c r="R54" s="1280"/>
      <c r="S54" s="1280"/>
      <c r="T54" s="1280"/>
      <c r="U54" s="1280"/>
      <c r="V54" s="1280"/>
      <c r="W54" s="1280"/>
      <c r="X54" s="1280"/>
      <c r="Y54" s="1280"/>
      <c r="Z54" s="1280"/>
      <c r="AA54" s="1280"/>
      <c r="AB54" s="1280"/>
      <c r="AC54" s="1280"/>
      <c r="AD54" s="1280"/>
      <c r="AE54" s="1280"/>
      <c r="AF54" s="1280"/>
      <c r="AG54" s="1280"/>
      <c r="AH54" s="1280"/>
      <c r="AI54" s="1280"/>
      <c r="AJ54" s="1282"/>
    </row>
    <row r="55" spans="2:36" ht="3.75" customHeight="1" x14ac:dyDescent="0.35">
      <c r="B55" s="1279"/>
      <c r="C55" s="1280"/>
      <c r="D55" s="1280"/>
      <c r="E55" s="1280"/>
      <c r="F55" s="1280"/>
      <c r="G55" s="1280"/>
      <c r="H55" s="1280"/>
      <c r="I55" s="1280"/>
      <c r="J55" s="1280"/>
      <c r="K55" s="1280"/>
      <c r="L55" s="1280"/>
      <c r="M55" s="1280"/>
      <c r="N55" s="1280"/>
      <c r="O55" s="1280"/>
      <c r="P55" s="1280"/>
      <c r="Q55" s="1280"/>
      <c r="R55" s="1280"/>
      <c r="S55" s="1280"/>
      <c r="T55" s="1280"/>
      <c r="U55" s="1280"/>
      <c r="V55" s="1280"/>
      <c r="W55" s="1280"/>
      <c r="X55" s="1280"/>
      <c r="Y55" s="1280"/>
      <c r="Z55" s="1280"/>
      <c r="AA55" s="1280"/>
      <c r="AB55" s="1280"/>
      <c r="AC55" s="1280"/>
      <c r="AD55" s="1280"/>
      <c r="AE55" s="1280"/>
      <c r="AF55" s="1280"/>
      <c r="AG55" s="1280"/>
      <c r="AH55" s="1280"/>
      <c r="AI55" s="1280"/>
      <c r="AJ55" s="1282"/>
    </row>
    <row r="56" spans="2:36" ht="7.5" customHeight="1" x14ac:dyDescent="0.35">
      <c r="B56" s="2009" t="s">
        <v>824</v>
      </c>
      <c r="C56" s="2010"/>
      <c r="D56" s="2010"/>
      <c r="E56" s="2010"/>
      <c r="F56" s="2010"/>
      <c r="G56" s="2010"/>
      <c r="H56" s="2010"/>
      <c r="I56" s="2010"/>
      <c r="J56" s="2010"/>
      <c r="K56" s="2010"/>
      <c r="L56" s="2010"/>
      <c r="M56" s="2010"/>
      <c r="N56" s="2010"/>
      <c r="O56" s="2010"/>
      <c r="P56" s="2010"/>
      <c r="Q56" s="1280"/>
      <c r="R56" s="1280"/>
      <c r="S56" s="1280"/>
      <c r="T56" s="1280"/>
      <c r="U56" s="1280"/>
      <c r="V56" s="1280"/>
      <c r="W56" s="1280"/>
      <c r="X56" s="1280"/>
      <c r="Y56" s="1280"/>
      <c r="Z56" s="1280"/>
      <c r="AA56" s="1280"/>
      <c r="AB56" s="1280"/>
      <c r="AC56" s="1280"/>
      <c r="AD56" s="1280"/>
      <c r="AE56" s="1280"/>
      <c r="AF56" s="1280"/>
      <c r="AG56" s="1280"/>
      <c r="AH56" s="1280"/>
      <c r="AI56" s="1280"/>
      <c r="AJ56" s="1282"/>
    </row>
    <row r="57" spans="2:36" ht="18.75" customHeight="1" x14ac:dyDescent="0.35">
      <c r="B57" s="2011"/>
      <c r="C57" s="2010"/>
      <c r="D57" s="2010"/>
      <c r="E57" s="2010"/>
      <c r="F57" s="2010"/>
      <c r="G57" s="2010"/>
      <c r="H57" s="2010"/>
      <c r="I57" s="2010"/>
      <c r="J57" s="2010"/>
      <c r="K57" s="2010"/>
      <c r="L57" s="2010"/>
      <c r="M57" s="2010"/>
      <c r="N57" s="2010"/>
      <c r="O57" s="2010"/>
      <c r="P57" s="2010"/>
      <c r="Q57" s="1931"/>
      <c r="R57" s="1932"/>
      <c r="S57" s="1932"/>
      <c r="T57" s="1932"/>
      <c r="U57" s="1932"/>
      <c r="V57" s="1932"/>
      <c r="W57" s="1933"/>
      <c r="X57" s="1280" t="s">
        <v>821</v>
      </c>
      <c r="Y57" s="1280"/>
      <c r="Z57" s="1931"/>
      <c r="AA57" s="1932"/>
      <c r="AB57" s="1932"/>
      <c r="AC57" s="1932"/>
      <c r="AD57" s="1932"/>
      <c r="AE57" s="1932"/>
      <c r="AF57" s="1932"/>
      <c r="AG57" s="1932"/>
      <c r="AH57" s="1933"/>
      <c r="AI57" s="1280" t="s">
        <v>822</v>
      </c>
      <c r="AJ57" s="1282"/>
    </row>
    <row r="58" spans="2:36" ht="3.75" customHeight="1" x14ac:dyDescent="0.35">
      <c r="B58" s="1298"/>
      <c r="C58" s="1299"/>
      <c r="D58" s="1299"/>
      <c r="E58" s="1299"/>
      <c r="F58" s="1299"/>
      <c r="G58" s="1299"/>
      <c r="H58" s="1299"/>
      <c r="I58" s="1299"/>
      <c r="J58" s="1299"/>
      <c r="K58" s="1299"/>
      <c r="L58" s="1299"/>
      <c r="M58" s="1299"/>
      <c r="N58" s="1299"/>
      <c r="O58" s="1299"/>
      <c r="P58" s="1299"/>
      <c r="Q58" s="1280"/>
      <c r="R58" s="1280"/>
      <c r="S58" s="1280"/>
      <c r="T58" s="1280"/>
      <c r="U58" s="1280"/>
      <c r="V58" s="1280"/>
      <c r="W58" s="1280"/>
      <c r="X58" s="1280"/>
      <c r="Y58" s="1280"/>
      <c r="Z58" s="1280"/>
      <c r="AA58" s="1280"/>
      <c r="AB58" s="1280"/>
      <c r="AC58" s="1280"/>
      <c r="AD58" s="1280"/>
      <c r="AE58" s="1280"/>
      <c r="AF58" s="1280"/>
      <c r="AG58" s="1280"/>
      <c r="AH58" s="1280"/>
      <c r="AI58" s="1280"/>
      <c r="AJ58" s="1282"/>
    </row>
    <row r="59" spans="2:36" ht="18.75" customHeight="1" x14ac:dyDescent="0.35">
      <c r="B59" s="1279" t="s">
        <v>1976</v>
      </c>
      <c r="C59" s="1299"/>
      <c r="D59" s="1299"/>
      <c r="E59" s="1299"/>
      <c r="F59" s="1299"/>
      <c r="G59" s="1299"/>
      <c r="H59" s="1299"/>
      <c r="I59" s="1299"/>
      <c r="J59" s="1299"/>
      <c r="K59" s="1299"/>
      <c r="L59" s="1299"/>
      <c r="M59" s="1299"/>
      <c r="N59" s="1299"/>
      <c r="O59" s="1299"/>
      <c r="P59" s="1299"/>
      <c r="Q59" s="1931"/>
      <c r="R59" s="1932"/>
      <c r="S59" s="1932"/>
      <c r="T59" s="1932"/>
      <c r="U59" s="1932"/>
      <c r="V59" s="1932"/>
      <c r="W59" s="1933"/>
      <c r="X59" s="1280" t="s">
        <v>821</v>
      </c>
      <c r="Y59" s="1280"/>
      <c r="Z59" s="1931"/>
      <c r="AA59" s="1932"/>
      <c r="AB59" s="1932"/>
      <c r="AC59" s="1932"/>
      <c r="AD59" s="1932"/>
      <c r="AE59" s="1932"/>
      <c r="AF59" s="1932"/>
      <c r="AG59" s="1932"/>
      <c r="AH59" s="1933"/>
      <c r="AI59" s="1280" t="s">
        <v>822</v>
      </c>
      <c r="AJ59" s="1282"/>
    </row>
    <row r="60" spans="2:36" ht="3.75" customHeight="1" x14ac:dyDescent="0.35">
      <c r="B60" s="1279"/>
      <c r="C60" s="1299"/>
      <c r="D60" s="1299"/>
      <c r="E60" s="1299"/>
      <c r="F60" s="1299"/>
      <c r="G60" s="1299"/>
      <c r="H60" s="1299"/>
      <c r="I60" s="1299"/>
      <c r="J60" s="1299"/>
      <c r="K60" s="1299"/>
      <c r="L60" s="1299"/>
      <c r="M60" s="1299"/>
      <c r="N60" s="1299"/>
      <c r="O60" s="1299"/>
      <c r="P60" s="1299"/>
      <c r="Q60" s="1300"/>
      <c r="R60" s="1300"/>
      <c r="S60" s="1300"/>
      <c r="T60" s="1300"/>
      <c r="U60" s="1300"/>
      <c r="V60" s="1300"/>
      <c r="W60" s="1300"/>
      <c r="X60" s="1280"/>
      <c r="Y60" s="1280"/>
      <c r="Z60" s="1300"/>
      <c r="AA60" s="1300"/>
      <c r="AB60" s="1300"/>
      <c r="AC60" s="1300"/>
      <c r="AD60" s="1300"/>
      <c r="AE60" s="1300"/>
      <c r="AF60" s="1300"/>
      <c r="AG60" s="1300"/>
      <c r="AH60" s="1300"/>
      <c r="AI60" s="1280"/>
      <c r="AJ60" s="1282"/>
    </row>
    <row r="61" spans="2:36" ht="18.75" customHeight="1" x14ac:dyDescent="0.35">
      <c r="B61" s="2004" t="s">
        <v>1977</v>
      </c>
      <c r="C61" s="2005"/>
      <c r="D61" s="2005"/>
      <c r="E61" s="2005"/>
      <c r="F61" s="2005"/>
      <c r="G61" s="2005"/>
      <c r="H61" s="2005"/>
      <c r="I61" s="2005"/>
      <c r="J61" s="2005"/>
      <c r="K61" s="2005"/>
      <c r="L61" s="2005"/>
      <c r="M61" s="2005"/>
      <c r="N61" s="2005"/>
      <c r="O61" s="1299"/>
      <c r="P61" s="1299"/>
      <c r="Q61" s="2006"/>
      <c r="R61" s="2007"/>
      <c r="S61" s="2007"/>
      <c r="T61" s="2007"/>
      <c r="U61" s="2007"/>
      <c r="V61" s="2007"/>
      <c r="W61" s="2007"/>
      <c r="X61" s="2007"/>
      <c r="Y61" s="2007"/>
      <c r="Z61" s="2007"/>
      <c r="AA61" s="2007"/>
      <c r="AB61" s="2007"/>
      <c r="AC61" s="2007"/>
      <c r="AD61" s="2007"/>
      <c r="AE61" s="2007"/>
      <c r="AF61" s="2007"/>
      <c r="AG61" s="2007"/>
      <c r="AH61" s="2008"/>
      <c r="AI61" s="1280"/>
      <c r="AJ61" s="1282"/>
    </row>
    <row r="62" spans="2:36" ht="3.75" customHeight="1" x14ac:dyDescent="0.35">
      <c r="B62" s="1301"/>
      <c r="C62" s="1302"/>
      <c r="D62" s="1302"/>
      <c r="E62" s="1302"/>
      <c r="F62" s="1302"/>
      <c r="G62" s="1302"/>
      <c r="H62" s="1302"/>
      <c r="I62" s="1302"/>
      <c r="J62" s="1302"/>
      <c r="K62" s="1302"/>
      <c r="L62" s="1302"/>
      <c r="M62" s="1302"/>
      <c r="N62" s="1302"/>
      <c r="O62" s="1299"/>
      <c r="P62" s="1299"/>
      <c r="Q62" s="1303"/>
      <c r="R62" s="1300"/>
      <c r="S62" s="1300"/>
      <c r="T62" s="1300"/>
      <c r="U62" s="1300"/>
      <c r="V62" s="1300"/>
      <c r="W62" s="1304"/>
      <c r="X62" s="1280"/>
      <c r="Y62" s="1280"/>
      <c r="Z62" s="1280"/>
      <c r="AA62" s="1280"/>
      <c r="AB62" s="1280"/>
      <c r="AC62" s="1280"/>
      <c r="AD62" s="1280"/>
      <c r="AE62" s="1280"/>
      <c r="AF62" s="1280"/>
      <c r="AG62" s="1280"/>
      <c r="AH62" s="1280"/>
      <c r="AI62" s="1280"/>
      <c r="AJ62" s="1282"/>
    </row>
    <row r="63" spans="2:36" ht="18.75" customHeight="1" x14ac:dyDescent="0.35">
      <c r="B63" s="1297" t="s">
        <v>825</v>
      </c>
      <c r="C63" s="1299"/>
      <c r="D63" s="1299"/>
      <c r="E63" s="1299"/>
      <c r="F63" s="1299"/>
      <c r="G63" s="1299"/>
      <c r="H63" s="1299"/>
      <c r="I63" s="1299"/>
      <c r="J63" s="1299"/>
      <c r="K63" s="1299"/>
      <c r="L63" s="1299"/>
      <c r="M63" s="1299"/>
      <c r="N63" s="1299"/>
      <c r="O63" s="1299"/>
      <c r="P63" s="1299"/>
      <c r="Q63" s="1931"/>
      <c r="R63" s="1932"/>
      <c r="S63" s="1932"/>
      <c r="T63" s="1932"/>
      <c r="U63" s="1932"/>
      <c r="V63" s="1932"/>
      <c r="W63" s="1933"/>
      <c r="X63" s="1280" t="s">
        <v>821</v>
      </c>
      <c r="Y63" s="1280"/>
      <c r="Z63" s="1931"/>
      <c r="AA63" s="1932"/>
      <c r="AB63" s="1932"/>
      <c r="AC63" s="1932"/>
      <c r="AD63" s="1932"/>
      <c r="AE63" s="1932"/>
      <c r="AF63" s="1932"/>
      <c r="AG63" s="1932"/>
      <c r="AH63" s="1933"/>
      <c r="AI63" s="1280" t="s">
        <v>822</v>
      </c>
      <c r="AJ63" s="1282"/>
    </row>
    <row r="64" spans="2:36" ht="3.75" customHeight="1" x14ac:dyDescent="0.35">
      <c r="B64" s="1298"/>
      <c r="C64" s="1299"/>
      <c r="D64" s="1299"/>
      <c r="E64" s="1299"/>
      <c r="F64" s="1299"/>
      <c r="G64" s="1299"/>
      <c r="H64" s="1299"/>
      <c r="I64" s="1299"/>
      <c r="J64" s="1299"/>
      <c r="K64" s="1299"/>
      <c r="L64" s="1299"/>
      <c r="M64" s="1299"/>
      <c r="N64" s="1299"/>
      <c r="O64" s="1299"/>
      <c r="P64" s="1299"/>
      <c r="Q64" s="1280"/>
      <c r="R64" s="1280"/>
      <c r="S64" s="1280"/>
      <c r="T64" s="1280"/>
      <c r="U64" s="1280"/>
      <c r="V64" s="1280"/>
      <c r="W64" s="1280"/>
      <c r="X64" s="1280"/>
      <c r="Y64" s="1280"/>
      <c r="Z64" s="1280"/>
      <c r="AA64" s="1280"/>
      <c r="AB64" s="1280"/>
      <c r="AC64" s="1280"/>
      <c r="AD64" s="1280"/>
      <c r="AE64" s="1280"/>
      <c r="AF64" s="1280"/>
      <c r="AG64" s="1280"/>
      <c r="AH64" s="1280"/>
      <c r="AI64" s="1280"/>
      <c r="AJ64" s="1282"/>
    </row>
    <row r="65" spans="1:36" ht="15" customHeight="1" x14ac:dyDescent="0.35">
      <c r="B65" s="1297" t="s">
        <v>1978</v>
      </c>
      <c r="C65" s="1299"/>
      <c r="D65" s="1299"/>
      <c r="E65" s="1299"/>
      <c r="F65" s="1299"/>
      <c r="G65" s="1299"/>
      <c r="H65" s="1299"/>
      <c r="I65" s="1299"/>
      <c r="J65" s="1299"/>
      <c r="K65" s="1299"/>
      <c r="L65" s="1299"/>
      <c r="M65" s="1299"/>
      <c r="N65" s="1299"/>
      <c r="O65" s="1299"/>
      <c r="P65" s="1299"/>
      <c r="Q65" s="1280"/>
      <c r="R65" s="1280"/>
      <c r="S65" s="1280"/>
      <c r="T65" s="1280"/>
      <c r="U65" s="1280"/>
      <c r="V65" s="1280"/>
      <c r="W65" s="1280"/>
      <c r="X65" s="1280"/>
      <c r="Y65" s="1280"/>
      <c r="Z65" s="1280"/>
      <c r="AA65" s="1280"/>
      <c r="AB65" s="1280"/>
      <c r="AC65" s="1280"/>
      <c r="AD65" s="1280"/>
      <c r="AE65" s="1280"/>
      <c r="AF65" s="1280"/>
      <c r="AG65" s="1280"/>
      <c r="AH65" s="1280"/>
      <c r="AI65" s="1280"/>
      <c r="AJ65" s="1282"/>
    </row>
    <row r="66" spans="1:36" ht="3.75" customHeight="1" x14ac:dyDescent="0.35">
      <c r="B66" s="1279"/>
      <c r="C66" s="1280"/>
      <c r="D66" s="1280"/>
      <c r="E66" s="1280"/>
      <c r="F66" s="1280"/>
      <c r="G66" s="1280"/>
      <c r="H66" s="1280"/>
      <c r="I66" s="1280"/>
      <c r="J66" s="1280"/>
      <c r="K66" s="1280"/>
      <c r="L66" s="1280"/>
      <c r="M66" s="1280"/>
      <c r="N66" s="1280"/>
      <c r="O66" s="1280"/>
      <c r="P66" s="1280"/>
      <c r="Q66" s="1280"/>
      <c r="R66" s="1280"/>
      <c r="S66" s="1280"/>
      <c r="T66" s="1280"/>
      <c r="U66" s="1280"/>
      <c r="V66" s="1280"/>
      <c r="W66" s="1280"/>
      <c r="X66" s="1280"/>
      <c r="Y66" s="1280"/>
      <c r="Z66" s="1280"/>
      <c r="AA66" s="1280"/>
      <c r="AB66" s="1280"/>
      <c r="AC66" s="1280"/>
      <c r="AD66" s="1280"/>
      <c r="AE66" s="1280"/>
      <c r="AF66" s="1280"/>
      <c r="AG66" s="1280"/>
      <c r="AH66" s="1280"/>
      <c r="AI66" s="1280"/>
      <c r="AJ66" s="1282"/>
    </row>
    <row r="67" spans="1:36" ht="9" customHeight="1" x14ac:dyDescent="0.35">
      <c r="B67" s="2009" t="s">
        <v>1979</v>
      </c>
      <c r="C67" s="2010"/>
      <c r="D67" s="2010"/>
      <c r="E67" s="2010"/>
      <c r="F67" s="2010"/>
      <c r="G67" s="2010"/>
      <c r="H67" s="2010"/>
      <c r="I67" s="2010"/>
      <c r="J67" s="2010"/>
      <c r="K67" s="2010"/>
      <c r="L67" s="2010"/>
      <c r="M67" s="2010"/>
      <c r="N67" s="2010"/>
      <c r="O67" s="1280"/>
      <c r="P67" s="1305"/>
      <c r="Q67" s="1305"/>
      <c r="R67" s="1280"/>
      <c r="S67" s="1280"/>
      <c r="T67" s="1280"/>
      <c r="U67" s="1280"/>
      <c r="V67" s="1280"/>
      <c r="W67" s="1280"/>
      <c r="X67" s="1280"/>
      <c r="Y67" s="1280"/>
      <c r="Z67" s="1280"/>
      <c r="AA67" s="1280"/>
      <c r="AB67" s="1280"/>
      <c r="AC67" s="1280"/>
      <c r="AD67" s="1280"/>
      <c r="AE67" s="1280"/>
      <c r="AF67" s="1280"/>
      <c r="AG67" s="1280"/>
      <c r="AH67" s="1280"/>
      <c r="AI67" s="1280"/>
      <c r="AJ67" s="1282"/>
    </row>
    <row r="68" spans="1:36" ht="18.75" customHeight="1" x14ac:dyDescent="0.35">
      <c r="B68" s="2011"/>
      <c r="C68" s="2010"/>
      <c r="D68" s="2010"/>
      <c r="E68" s="2010"/>
      <c r="F68" s="2010"/>
      <c r="G68" s="2010"/>
      <c r="H68" s="2010"/>
      <c r="I68" s="2010"/>
      <c r="J68" s="2010"/>
      <c r="K68" s="2010"/>
      <c r="L68" s="2010"/>
      <c r="M68" s="2010"/>
      <c r="N68" s="2010"/>
      <c r="O68" s="1305"/>
      <c r="P68" s="1281"/>
      <c r="Q68" s="1931"/>
      <c r="R68" s="1932"/>
      <c r="S68" s="1932"/>
      <c r="T68" s="1932"/>
      <c r="U68" s="1932"/>
      <c r="V68" s="1932"/>
      <c r="W68" s="1933"/>
      <c r="X68" s="1280" t="s">
        <v>821</v>
      </c>
      <c r="Y68" s="1280"/>
      <c r="Z68" s="1931"/>
      <c r="AA68" s="1932"/>
      <c r="AB68" s="1932"/>
      <c r="AC68" s="1932"/>
      <c r="AD68" s="1932"/>
      <c r="AE68" s="1932"/>
      <c r="AF68" s="1932"/>
      <c r="AG68" s="1932"/>
      <c r="AH68" s="1933"/>
      <c r="AI68" s="1280" t="s">
        <v>822</v>
      </c>
      <c r="AJ68" s="1282"/>
    </row>
    <row r="69" spans="1:36" ht="3.75" customHeight="1" x14ac:dyDescent="0.35">
      <c r="B69" s="1279"/>
      <c r="C69" s="1280"/>
      <c r="D69" s="1306"/>
      <c r="E69" s="1306"/>
      <c r="F69" s="1280"/>
      <c r="G69" s="1280"/>
      <c r="H69" s="1280"/>
      <c r="I69" s="1280"/>
      <c r="J69" s="1280"/>
      <c r="K69" s="1280"/>
      <c r="L69" s="1280"/>
      <c r="M69" s="1280"/>
      <c r="N69" s="1280"/>
      <c r="O69" s="1280"/>
      <c r="P69" s="1307"/>
      <c r="Q69" s="1307"/>
      <c r="R69" s="1280"/>
      <c r="S69" s="1280"/>
      <c r="T69" s="1280"/>
      <c r="U69" s="1280"/>
      <c r="V69" s="1280"/>
      <c r="W69" s="1280"/>
      <c r="X69" s="1280"/>
      <c r="Y69" s="1280"/>
      <c r="Z69" s="1280"/>
      <c r="AA69" s="1280"/>
      <c r="AB69" s="1280"/>
      <c r="AC69" s="1280"/>
      <c r="AD69" s="1280"/>
      <c r="AE69" s="1280"/>
      <c r="AF69" s="1280"/>
      <c r="AG69" s="1280"/>
      <c r="AH69" s="1280"/>
      <c r="AI69" s="1280"/>
      <c r="AJ69" s="1282"/>
    </row>
    <row r="70" spans="1:36" ht="18.75" customHeight="1" x14ac:dyDescent="0.35">
      <c r="B70" s="1279" t="s">
        <v>826</v>
      </c>
      <c r="C70" s="1280"/>
      <c r="D70" s="1280"/>
      <c r="E70" s="1280"/>
      <c r="F70" s="1280"/>
      <c r="G70" s="1280"/>
      <c r="H70" s="1280"/>
      <c r="I70" s="1280"/>
      <c r="J70" s="1280"/>
      <c r="K70" s="1280"/>
      <c r="L70" s="1280"/>
      <c r="M70" s="1280"/>
      <c r="N70" s="1280"/>
      <c r="O70" s="1280"/>
      <c r="P70" s="1280"/>
      <c r="Q70" s="1931"/>
      <c r="R70" s="1932"/>
      <c r="S70" s="1932"/>
      <c r="T70" s="1932"/>
      <c r="U70" s="1932"/>
      <c r="V70" s="1932"/>
      <c r="W70" s="1933"/>
      <c r="X70" s="1280" t="s">
        <v>821</v>
      </c>
      <c r="Y70" s="1280"/>
      <c r="Z70" s="1931"/>
      <c r="AA70" s="1932"/>
      <c r="AB70" s="1932"/>
      <c r="AC70" s="1932"/>
      <c r="AD70" s="1932"/>
      <c r="AE70" s="1932"/>
      <c r="AF70" s="1932"/>
      <c r="AG70" s="1932"/>
      <c r="AH70" s="1933"/>
      <c r="AI70" s="1280" t="s">
        <v>822</v>
      </c>
      <c r="AJ70" s="1282"/>
    </row>
    <row r="71" spans="1:36" ht="3.75" customHeight="1" x14ac:dyDescent="0.35">
      <c r="B71" s="1279"/>
      <c r="C71" s="1280"/>
      <c r="D71" s="1280"/>
      <c r="E71" s="1280"/>
      <c r="F71" s="1280"/>
      <c r="G71" s="1280"/>
      <c r="H71" s="1280"/>
      <c r="I71" s="1280"/>
      <c r="J71" s="1280"/>
      <c r="K71" s="1280"/>
      <c r="L71" s="1280"/>
      <c r="M71" s="1280"/>
      <c r="N71" s="1280"/>
      <c r="O71" s="1280"/>
      <c r="P71" s="1280"/>
      <c r="Q71" s="1280"/>
      <c r="R71" s="1280"/>
      <c r="S71" s="1280"/>
      <c r="T71" s="1280"/>
      <c r="U71" s="1280"/>
      <c r="V71" s="1280"/>
      <c r="W71" s="1280"/>
      <c r="X71" s="1280"/>
      <c r="Y71" s="1280"/>
      <c r="Z71" s="1280"/>
      <c r="AA71" s="1280"/>
      <c r="AB71" s="1280"/>
      <c r="AC71" s="1280"/>
      <c r="AD71" s="1280"/>
      <c r="AE71" s="1280"/>
      <c r="AF71" s="1280"/>
      <c r="AG71" s="1280"/>
      <c r="AH71" s="1280"/>
      <c r="AI71" s="1280"/>
      <c r="AJ71" s="1282"/>
    </row>
    <row r="72" spans="1:36" ht="18.75" customHeight="1" x14ac:dyDescent="0.35">
      <c r="A72" s="1295"/>
      <c r="B72" s="1279" t="s">
        <v>827</v>
      </c>
      <c r="C72" s="1281"/>
      <c r="D72" s="1306"/>
      <c r="E72" s="1306"/>
      <c r="F72" s="1280"/>
      <c r="G72" s="1280"/>
      <c r="H72" s="1280"/>
      <c r="I72" s="1280"/>
      <c r="J72" s="1280"/>
      <c r="K72" s="1280"/>
      <c r="L72" s="1280"/>
      <c r="M72" s="1280"/>
      <c r="N72" s="1280"/>
      <c r="O72" s="1280"/>
      <c r="P72" s="1307"/>
      <c r="Q72" s="1931"/>
      <c r="R72" s="1932"/>
      <c r="S72" s="1932"/>
      <c r="T72" s="1932"/>
      <c r="U72" s="1932"/>
      <c r="V72" s="1932"/>
      <c r="W72" s="1933"/>
      <c r="X72" s="1280" t="s">
        <v>821</v>
      </c>
      <c r="Y72" s="1280"/>
      <c r="Z72" s="1931"/>
      <c r="AA72" s="1932"/>
      <c r="AB72" s="1932"/>
      <c r="AC72" s="1932"/>
      <c r="AD72" s="1932"/>
      <c r="AE72" s="1932"/>
      <c r="AF72" s="1932"/>
      <c r="AG72" s="1932"/>
      <c r="AH72" s="1933"/>
      <c r="AI72" s="1280" t="s">
        <v>822</v>
      </c>
      <c r="AJ72" s="1282"/>
    </row>
    <row r="73" spans="1:36" ht="3.75" customHeight="1" x14ac:dyDescent="0.35">
      <c r="B73" s="1279"/>
      <c r="C73" s="1280"/>
      <c r="D73" s="1280"/>
      <c r="E73" s="1280"/>
      <c r="F73" s="1280"/>
      <c r="G73" s="1280"/>
      <c r="H73" s="1280"/>
      <c r="I73" s="1280"/>
      <c r="J73" s="1280"/>
      <c r="K73" s="1280"/>
      <c r="L73" s="1280"/>
      <c r="M73" s="1280"/>
      <c r="N73" s="1280"/>
      <c r="O73" s="1996"/>
      <c r="P73" s="1997"/>
      <c r="Q73" s="1997"/>
      <c r="R73" s="1997"/>
      <c r="S73" s="1997"/>
      <c r="T73" s="1997"/>
      <c r="U73" s="1997"/>
      <c r="V73" s="1997"/>
      <c r="W73" s="1997"/>
      <c r="X73" s="1997"/>
      <c r="Y73" s="1280"/>
      <c r="Z73" s="1280"/>
      <c r="AA73" s="1280"/>
      <c r="AB73" s="1280"/>
      <c r="AC73" s="1280"/>
      <c r="AD73" s="1280"/>
      <c r="AE73" s="1280"/>
      <c r="AF73" s="1280"/>
      <c r="AG73" s="1280"/>
      <c r="AH73" s="1280"/>
      <c r="AI73" s="1280"/>
      <c r="AJ73" s="1282"/>
    </row>
    <row r="74" spans="1:36" ht="18.75" customHeight="1" x14ac:dyDescent="0.35">
      <c r="B74" s="1297" t="s">
        <v>1980</v>
      </c>
      <c r="C74" s="1280"/>
      <c r="D74" s="1280"/>
      <c r="E74" s="1280"/>
      <c r="F74" s="1280"/>
      <c r="G74" s="1280"/>
      <c r="H74" s="1280"/>
      <c r="I74" s="1280"/>
      <c r="J74" s="1280"/>
      <c r="K74" s="1280"/>
      <c r="L74" s="1280"/>
      <c r="M74" s="1280"/>
      <c r="N74" s="1305"/>
      <c r="O74" s="1305"/>
      <c r="P74" s="1280"/>
      <c r="Q74" s="1931"/>
      <c r="R74" s="1932"/>
      <c r="S74" s="1932"/>
      <c r="T74" s="1932"/>
      <c r="U74" s="1932"/>
      <c r="V74" s="1932"/>
      <c r="W74" s="1933"/>
      <c r="X74" s="1280" t="s">
        <v>821</v>
      </c>
      <c r="Y74" s="1280"/>
      <c r="Z74" s="1931"/>
      <c r="AA74" s="1932"/>
      <c r="AB74" s="1932"/>
      <c r="AC74" s="1932"/>
      <c r="AD74" s="1932"/>
      <c r="AE74" s="1932"/>
      <c r="AF74" s="1932"/>
      <c r="AG74" s="1932"/>
      <c r="AH74" s="1933"/>
      <c r="AI74" s="1280" t="s">
        <v>822</v>
      </c>
      <c r="AJ74" s="1282"/>
    </row>
    <row r="75" spans="1:36" ht="3.75" customHeight="1" thickBot="1" x14ac:dyDescent="0.4">
      <c r="B75" s="1287"/>
      <c r="C75" s="1288"/>
      <c r="D75" s="1288"/>
      <c r="E75" s="1288"/>
      <c r="F75" s="1288"/>
      <c r="G75" s="1288"/>
      <c r="H75" s="1288"/>
      <c r="I75" s="1288"/>
      <c r="J75" s="1288"/>
      <c r="K75" s="1288"/>
      <c r="L75" s="1288"/>
      <c r="M75" s="1288"/>
      <c r="N75" s="1288"/>
      <c r="O75" s="1998"/>
      <c r="P75" s="1999"/>
      <c r="Q75" s="1999"/>
      <c r="R75" s="1999"/>
      <c r="S75" s="1999"/>
      <c r="T75" s="1999"/>
      <c r="U75" s="1999"/>
      <c r="V75" s="1999"/>
      <c r="W75" s="1999"/>
      <c r="X75" s="1999"/>
      <c r="Y75" s="1288"/>
      <c r="Z75" s="1288"/>
      <c r="AA75" s="1288"/>
      <c r="AB75" s="1288"/>
      <c r="AC75" s="1288"/>
      <c r="AD75" s="1288"/>
      <c r="AE75" s="1288"/>
      <c r="AF75" s="1288"/>
      <c r="AG75" s="1288"/>
      <c r="AH75" s="1288"/>
      <c r="AI75" s="1288"/>
      <c r="AJ75" s="1290"/>
    </row>
    <row r="76" spans="1:36" ht="3.75" customHeight="1" x14ac:dyDescent="0.35">
      <c r="O76" s="1308"/>
      <c r="P76" s="1295"/>
      <c r="Q76" s="1295"/>
      <c r="R76" s="1295"/>
      <c r="S76" s="1295"/>
      <c r="T76" s="1295"/>
      <c r="U76" s="1295"/>
      <c r="V76" s="1295"/>
      <c r="W76" s="1295"/>
      <c r="X76" s="1295"/>
    </row>
    <row r="77" spans="1:36" ht="3.75" customHeight="1" x14ac:dyDescent="0.35">
      <c r="O77" s="1308"/>
      <c r="P77" s="1295"/>
      <c r="Q77" s="1295"/>
      <c r="R77" s="1295"/>
      <c r="S77" s="1295"/>
      <c r="T77" s="1295"/>
      <c r="U77" s="1295"/>
      <c r="V77" s="1295"/>
      <c r="W77" s="1295"/>
      <c r="X77" s="1295"/>
    </row>
    <row r="78" spans="1:36" ht="54.75" customHeight="1" x14ac:dyDescent="0.35">
      <c r="A78" s="1309"/>
      <c r="B78" s="2000" t="s">
        <v>1410</v>
      </c>
      <c r="C78" s="2000"/>
      <c r="D78" s="2001"/>
      <c r="E78" s="2001"/>
      <c r="F78" s="2001"/>
      <c r="G78" s="2001"/>
      <c r="H78" s="2001"/>
      <c r="I78" s="2001"/>
      <c r="J78" s="2001"/>
      <c r="K78" s="2001"/>
      <c r="L78" s="2001"/>
      <c r="M78" s="2001"/>
      <c r="N78" s="2001"/>
      <c r="O78" s="2001"/>
      <c r="P78" s="2001"/>
      <c r="Q78" s="2001"/>
      <c r="R78" s="2001"/>
      <c r="S78" s="2001"/>
      <c r="T78" s="2001"/>
      <c r="U78" s="2001"/>
      <c r="V78" s="2001"/>
      <c r="W78" s="2001"/>
      <c r="X78" s="2001"/>
      <c r="Y78" s="2001"/>
      <c r="Z78" s="2001"/>
      <c r="AA78" s="2001"/>
      <c r="AB78" s="2001"/>
      <c r="AC78" s="2001"/>
      <c r="AD78" s="2001"/>
      <c r="AE78" s="2001"/>
      <c r="AF78" s="2001"/>
      <c r="AG78" s="2001"/>
      <c r="AH78" s="2001"/>
      <c r="AI78" s="2001"/>
      <c r="AJ78" s="2001"/>
    </row>
    <row r="79" spans="1:36" ht="13.5" customHeight="1" x14ac:dyDescent="0.35">
      <c r="A79" s="1309"/>
      <c r="B79" s="2002" t="s">
        <v>828</v>
      </c>
      <c r="C79" s="2002"/>
      <c r="D79" s="2003"/>
      <c r="E79" s="2003"/>
      <c r="F79" s="2003"/>
      <c r="G79" s="2003"/>
      <c r="H79" s="2003"/>
      <c r="I79" s="2003"/>
      <c r="J79" s="2003"/>
      <c r="K79" s="2003"/>
      <c r="L79" s="2003"/>
      <c r="M79" s="2003"/>
      <c r="N79" s="2003"/>
      <c r="O79" s="2003"/>
      <c r="P79" s="2003"/>
      <c r="Q79" s="2003"/>
      <c r="R79" s="2003"/>
      <c r="S79" s="2003"/>
      <c r="T79" s="2003"/>
      <c r="U79" s="2003"/>
      <c r="V79" s="2003"/>
      <c r="W79" s="2003"/>
      <c r="X79" s="2003"/>
      <c r="Y79" s="2003"/>
      <c r="Z79" s="2003"/>
      <c r="AA79" s="2003"/>
      <c r="AB79" s="2003"/>
      <c r="AC79" s="2003"/>
      <c r="AD79" s="2003"/>
      <c r="AE79" s="2003"/>
      <c r="AF79" s="2003"/>
      <c r="AG79" s="2003"/>
      <c r="AH79" s="2003"/>
      <c r="AI79" s="2003"/>
      <c r="AJ79" s="2003"/>
    </row>
    <row r="80" spans="1:36" ht="9.75" hidden="1" customHeight="1" x14ac:dyDescent="0.35">
      <c r="A80" s="1309"/>
      <c r="B80" s="1310"/>
      <c r="C80" s="1310"/>
      <c r="D80" s="1295"/>
      <c r="E80" s="1295"/>
      <c r="F80" s="1295"/>
      <c r="G80" s="1295"/>
      <c r="H80" s="1295"/>
      <c r="I80" s="1295"/>
      <c r="J80" s="1295"/>
      <c r="K80" s="1295"/>
      <c r="L80" s="1295"/>
      <c r="M80" s="1295"/>
      <c r="N80" s="1295"/>
      <c r="O80" s="1295"/>
      <c r="P80" s="1295"/>
      <c r="Q80" s="1295"/>
      <c r="R80" s="1295"/>
      <c r="S80" s="1295"/>
      <c r="T80" s="1295"/>
      <c r="U80" s="1295"/>
      <c r="V80" s="1295"/>
      <c r="W80" s="1295"/>
      <c r="X80" s="1295"/>
      <c r="Y80" s="1295"/>
      <c r="Z80" s="1295"/>
      <c r="AA80" s="1295"/>
      <c r="AB80" s="1295"/>
      <c r="AC80" s="1295"/>
      <c r="AD80" s="1295"/>
      <c r="AE80" s="1295"/>
      <c r="AF80" s="1295"/>
      <c r="AG80" s="1295"/>
      <c r="AH80" s="1295"/>
      <c r="AI80" s="1295"/>
      <c r="AJ80" s="1295"/>
    </row>
    <row r="81" spans="1:37" ht="3.75" customHeight="1" x14ac:dyDescent="0.35">
      <c r="A81" s="1309"/>
      <c r="B81" s="1311"/>
      <c r="C81" s="1311"/>
      <c r="D81" s="1312"/>
      <c r="E81" s="1312"/>
      <c r="F81" s="1312"/>
      <c r="G81" s="1312"/>
      <c r="H81" s="1312"/>
      <c r="I81" s="1312"/>
      <c r="J81" s="1312"/>
      <c r="K81" s="1312"/>
      <c r="L81" s="1312"/>
      <c r="M81" s="1312"/>
      <c r="N81" s="1312"/>
      <c r="O81" s="1312"/>
      <c r="P81" s="1312"/>
      <c r="Q81" s="1312"/>
      <c r="R81" s="1312"/>
      <c r="S81" s="1312"/>
      <c r="T81" s="1312"/>
      <c r="U81" s="1312"/>
      <c r="V81" s="1312"/>
      <c r="W81" s="1295"/>
      <c r="X81" s="1295"/>
      <c r="Y81" s="1295"/>
      <c r="Z81" s="1295"/>
      <c r="AA81" s="1295"/>
      <c r="AB81" s="1295"/>
      <c r="AC81" s="1295"/>
      <c r="AD81" s="1295"/>
      <c r="AE81" s="1295"/>
      <c r="AF81" s="1295"/>
      <c r="AG81" s="1295"/>
      <c r="AH81" s="1295"/>
      <c r="AI81" s="1295"/>
      <c r="AJ81" s="1295"/>
    </row>
    <row r="82" spans="1:37" ht="18.75" customHeight="1" x14ac:dyDescent="0.35">
      <c r="B82" s="1313" t="s">
        <v>829</v>
      </c>
      <c r="C82" s="1314"/>
      <c r="D82" s="1312"/>
      <c r="E82" s="1312"/>
      <c r="F82" s="1995"/>
      <c r="G82" s="1995"/>
      <c r="H82" s="1995"/>
      <c r="I82" s="1995"/>
      <c r="J82" s="1995"/>
      <c r="K82" s="1995"/>
      <c r="L82" s="1995"/>
      <c r="M82" s="1995"/>
      <c r="N82" s="1995"/>
      <c r="O82" s="1995"/>
      <c r="P82" s="1995"/>
      <c r="Q82" s="1995"/>
      <c r="R82" s="1995"/>
      <c r="S82" s="1995"/>
      <c r="T82" s="1995"/>
      <c r="U82" s="1995"/>
      <c r="V82" s="1314"/>
    </row>
    <row r="83" spans="1:37" ht="3.75" customHeight="1" x14ac:dyDescent="0.35">
      <c r="B83" s="1313"/>
      <c r="C83" s="1314"/>
      <c r="D83" s="1312"/>
      <c r="E83" s="1312"/>
      <c r="F83" s="1312"/>
      <c r="G83" s="1312"/>
      <c r="H83" s="1312"/>
      <c r="I83" s="1312"/>
      <c r="J83" s="1312"/>
      <c r="K83" s="1312"/>
      <c r="L83" s="1312"/>
      <c r="M83" s="1312"/>
      <c r="N83" s="1312"/>
      <c r="O83" s="1312"/>
      <c r="P83" s="1312"/>
      <c r="Q83" s="1314"/>
      <c r="R83" s="1314"/>
      <c r="S83" s="1314"/>
      <c r="T83" s="1314"/>
      <c r="U83" s="1314"/>
      <c r="V83" s="1314"/>
    </row>
    <row r="84" spans="1:37" ht="18.75" customHeight="1" x14ac:dyDescent="0.35">
      <c r="B84" s="1313" t="s">
        <v>830</v>
      </c>
      <c r="C84" s="1314"/>
      <c r="D84" s="1312"/>
      <c r="E84" s="1312"/>
      <c r="F84" s="1995"/>
      <c r="G84" s="1995"/>
      <c r="H84" s="1995"/>
      <c r="I84" s="1995"/>
      <c r="J84" s="1995"/>
      <c r="K84" s="1995"/>
      <c r="L84" s="1995"/>
      <c r="M84" s="1995"/>
      <c r="N84" s="1995"/>
      <c r="O84" s="1995"/>
      <c r="P84" s="1995"/>
      <c r="Q84" s="1995"/>
      <c r="R84" s="1995"/>
      <c r="S84" s="1995"/>
      <c r="T84" s="1995"/>
      <c r="U84" s="1995"/>
      <c r="V84" s="1314"/>
    </row>
    <row r="85" spans="1:37" ht="3.75" customHeight="1" x14ac:dyDescent="0.35">
      <c r="B85" s="1313"/>
      <c r="C85" s="1314"/>
      <c r="D85" s="1312"/>
      <c r="E85" s="1312"/>
      <c r="F85" s="1312"/>
      <c r="G85" s="1312"/>
      <c r="H85" s="1312"/>
      <c r="I85" s="1312"/>
      <c r="J85" s="1312"/>
      <c r="K85" s="1312"/>
      <c r="L85" s="1312"/>
      <c r="M85" s="1312"/>
      <c r="N85" s="1312"/>
      <c r="O85" s="1312"/>
      <c r="P85" s="1312"/>
      <c r="Q85" s="1314"/>
      <c r="R85" s="1314"/>
      <c r="S85" s="1314"/>
      <c r="T85" s="1314"/>
      <c r="U85" s="1314"/>
      <c r="V85" s="1314"/>
    </row>
    <row r="86" spans="1:37" ht="18.75" customHeight="1" x14ac:dyDescent="0.35">
      <c r="B86" s="1313" t="s">
        <v>831</v>
      </c>
      <c r="C86" s="1314"/>
      <c r="D86" s="1312"/>
      <c r="E86" s="1312"/>
      <c r="F86" s="1995"/>
      <c r="G86" s="1995"/>
      <c r="H86" s="1995"/>
      <c r="I86" s="1995"/>
      <c r="J86" s="1995"/>
      <c r="K86" s="1995"/>
      <c r="L86" s="1995"/>
      <c r="M86" s="1995"/>
      <c r="N86" s="1995"/>
      <c r="O86" s="1995"/>
      <c r="P86" s="1995"/>
      <c r="Q86" s="1995"/>
      <c r="R86" s="1995"/>
      <c r="S86" s="1995"/>
      <c r="T86" s="1995"/>
      <c r="U86" s="1995"/>
      <c r="V86" s="1314"/>
    </row>
    <row r="87" spans="1:37" ht="5.25" customHeight="1" x14ac:dyDescent="0.35">
      <c r="B87" s="1314"/>
      <c r="C87" s="1314"/>
      <c r="D87" s="1314"/>
      <c r="E87" s="1314"/>
      <c r="F87" s="1314"/>
      <c r="G87" s="1314"/>
      <c r="H87" s="1314"/>
      <c r="I87" s="1314"/>
      <c r="J87" s="1314"/>
      <c r="K87" s="1314"/>
      <c r="L87" s="1314"/>
      <c r="M87" s="1314"/>
      <c r="N87" s="1314"/>
      <c r="O87" s="1314"/>
      <c r="P87" s="1314"/>
      <c r="Q87" s="1314"/>
      <c r="R87" s="1314"/>
      <c r="S87" s="1314"/>
      <c r="T87" s="1314"/>
      <c r="U87" s="1314"/>
      <c r="V87" s="1314"/>
    </row>
    <row r="88" spans="1:37" ht="6" customHeight="1" x14ac:dyDescent="0.35"/>
    <row r="89" spans="1:37" s="202" customFormat="1" ht="18.75" customHeight="1" x14ac:dyDescent="0.35">
      <c r="A89" s="1093"/>
      <c r="B89" s="1093"/>
      <c r="C89" s="1093"/>
      <c r="D89" s="1093"/>
      <c r="E89" s="1980"/>
      <c r="F89" s="1981"/>
      <c r="G89" s="1981"/>
      <c r="H89" s="1981"/>
      <c r="I89" s="1981"/>
      <c r="J89" s="1981"/>
      <c r="K89" s="1981"/>
      <c r="L89" s="1982"/>
      <c r="M89" s="1093" t="s">
        <v>682</v>
      </c>
      <c r="N89" s="1928"/>
      <c r="O89" s="1929"/>
      <c r="P89" s="1930"/>
      <c r="Q89" s="1274"/>
      <c r="R89" s="1931"/>
      <c r="S89" s="1933"/>
      <c r="T89" s="1274"/>
      <c r="U89" s="1931"/>
      <c r="V89" s="1933"/>
      <c r="W89" s="1315"/>
      <c r="X89" s="1983"/>
      <c r="Y89" s="1984"/>
      <c r="Z89" s="1984"/>
      <c r="AA89" s="1984"/>
      <c r="AB89" s="1984"/>
      <c r="AC89" s="1984"/>
      <c r="AD89" s="1984"/>
      <c r="AE89" s="1984"/>
      <c r="AF89" s="1984"/>
      <c r="AG89" s="1984"/>
      <c r="AH89" s="1984"/>
      <c r="AI89" s="1984"/>
      <c r="AJ89" s="1985"/>
      <c r="AK89" s="1093"/>
    </row>
    <row r="90" spans="1:37" s="202" customFormat="1" ht="4.5" hidden="1" customHeight="1" x14ac:dyDescent="0.35">
      <c r="A90" s="1093"/>
      <c r="B90" s="1093"/>
      <c r="C90" s="1093"/>
      <c r="D90" s="1093"/>
      <c r="E90" s="1992"/>
      <c r="F90" s="1992"/>
      <c r="G90" s="1992"/>
      <c r="H90" s="1992"/>
      <c r="I90" s="1992"/>
      <c r="J90" s="1992"/>
      <c r="K90" s="1992"/>
      <c r="L90" s="1992"/>
      <c r="M90" s="1093" t="s">
        <v>682</v>
      </c>
      <c r="N90" s="1993"/>
      <c r="O90" s="1993"/>
      <c r="P90" s="1993"/>
      <c r="Q90" s="1274"/>
      <c r="R90" s="1994"/>
      <c r="S90" s="1994"/>
      <c r="T90" s="1274"/>
      <c r="U90" s="1994"/>
      <c r="V90" s="1994"/>
      <c r="W90" s="1280"/>
      <c r="X90" s="1986"/>
      <c r="Y90" s="1987"/>
      <c r="Z90" s="1987"/>
      <c r="AA90" s="1987"/>
      <c r="AB90" s="1987"/>
      <c r="AC90" s="1987"/>
      <c r="AD90" s="1987"/>
      <c r="AE90" s="1987"/>
      <c r="AF90" s="1987"/>
      <c r="AG90" s="1987"/>
      <c r="AH90" s="1987"/>
      <c r="AI90" s="1987"/>
      <c r="AJ90" s="1988"/>
      <c r="AK90" s="1093"/>
    </row>
    <row r="91" spans="1:37" s="202" customFormat="1" x14ac:dyDescent="0.35">
      <c r="A91" s="1093"/>
      <c r="B91" s="1093"/>
      <c r="C91" s="1093"/>
      <c r="D91" s="1093"/>
      <c r="E91" s="1093"/>
      <c r="F91" s="1093"/>
      <c r="G91" s="1093"/>
      <c r="H91" s="1093"/>
      <c r="I91" s="1093"/>
      <c r="J91" s="1093"/>
      <c r="K91" s="1093"/>
      <c r="L91" s="1093"/>
      <c r="M91" s="1093"/>
      <c r="N91" s="1093"/>
      <c r="O91" s="1093"/>
      <c r="P91" s="1093"/>
      <c r="Q91" s="1093"/>
      <c r="R91" s="1093"/>
      <c r="S91" s="1093"/>
      <c r="T91" s="1093"/>
      <c r="U91" s="1093"/>
      <c r="V91" s="1093"/>
      <c r="W91" s="1119"/>
      <c r="X91" s="1986"/>
      <c r="Y91" s="1987"/>
      <c r="Z91" s="1987"/>
      <c r="AA91" s="1987"/>
      <c r="AB91" s="1987"/>
      <c r="AC91" s="1987"/>
      <c r="AD91" s="1987"/>
      <c r="AE91" s="1987"/>
      <c r="AF91" s="1987"/>
      <c r="AG91" s="1987"/>
      <c r="AH91" s="1987"/>
      <c r="AI91" s="1987"/>
      <c r="AJ91" s="1988"/>
      <c r="AK91" s="1093"/>
    </row>
    <row r="92" spans="1:37" s="202" customFormat="1" x14ac:dyDescent="0.35">
      <c r="A92" s="1093"/>
      <c r="B92" s="1093"/>
      <c r="C92" s="1093"/>
      <c r="D92" s="1093"/>
      <c r="E92" s="1093"/>
      <c r="F92" s="1093"/>
      <c r="G92" s="1093"/>
      <c r="H92" s="1093"/>
      <c r="I92" s="1093"/>
      <c r="J92" s="1093"/>
      <c r="K92" s="1093"/>
      <c r="L92" s="1093"/>
      <c r="M92" s="1093"/>
      <c r="N92" s="1093"/>
      <c r="O92" s="1093"/>
      <c r="P92" s="1093"/>
      <c r="Q92" s="1093"/>
      <c r="R92" s="1093"/>
      <c r="S92" s="1093"/>
      <c r="T92" s="1093"/>
      <c r="U92" s="1093"/>
      <c r="V92" s="1093"/>
      <c r="W92" s="1119"/>
      <c r="X92" s="1986"/>
      <c r="Y92" s="1987"/>
      <c r="Z92" s="1987"/>
      <c r="AA92" s="1987"/>
      <c r="AB92" s="1987"/>
      <c r="AC92" s="1987"/>
      <c r="AD92" s="1987"/>
      <c r="AE92" s="1987"/>
      <c r="AF92" s="1987"/>
      <c r="AG92" s="1987"/>
      <c r="AH92" s="1987"/>
      <c r="AI92" s="1987"/>
      <c r="AJ92" s="1988"/>
      <c r="AK92" s="1093"/>
    </row>
    <row r="93" spans="1:37" s="202" customFormat="1" x14ac:dyDescent="0.35">
      <c r="A93" s="1093"/>
      <c r="B93" s="1093"/>
      <c r="C93" s="1093"/>
      <c r="D93" s="1093"/>
      <c r="E93" s="1093"/>
      <c r="F93" s="1093"/>
      <c r="G93" s="1093"/>
      <c r="H93" s="1093"/>
      <c r="I93" s="1093"/>
      <c r="J93" s="1093"/>
      <c r="K93" s="1093"/>
      <c r="L93" s="1093"/>
      <c r="M93" s="1093"/>
      <c r="N93" s="1093"/>
      <c r="O93" s="1093"/>
      <c r="P93" s="1093"/>
      <c r="Q93" s="1093"/>
      <c r="R93" s="1093"/>
      <c r="S93" s="1093"/>
      <c r="T93" s="1093"/>
      <c r="U93" s="1093"/>
      <c r="V93" s="1093"/>
      <c r="W93" s="1093"/>
      <c r="X93" s="1989"/>
      <c r="Y93" s="1990"/>
      <c r="Z93" s="1990"/>
      <c r="AA93" s="1990"/>
      <c r="AB93" s="1990"/>
      <c r="AC93" s="1990"/>
      <c r="AD93" s="1990"/>
      <c r="AE93" s="1990"/>
      <c r="AF93" s="1990"/>
      <c r="AG93" s="1990"/>
      <c r="AH93" s="1990"/>
      <c r="AI93" s="1990"/>
      <c r="AJ93" s="1991"/>
      <c r="AK93" s="1093"/>
    </row>
    <row r="94" spans="1:37" s="202" customFormat="1" x14ac:dyDescent="0.35">
      <c r="A94" s="1093"/>
      <c r="B94" s="1093"/>
      <c r="C94" s="1093"/>
      <c r="D94" s="1093"/>
      <c r="E94" s="1093"/>
      <c r="F94" s="1093"/>
      <c r="G94" s="1093"/>
      <c r="H94" s="1093"/>
      <c r="I94" s="1093"/>
      <c r="J94" s="1093"/>
      <c r="K94" s="1093"/>
      <c r="L94" s="1093"/>
      <c r="M94" s="1093"/>
      <c r="N94" s="1093"/>
      <c r="O94" s="1093"/>
      <c r="P94" s="1093"/>
      <c r="Q94" s="1093"/>
      <c r="R94" s="1093"/>
      <c r="S94" s="1093"/>
      <c r="T94" s="1093"/>
      <c r="U94" s="1093"/>
      <c r="V94" s="1093"/>
      <c r="W94" s="1093"/>
      <c r="X94" s="1979" t="s">
        <v>832</v>
      </c>
      <c r="Y94" s="1979"/>
      <c r="Z94" s="1979"/>
      <c r="AA94" s="1979"/>
      <c r="AB94" s="1979"/>
      <c r="AC94" s="1979"/>
      <c r="AD94" s="1979"/>
      <c r="AE94" s="1979"/>
      <c r="AF94" s="1979"/>
      <c r="AG94" s="1979"/>
      <c r="AH94" s="1979"/>
      <c r="AI94" s="1979"/>
      <c r="AJ94" s="1979"/>
      <c r="AK94" s="1093"/>
    </row>
    <row r="95" spans="1:37" s="202" customFormat="1" x14ac:dyDescent="0.35">
      <c r="A95" s="1093"/>
      <c r="B95" s="1093"/>
      <c r="C95" s="1093"/>
      <c r="D95" s="1093"/>
      <c r="E95" s="1093"/>
      <c r="F95" s="1093"/>
      <c r="G95" s="1093"/>
      <c r="H95" s="1093"/>
      <c r="I95" s="1093"/>
      <c r="J95" s="1093"/>
      <c r="K95" s="1093"/>
      <c r="L95" s="1093"/>
      <c r="M95" s="1093"/>
      <c r="N95" s="1093"/>
      <c r="O95" s="1093"/>
      <c r="P95" s="1093"/>
      <c r="Q95" s="1093"/>
      <c r="R95" s="1093"/>
      <c r="S95" s="1093"/>
      <c r="T95" s="1093"/>
      <c r="U95" s="1093"/>
      <c r="V95" s="1093"/>
      <c r="W95" s="1093"/>
      <c r="X95" s="1093"/>
      <c r="Y95" s="1093"/>
      <c r="Z95" s="1093"/>
      <c r="AA95" s="1093"/>
      <c r="AB95" s="1093"/>
      <c r="AC95" s="1093"/>
      <c r="AD95" s="1093"/>
      <c r="AE95" s="1093"/>
      <c r="AF95" s="1093"/>
      <c r="AG95" s="1093"/>
      <c r="AH95" s="1093"/>
      <c r="AI95" s="1093"/>
      <c r="AJ95" s="1093"/>
      <c r="AK95" s="1093"/>
    </row>
    <row r="96" spans="1:37" s="202" customFormat="1" ht="15" customHeight="1" x14ac:dyDescent="0.35">
      <c r="A96" s="1093"/>
      <c r="B96" s="1093"/>
      <c r="C96" s="1093"/>
      <c r="D96" s="1093"/>
      <c r="E96" s="1093"/>
      <c r="F96" s="1093"/>
      <c r="G96" s="1093"/>
      <c r="H96" s="1093"/>
      <c r="I96" s="1093"/>
      <c r="J96" s="1093"/>
      <c r="K96" s="1093"/>
      <c r="L96" s="1093"/>
      <c r="M96" s="1093"/>
      <c r="N96" s="1093"/>
      <c r="O96" s="1093"/>
      <c r="P96" s="1093"/>
      <c r="Q96" s="1093"/>
      <c r="R96" s="1093"/>
      <c r="S96" s="1093"/>
      <c r="T96" s="1093"/>
      <c r="U96" s="1093"/>
      <c r="V96" s="1093"/>
      <c r="W96" s="1093"/>
      <c r="X96" s="1979"/>
      <c r="Y96" s="1979"/>
      <c r="Z96" s="1979"/>
      <c r="AA96" s="1979"/>
      <c r="AB96" s="1979"/>
      <c r="AC96" s="1979"/>
      <c r="AD96" s="1979"/>
      <c r="AE96" s="1979"/>
      <c r="AF96" s="1979"/>
      <c r="AG96" s="1979"/>
      <c r="AH96" s="1979"/>
      <c r="AI96" s="1979"/>
      <c r="AJ96" s="1979"/>
      <c r="AK96" s="1093"/>
    </row>
    <row r="97" ht="7.5" customHeight="1" x14ac:dyDescent="0.35"/>
  </sheetData>
  <sheetProtection algorithmName="SHA-512" hashValue="kM/5gH2+wsQhZroSpousEKr/7OQKBg8E9T2N06VG30ccZCrumMaJ+qadpC65NGfM8TsBPY/UnyPD7IMCY9t8xQ==" saltValue="IXh0Doj7HLgRa60OUap2SA==" spinCount="100000" sheet="1" selectLockedCells="1"/>
  <mergeCells count="77">
    <mergeCell ref="P10:AB10"/>
    <mergeCell ref="A1:AA1"/>
    <mergeCell ref="H4:AG4"/>
    <mergeCell ref="H6:AG6"/>
    <mergeCell ref="P8:W8"/>
    <mergeCell ref="AA8:AB8"/>
    <mergeCell ref="P12:AB12"/>
    <mergeCell ref="P14:S14"/>
    <mergeCell ref="U14:V14"/>
    <mergeCell ref="X14:Y14"/>
    <mergeCell ref="U16:V16"/>
    <mergeCell ref="X16:Z16"/>
    <mergeCell ref="AH35:AI35"/>
    <mergeCell ref="I23:AH23"/>
    <mergeCell ref="I25:AH25"/>
    <mergeCell ref="I27:AH27"/>
    <mergeCell ref="I29:X29"/>
    <mergeCell ref="Z29:AC29"/>
    <mergeCell ref="AE29:AF29"/>
    <mergeCell ref="AH29:AI29"/>
    <mergeCell ref="L33:O33"/>
    <mergeCell ref="Q33:R33"/>
    <mergeCell ref="T33:U33"/>
    <mergeCell ref="Z35:AC35"/>
    <mergeCell ref="AE35:AF35"/>
    <mergeCell ref="Z37:AC37"/>
    <mergeCell ref="AE37:AF37"/>
    <mergeCell ref="AH37:AI37"/>
    <mergeCell ref="L39:AA39"/>
    <mergeCell ref="L41:O41"/>
    <mergeCell ref="Q41:R41"/>
    <mergeCell ref="T41:U41"/>
    <mergeCell ref="Q59:W59"/>
    <mergeCell ref="Z59:AH59"/>
    <mergeCell ref="L43:O43"/>
    <mergeCell ref="Q43:R43"/>
    <mergeCell ref="T43:U43"/>
    <mergeCell ref="Q48:W48"/>
    <mergeCell ref="Z48:AH48"/>
    <mergeCell ref="Q50:W50"/>
    <mergeCell ref="Z50:AH50"/>
    <mergeCell ref="Q52:W52"/>
    <mergeCell ref="Z52:AH52"/>
    <mergeCell ref="B56:P57"/>
    <mergeCell ref="Q57:W57"/>
    <mergeCell ref="Z57:AH57"/>
    <mergeCell ref="B61:N61"/>
    <mergeCell ref="Q61:AH61"/>
    <mergeCell ref="Q63:W63"/>
    <mergeCell ref="Z63:AH63"/>
    <mergeCell ref="B67:N68"/>
    <mergeCell ref="Q68:W68"/>
    <mergeCell ref="Z68:AH68"/>
    <mergeCell ref="F86:U86"/>
    <mergeCell ref="Q70:W70"/>
    <mergeCell ref="Z70:AH70"/>
    <mergeCell ref="Q72:W72"/>
    <mergeCell ref="Z72:AH72"/>
    <mergeCell ref="O73:X73"/>
    <mergeCell ref="Q74:W74"/>
    <mergeCell ref="Z74:AH74"/>
    <mergeCell ref="O75:X75"/>
    <mergeCell ref="B78:AJ78"/>
    <mergeCell ref="B79:AJ79"/>
    <mergeCell ref="F82:U82"/>
    <mergeCell ref="F84:U84"/>
    <mergeCell ref="X94:AJ94"/>
    <mergeCell ref="X96:AJ96"/>
    <mergeCell ref="E89:L89"/>
    <mergeCell ref="N89:P89"/>
    <mergeCell ref="R89:S89"/>
    <mergeCell ref="U89:V89"/>
    <mergeCell ref="X89:AJ93"/>
    <mergeCell ref="E90:L90"/>
    <mergeCell ref="N90:P90"/>
    <mergeCell ref="R90:S90"/>
    <mergeCell ref="U90:V90"/>
  </mergeCells>
  <pageMargins left="0.70866141732283472" right="0.70866141732283472" top="0.74803149606299213" bottom="0.74803149606299213" header="0.31496062992125984" footer="0.31496062992125984"/>
  <pageSetup paperSize="9" scale="62" orientation="portrait" r:id="rId1"/>
  <headerFooter>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6"/>
  <sheetViews>
    <sheetView showGridLines="0" showRowColHeaders="0" showRuler="0" view="pageLayout" zoomScale="75" zoomScaleNormal="100" zoomScalePageLayoutView="75" workbookViewId="0">
      <selection activeCell="A2" sqref="A2:C16"/>
    </sheetView>
  </sheetViews>
  <sheetFormatPr defaultColWidth="9.33203125" defaultRowHeight="13.8" x14ac:dyDescent="0.25"/>
  <cols>
    <col min="1" max="1" width="37.5546875" style="86" customWidth="1"/>
    <col min="2" max="2" width="75" style="86" customWidth="1"/>
    <col min="3" max="3" width="62.33203125" style="86" customWidth="1"/>
    <col min="4" max="16384" width="9.33203125" style="86"/>
  </cols>
  <sheetData>
    <row r="1" spans="1:3" ht="29.25" customHeight="1" thickBot="1" x14ac:dyDescent="0.3">
      <c r="A1" s="2014" t="s">
        <v>1049</v>
      </c>
      <c r="B1" s="2014"/>
      <c r="C1" s="2014"/>
    </row>
    <row r="2" spans="1:3" x14ac:dyDescent="0.25">
      <c r="A2" s="92"/>
      <c r="B2" s="289" t="s">
        <v>1050</v>
      </c>
      <c r="C2" s="93" t="s">
        <v>1051</v>
      </c>
    </row>
    <row r="3" spans="1:3" ht="117.75" customHeight="1" x14ac:dyDescent="0.25">
      <c r="A3" s="94" t="s">
        <v>875</v>
      </c>
      <c r="B3" s="447" t="s">
        <v>876</v>
      </c>
      <c r="C3" s="448" t="s">
        <v>987</v>
      </c>
    </row>
    <row r="4" spans="1:3" ht="75.75" customHeight="1" x14ac:dyDescent="0.25">
      <c r="A4" s="94" t="s">
        <v>877</v>
      </c>
      <c r="B4" s="2015" t="s">
        <v>996</v>
      </c>
      <c r="C4" s="2016"/>
    </row>
    <row r="5" spans="1:3" ht="120.75" customHeight="1" x14ac:dyDescent="0.25">
      <c r="A5" s="94" t="s">
        <v>878</v>
      </c>
      <c r="B5" s="2017" t="s">
        <v>1052</v>
      </c>
      <c r="C5" s="2018"/>
    </row>
    <row r="6" spans="1:3" ht="29.25" customHeight="1" x14ac:dyDescent="0.25">
      <c r="A6" s="290" t="s">
        <v>10</v>
      </c>
      <c r="B6" s="2019" t="s">
        <v>879</v>
      </c>
      <c r="C6" s="2020"/>
    </row>
    <row r="7" spans="1:3" x14ac:dyDescent="0.25">
      <c r="A7" s="94" t="s">
        <v>880</v>
      </c>
      <c r="B7" s="2021" t="s">
        <v>637</v>
      </c>
      <c r="C7" s="2020"/>
    </row>
    <row r="8" spans="1:3" x14ac:dyDescent="0.25">
      <c r="A8" s="94" t="s">
        <v>12</v>
      </c>
      <c r="B8" s="2022" t="s">
        <v>881</v>
      </c>
      <c r="C8" s="2023"/>
    </row>
    <row r="9" spans="1:3" ht="57.75" customHeight="1" x14ac:dyDescent="0.25">
      <c r="A9" s="94" t="s">
        <v>882</v>
      </c>
      <c r="B9" s="2015" t="s">
        <v>988</v>
      </c>
      <c r="C9" s="2024"/>
    </row>
    <row r="10" spans="1:3" x14ac:dyDescent="0.25">
      <c r="A10" s="94" t="s">
        <v>883</v>
      </c>
      <c r="B10" s="2022" t="s">
        <v>989</v>
      </c>
      <c r="C10" s="2023"/>
    </row>
    <row r="11" spans="1:3" x14ac:dyDescent="0.25">
      <c r="A11" s="94" t="s">
        <v>884</v>
      </c>
      <c r="B11" s="2025" t="s">
        <v>885</v>
      </c>
      <c r="C11" s="2026"/>
    </row>
    <row r="12" spans="1:3" x14ac:dyDescent="0.25">
      <c r="A12" s="94" t="s">
        <v>886</v>
      </c>
      <c r="B12" s="446">
        <f>Hirdetmény!AA52</f>
        <v>0.03</v>
      </c>
      <c r="C12" s="449">
        <f>Hirdetmény!AA69</f>
        <v>0.03</v>
      </c>
    </row>
    <row r="13" spans="1:3" x14ac:dyDescent="0.25">
      <c r="A13" s="94" t="s">
        <v>887</v>
      </c>
      <c r="B13" s="2021" t="s">
        <v>888</v>
      </c>
      <c r="C13" s="2020"/>
    </row>
    <row r="14" spans="1:3" x14ac:dyDescent="0.25">
      <c r="A14" s="94" t="s">
        <v>28</v>
      </c>
      <c r="B14" s="446">
        <f>Hirdetmény!AD51</f>
        <v>1.43E-2</v>
      </c>
      <c r="C14" s="449">
        <f>Hirdetmény!AD69</f>
        <v>2.12E-2</v>
      </c>
    </row>
    <row r="15" spans="1:3" x14ac:dyDescent="0.25">
      <c r="A15" s="94" t="s">
        <v>667</v>
      </c>
      <c r="B15" s="2027">
        <f>Hirdetmény!AA10</f>
        <v>0.01</v>
      </c>
      <c r="C15" s="2020"/>
    </row>
    <row r="16" spans="1:3" ht="14.4" thickBot="1" x14ac:dyDescent="0.3">
      <c r="A16" s="95" t="s">
        <v>889</v>
      </c>
      <c r="B16" s="2012" t="str">
        <f>Hirdetmény!AA7&amp;" Ft/fedezet"</f>
        <v>42000 Ft/fedezet</v>
      </c>
      <c r="C16" s="2013"/>
    </row>
  </sheetData>
  <sheetProtection password="DA83" sheet="1" objects="1" scenarios="1" selectLockedCells="1"/>
  <mergeCells count="12">
    <mergeCell ref="B16:C16"/>
    <mergeCell ref="A1:C1"/>
    <mergeCell ref="B4:C4"/>
    <mergeCell ref="B5:C5"/>
    <mergeCell ref="B6:C6"/>
    <mergeCell ref="B7:C7"/>
    <mergeCell ref="B8:C8"/>
    <mergeCell ref="B9:C9"/>
    <mergeCell ref="B10:C10"/>
    <mergeCell ref="B11:C11"/>
    <mergeCell ref="B13:C13"/>
    <mergeCell ref="B15:C15"/>
  </mergeCells>
  <pageMargins left="0.70866141732283472" right="0.84791666666666665" top="0.90187499999999998" bottom="0.74803149606299213" header="0.31496062992125984" footer="0.31496062992125984"/>
  <pageSetup paperSize="9" scale="73" orientation="landscape" r:id="rId1"/>
  <headerFooter>
    <oddHeader>&amp;C&amp;"Tahoma,Félkövér"A GRÁNIT BANK ZRT. ÁLTAL NYÚJTOTT JELZÁLOGHITELEK&amp;R&amp;G</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7"/>
  <sheetViews>
    <sheetView showGridLines="0" showRowColHeaders="0" zoomScale="75" zoomScaleNormal="75" workbookViewId="0">
      <selection activeCell="B4" sqref="B4:B5"/>
    </sheetView>
  </sheetViews>
  <sheetFormatPr defaultColWidth="9.33203125" defaultRowHeight="14.4" x14ac:dyDescent="0.3"/>
  <cols>
    <col min="1" max="1" width="42.6640625" style="291" customWidth="1"/>
    <col min="2" max="2" width="112" style="291" customWidth="1"/>
    <col min="3" max="3" width="113.6640625" style="291" customWidth="1"/>
    <col min="4" max="4" width="97" style="291" customWidth="1"/>
    <col min="5" max="16384" width="9.33203125" style="291"/>
  </cols>
  <sheetData>
    <row r="1" spans="1:3" ht="15" thickBot="1" x14ac:dyDescent="0.35">
      <c r="A1" s="1316" t="s">
        <v>552</v>
      </c>
      <c r="B1" s="1317" t="s">
        <v>890</v>
      </c>
      <c r="C1" s="1317" t="s">
        <v>891</v>
      </c>
    </row>
    <row r="2" spans="1:3" ht="25.5" customHeight="1" thickBot="1" x14ac:dyDescent="0.35">
      <c r="A2" s="1318" t="s">
        <v>892</v>
      </c>
      <c r="B2" s="1319" t="s">
        <v>1053</v>
      </c>
      <c r="C2" s="1319"/>
    </row>
    <row r="3" spans="1:3" ht="30" customHeight="1" x14ac:dyDescent="0.3">
      <c r="A3" s="2028" t="s">
        <v>192</v>
      </c>
      <c r="B3" s="1320" t="s">
        <v>1077</v>
      </c>
      <c r="C3" s="1321" t="s">
        <v>1054</v>
      </c>
    </row>
    <row r="4" spans="1:3" ht="63" customHeight="1" x14ac:dyDescent="0.3">
      <c r="A4" s="2029"/>
      <c r="B4" s="2032" t="s">
        <v>1981</v>
      </c>
      <c r="C4" s="1322" t="s">
        <v>1055</v>
      </c>
    </row>
    <row r="5" spans="1:3" ht="38.25" customHeight="1" thickBot="1" x14ac:dyDescent="0.35">
      <c r="A5" s="2030"/>
      <c r="B5" s="2033"/>
      <c r="C5" s="1319" t="s">
        <v>893</v>
      </c>
    </row>
    <row r="6" spans="1:3" ht="26.25" customHeight="1" thickBot="1" x14ac:dyDescent="0.35">
      <c r="A6" s="1323" t="s">
        <v>1076</v>
      </c>
      <c r="B6" s="1036" t="s">
        <v>1077</v>
      </c>
      <c r="C6" s="1320" t="s">
        <v>1078</v>
      </c>
    </row>
    <row r="7" spans="1:3" ht="28.5" customHeight="1" x14ac:dyDescent="0.3">
      <c r="A7" s="2031" t="s">
        <v>1056</v>
      </c>
      <c r="B7" s="1320" t="s">
        <v>1057</v>
      </c>
      <c r="C7" s="2031" t="s">
        <v>1059</v>
      </c>
    </row>
    <row r="8" spans="1:3" ht="76.5" customHeight="1" thickBot="1" x14ac:dyDescent="0.35">
      <c r="A8" s="2032"/>
      <c r="B8" s="1320" t="s">
        <v>1058</v>
      </c>
      <c r="C8" s="2032"/>
    </row>
    <row r="9" spans="1:3" ht="25.5" customHeight="1" x14ac:dyDescent="0.3">
      <c r="A9" s="2028" t="s">
        <v>557</v>
      </c>
      <c r="B9" s="1324" t="s">
        <v>894</v>
      </c>
      <c r="C9" s="2031" t="s">
        <v>1059</v>
      </c>
    </row>
    <row r="10" spans="1:3" ht="36.75" customHeight="1" x14ac:dyDescent="0.3">
      <c r="A10" s="2029"/>
      <c r="B10" s="1320" t="s">
        <v>1060</v>
      </c>
      <c r="C10" s="2032"/>
    </row>
    <row r="11" spans="1:3" ht="25.5" customHeight="1" thickBot="1" x14ac:dyDescent="0.35">
      <c r="A11" s="2030"/>
      <c r="B11" s="1319" t="s">
        <v>1061</v>
      </c>
      <c r="C11" s="2033"/>
    </row>
    <row r="12" spans="1:3" ht="26.25" customHeight="1" x14ac:dyDescent="0.3">
      <c r="A12" s="2031" t="s">
        <v>559</v>
      </c>
      <c r="B12" s="1325" t="s">
        <v>1062</v>
      </c>
      <c r="C12" s="2031" t="s">
        <v>1068</v>
      </c>
    </row>
    <row r="13" spans="1:3" ht="38.25" customHeight="1" thickBot="1" x14ac:dyDescent="0.35">
      <c r="A13" s="2033"/>
      <c r="B13" s="1318" t="s">
        <v>1063</v>
      </c>
      <c r="C13" s="2033"/>
    </row>
    <row r="14" spans="1:3" ht="26.25" customHeight="1" x14ac:dyDescent="0.3">
      <c r="A14" s="2028" t="s">
        <v>1064</v>
      </c>
      <c r="B14" s="1320" t="s">
        <v>1065</v>
      </c>
      <c r="C14" s="2028" t="s">
        <v>1068</v>
      </c>
    </row>
    <row r="15" spans="1:3" ht="26.25" customHeight="1" x14ac:dyDescent="0.3">
      <c r="A15" s="2029"/>
      <c r="B15" s="1320" t="s">
        <v>1066</v>
      </c>
      <c r="C15" s="2029"/>
    </row>
    <row r="16" spans="1:3" ht="29.4" thickBot="1" x14ac:dyDescent="0.35">
      <c r="A16" s="2030"/>
      <c r="B16" s="1319" t="s">
        <v>1067</v>
      </c>
      <c r="C16" s="2030"/>
    </row>
    <row r="17" spans="1:3" ht="25.5" customHeight="1" x14ac:dyDescent="0.3">
      <c r="A17" s="2031" t="s">
        <v>572</v>
      </c>
      <c r="B17" s="2031" t="s">
        <v>1079</v>
      </c>
      <c r="C17" s="1325" t="s">
        <v>1080</v>
      </c>
    </row>
    <row r="18" spans="1:3" ht="52.5" customHeight="1" x14ac:dyDescent="0.3">
      <c r="A18" s="2032"/>
      <c r="B18" s="2032"/>
      <c r="C18" s="1323" t="s">
        <v>1081</v>
      </c>
    </row>
    <row r="19" spans="1:3" ht="52.5" customHeight="1" thickBot="1" x14ac:dyDescent="0.35">
      <c r="A19" s="2033"/>
      <c r="B19" s="2033"/>
      <c r="C19" s="1318" t="s">
        <v>1082</v>
      </c>
    </row>
    <row r="20" spans="1:3" ht="34.5" customHeight="1" x14ac:dyDescent="0.3">
      <c r="A20" s="2028" t="s">
        <v>1069</v>
      </c>
      <c r="B20" s="1320" t="s">
        <v>1070</v>
      </c>
      <c r="C20" s="2028" t="s">
        <v>1068</v>
      </c>
    </row>
    <row r="21" spans="1:3" ht="25.5" customHeight="1" thickBot="1" x14ac:dyDescent="0.35">
      <c r="A21" s="2029"/>
      <c r="B21" s="1318" t="s">
        <v>1071</v>
      </c>
      <c r="C21" s="2029"/>
    </row>
    <row r="22" spans="1:3" ht="40.5" customHeight="1" x14ac:dyDescent="0.3">
      <c r="A22" s="2028" t="s">
        <v>568</v>
      </c>
      <c r="B22" s="1324" t="s">
        <v>1072</v>
      </c>
      <c r="C22" s="2028" t="s">
        <v>1075</v>
      </c>
    </row>
    <row r="23" spans="1:3" ht="37.5" customHeight="1" x14ac:dyDescent="0.3">
      <c r="A23" s="2029"/>
      <c r="B23" s="1320" t="s">
        <v>1073</v>
      </c>
      <c r="C23" s="2029"/>
    </row>
    <row r="24" spans="1:3" ht="38.25" customHeight="1" thickBot="1" x14ac:dyDescent="0.35">
      <c r="A24" s="2030"/>
      <c r="B24" s="1319" t="s">
        <v>1074</v>
      </c>
      <c r="C24" s="2030"/>
    </row>
    <row r="25" spans="1:3" ht="51.75" customHeight="1" x14ac:dyDescent="0.3">
      <c r="A25" s="2034" t="s">
        <v>1083</v>
      </c>
      <c r="B25" s="2031" t="s">
        <v>1084</v>
      </c>
      <c r="C25" s="1326" t="s">
        <v>1081</v>
      </c>
    </row>
    <row r="26" spans="1:3" ht="51.75" customHeight="1" thickBot="1" x14ac:dyDescent="0.35">
      <c r="A26" s="2035"/>
      <c r="B26" s="2033"/>
      <c r="C26" s="1327" t="s">
        <v>1082</v>
      </c>
    </row>
    <row r="27" spans="1:3" ht="38.25" customHeight="1" thickBot="1" x14ac:dyDescent="0.35">
      <c r="A27" s="1036"/>
      <c r="B27" s="1036"/>
      <c r="C27" s="1036"/>
    </row>
  </sheetData>
  <sheetProtection algorithmName="SHA-512" hashValue="lgHnpD/5uNhCBo842ByYkVuxHkW4BhC2QzmAwrXk9yd9Qq77odhsVJCGC6L5Kbh2GE+5mfPC+jvIc9tEpJzGaA==" saltValue="pKp6eLl6Ju6KG5SqGGriDQ==" spinCount="100000" sheet="1" selectLockedCells="1"/>
  <mergeCells count="18">
    <mergeCell ref="A25:A26"/>
    <mergeCell ref="B25:B26"/>
    <mergeCell ref="B4:B5"/>
    <mergeCell ref="A7:A8"/>
    <mergeCell ref="A20:A21"/>
    <mergeCell ref="A3:A5"/>
    <mergeCell ref="C9:C11"/>
    <mergeCell ref="C7:C8"/>
    <mergeCell ref="C12:C13"/>
    <mergeCell ref="A12:A13"/>
    <mergeCell ref="C14:C16"/>
    <mergeCell ref="A9:A11"/>
    <mergeCell ref="A14:A16"/>
    <mergeCell ref="C20:C21"/>
    <mergeCell ref="A22:A24"/>
    <mergeCell ref="C22:C24"/>
    <mergeCell ref="B17:B19"/>
    <mergeCell ref="A17:A19"/>
  </mergeCells>
  <pageMargins left="0.70866141732283472" right="0.86614173228346458" top="0.62992125984251968" bottom="0.74803149606299213" header="0.31496062992125984" footer="0.31496062992125984"/>
  <pageSetup paperSize="9" scale="48" orientation="landscape" r:id="rId1"/>
  <headerFooter>
    <oddHeader>&amp;L&amp;G&amp;C&amp;"Trebuchet MS,Félkövér"Elfogadható jövedelmek, igazolások módja, benyújtandó dokumentumok</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0"/>
  <sheetViews>
    <sheetView zoomScaleNormal="100" workbookViewId="0">
      <selection activeCell="P33" sqref="P33"/>
    </sheetView>
  </sheetViews>
  <sheetFormatPr defaultColWidth="8.88671875" defaultRowHeight="14.4" x14ac:dyDescent="0.3"/>
  <cols>
    <col min="1" max="1" width="3.5546875" style="1335" customWidth="1"/>
    <col min="2" max="2" width="21.44140625" style="1335" customWidth="1"/>
    <col min="3" max="3" width="4.5546875" style="1335" customWidth="1"/>
    <col min="4" max="4" width="21.44140625" style="1335" customWidth="1"/>
    <col min="5" max="5" width="6" style="1335" bestFit="1" customWidth="1"/>
    <col min="6" max="6" width="21.44140625" style="1335" customWidth="1"/>
    <col min="7" max="7" width="5.88671875" style="1335" customWidth="1"/>
    <col min="8" max="8" width="15.5546875" style="1335" customWidth="1"/>
    <col min="9" max="9" width="6.44140625" style="1335" customWidth="1"/>
    <col min="10" max="10" width="17.44140625" style="1335" customWidth="1"/>
    <col min="11" max="11" width="7" style="1335" customWidth="1"/>
    <col min="12" max="12" width="15.109375" style="1335" customWidth="1"/>
    <col min="13" max="13" width="6.109375" style="1335" customWidth="1"/>
    <col min="14" max="14" width="17.44140625" style="1335" customWidth="1"/>
    <col min="15" max="15" width="5.5546875" style="1335" customWidth="1"/>
    <col min="16" max="16" width="16.44140625" style="1335" customWidth="1"/>
    <col min="17" max="16384" width="8.88671875" style="638"/>
  </cols>
  <sheetData>
    <row r="1" spans="1:16" s="537" customFormat="1" x14ac:dyDescent="0.3">
      <c r="A1" s="1328">
        <v>1</v>
      </c>
      <c r="B1" s="1329" t="s">
        <v>390</v>
      </c>
      <c r="C1" s="1330">
        <v>41</v>
      </c>
      <c r="D1" s="1329" t="s">
        <v>1576</v>
      </c>
      <c r="E1" s="1328">
        <v>81</v>
      </c>
      <c r="F1" s="1329" t="s">
        <v>1630</v>
      </c>
      <c r="G1" s="1328">
        <v>121</v>
      </c>
      <c r="H1" s="1329" t="s">
        <v>1637</v>
      </c>
      <c r="I1" s="1328">
        <v>161</v>
      </c>
      <c r="J1" s="1329" t="s">
        <v>467</v>
      </c>
      <c r="K1" s="1328">
        <v>201</v>
      </c>
      <c r="L1" s="1329" t="s">
        <v>509</v>
      </c>
      <c r="M1" s="1328">
        <v>241</v>
      </c>
      <c r="N1" s="1329" t="s">
        <v>1649</v>
      </c>
      <c r="O1" s="1328">
        <v>281</v>
      </c>
      <c r="P1" s="1329" t="s">
        <v>567</v>
      </c>
    </row>
    <row r="2" spans="1:16" s="537" customFormat="1" x14ac:dyDescent="0.3">
      <c r="A2" s="1328">
        <v>2</v>
      </c>
      <c r="B2" s="1329" t="s">
        <v>1634</v>
      </c>
      <c r="C2" s="1330">
        <v>42</v>
      </c>
      <c r="D2" s="1329" t="s">
        <v>1635</v>
      </c>
      <c r="E2" s="1328">
        <v>82</v>
      </c>
      <c r="F2" s="1329" t="s">
        <v>1636</v>
      </c>
      <c r="G2" s="1328">
        <v>122</v>
      </c>
      <c r="H2" s="1329" t="s">
        <v>458</v>
      </c>
      <c r="I2" s="1328">
        <v>162</v>
      </c>
      <c r="J2" s="1329" t="s">
        <v>468</v>
      </c>
      <c r="K2" s="1328">
        <v>202</v>
      </c>
      <c r="L2" s="1329" t="s">
        <v>511</v>
      </c>
      <c r="M2" s="1328">
        <v>242</v>
      </c>
      <c r="N2" s="1329" t="s">
        <v>535</v>
      </c>
      <c r="O2" s="1328">
        <v>282</v>
      </c>
      <c r="P2" s="1329" t="s">
        <v>1655</v>
      </c>
    </row>
    <row r="3" spans="1:16" s="537" customFormat="1" x14ac:dyDescent="0.3">
      <c r="A3" s="1328">
        <v>3</v>
      </c>
      <c r="B3" s="1329" t="s">
        <v>1534</v>
      </c>
      <c r="C3" s="1330">
        <v>43</v>
      </c>
      <c r="D3" s="1329" t="s">
        <v>1638</v>
      </c>
      <c r="E3" s="1328">
        <v>83</v>
      </c>
      <c r="F3" s="1329" t="s">
        <v>1615</v>
      </c>
      <c r="G3" s="1328">
        <v>123</v>
      </c>
      <c r="H3" s="1329" t="s">
        <v>459</v>
      </c>
      <c r="I3" s="1328">
        <v>163</v>
      </c>
      <c r="J3" s="1329" t="s">
        <v>1586</v>
      </c>
      <c r="K3" s="1328">
        <v>203</v>
      </c>
      <c r="L3" s="1329" t="s">
        <v>515</v>
      </c>
      <c r="M3" s="1328">
        <v>243</v>
      </c>
      <c r="N3" s="1329" t="s">
        <v>537</v>
      </c>
      <c r="O3" s="1328">
        <v>283</v>
      </c>
      <c r="P3" s="1329" t="s">
        <v>1660</v>
      </c>
    </row>
    <row r="4" spans="1:16" s="537" customFormat="1" x14ac:dyDescent="0.3">
      <c r="A4" s="1328">
        <v>4</v>
      </c>
      <c r="B4" s="1329" t="s">
        <v>1536</v>
      </c>
      <c r="C4" s="1330">
        <v>44</v>
      </c>
      <c r="D4" s="1329" t="s">
        <v>1578</v>
      </c>
      <c r="E4" s="1328">
        <v>84</v>
      </c>
      <c r="F4" s="1329" t="s">
        <v>1616</v>
      </c>
      <c r="G4" s="1328">
        <v>124</v>
      </c>
      <c r="H4" s="1329" t="s">
        <v>1642</v>
      </c>
      <c r="I4" s="1328">
        <v>164</v>
      </c>
      <c r="J4" s="1329" t="s">
        <v>469</v>
      </c>
      <c r="K4" s="1328">
        <v>204</v>
      </c>
      <c r="L4" s="1329" t="s">
        <v>517</v>
      </c>
      <c r="M4" s="1328">
        <v>244</v>
      </c>
      <c r="N4" s="1329" t="s">
        <v>539</v>
      </c>
      <c r="O4" s="1328">
        <v>284</v>
      </c>
      <c r="P4" s="1329" t="s">
        <v>1666</v>
      </c>
    </row>
    <row r="5" spans="1:16" s="537" customFormat="1" x14ac:dyDescent="0.3">
      <c r="A5" s="1328">
        <v>5</v>
      </c>
      <c r="B5" s="1329" t="s">
        <v>1538</v>
      </c>
      <c r="C5" s="1330">
        <v>45</v>
      </c>
      <c r="D5" s="1329" t="s">
        <v>416</v>
      </c>
      <c r="E5" s="1328">
        <v>85</v>
      </c>
      <c r="F5" s="1329" t="s">
        <v>1618</v>
      </c>
      <c r="G5" s="1328">
        <v>125</v>
      </c>
      <c r="H5" s="1329" t="s">
        <v>1645</v>
      </c>
      <c r="I5" s="1328">
        <v>165</v>
      </c>
      <c r="J5" s="1329" t="s">
        <v>1652</v>
      </c>
      <c r="K5" s="1328">
        <v>205</v>
      </c>
      <c r="L5" s="1329" t="s">
        <v>1659</v>
      </c>
      <c r="M5" s="1328">
        <v>245</v>
      </c>
      <c r="N5" s="1329" t="s">
        <v>1573</v>
      </c>
      <c r="O5" s="1328">
        <v>285</v>
      </c>
      <c r="P5" s="1329" t="s">
        <v>569</v>
      </c>
    </row>
    <row r="6" spans="1:16" s="537" customFormat="1" ht="28.8" x14ac:dyDescent="0.3">
      <c r="A6" s="1328">
        <v>6</v>
      </c>
      <c r="B6" s="1329" t="s">
        <v>1540</v>
      </c>
      <c r="C6" s="1330">
        <v>46</v>
      </c>
      <c r="D6" s="1329" t="s">
        <v>1581</v>
      </c>
      <c r="E6" s="1328">
        <v>86</v>
      </c>
      <c r="F6" s="1329" t="s">
        <v>1644</v>
      </c>
      <c r="G6" s="1328">
        <v>126</v>
      </c>
      <c r="H6" s="1329" t="s">
        <v>1558</v>
      </c>
      <c r="I6" s="1328">
        <v>166</v>
      </c>
      <c r="J6" s="1329" t="s">
        <v>1653</v>
      </c>
      <c r="K6" s="1328">
        <v>206</v>
      </c>
      <c r="L6" s="1329" t="s">
        <v>1664</v>
      </c>
      <c r="M6" s="1328">
        <v>246</v>
      </c>
      <c r="N6" s="1329" t="s">
        <v>1665</v>
      </c>
      <c r="O6" s="1328">
        <v>286</v>
      </c>
      <c r="P6" s="1329" t="s">
        <v>571</v>
      </c>
    </row>
    <row r="7" spans="1:16" s="537" customFormat="1" ht="15" customHeight="1" x14ac:dyDescent="0.3">
      <c r="A7" s="1328">
        <v>7</v>
      </c>
      <c r="B7" s="1329" t="s">
        <v>1647</v>
      </c>
      <c r="C7" s="1330">
        <v>47</v>
      </c>
      <c r="D7" s="1329" t="s">
        <v>1583</v>
      </c>
      <c r="E7" s="1328">
        <v>87</v>
      </c>
      <c r="F7" s="1329" t="s">
        <v>446</v>
      </c>
      <c r="G7" s="1328">
        <v>127</v>
      </c>
      <c r="H7" s="1329" t="s">
        <v>1560</v>
      </c>
      <c r="I7" s="1328">
        <v>167</v>
      </c>
      <c r="J7" s="1329" t="s">
        <v>1589</v>
      </c>
      <c r="K7" s="1328">
        <v>207</v>
      </c>
      <c r="L7" s="1329" t="s">
        <v>519</v>
      </c>
      <c r="M7" s="1328">
        <v>247</v>
      </c>
      <c r="N7" s="1329" t="s">
        <v>1669</v>
      </c>
      <c r="O7" s="1328">
        <v>287</v>
      </c>
      <c r="P7" s="1329" t="s">
        <v>573</v>
      </c>
    </row>
    <row r="8" spans="1:16" s="537" customFormat="1" x14ac:dyDescent="0.3">
      <c r="A8" s="1328">
        <v>8</v>
      </c>
      <c r="B8" s="1329" t="s">
        <v>402</v>
      </c>
      <c r="C8" s="1330">
        <v>48</v>
      </c>
      <c r="D8" s="1329" t="s">
        <v>1648</v>
      </c>
      <c r="E8" s="1328">
        <v>88</v>
      </c>
      <c r="F8" s="1329" t="s">
        <v>1619</v>
      </c>
      <c r="G8" s="1328">
        <v>128</v>
      </c>
      <c r="H8" s="1329" t="s">
        <v>1651</v>
      </c>
      <c r="I8" s="1328">
        <v>168</v>
      </c>
      <c r="J8" s="1329" t="s">
        <v>1658</v>
      </c>
      <c r="K8" s="1328">
        <v>208</v>
      </c>
      <c r="L8" s="1329" t="s">
        <v>1673</v>
      </c>
      <c r="M8" s="1328">
        <v>248</v>
      </c>
      <c r="N8" s="1329" t="s">
        <v>1674</v>
      </c>
      <c r="O8" s="1328">
        <v>288</v>
      </c>
      <c r="P8" s="1329" t="s">
        <v>575</v>
      </c>
    </row>
    <row r="9" spans="1:16" s="537" customFormat="1" ht="12" customHeight="1" x14ac:dyDescent="0.3">
      <c r="A9" s="1328">
        <v>9</v>
      </c>
      <c r="B9" s="1329" t="s">
        <v>1650</v>
      </c>
      <c r="C9" s="1330">
        <v>49</v>
      </c>
      <c r="D9" s="1329" t="s">
        <v>1584</v>
      </c>
      <c r="E9" s="1328">
        <v>89</v>
      </c>
      <c r="F9" s="1329" t="s">
        <v>447</v>
      </c>
      <c r="G9" s="1328">
        <v>129</v>
      </c>
      <c r="H9" s="1329" t="s">
        <v>460</v>
      </c>
      <c r="I9" s="1328">
        <v>169</v>
      </c>
      <c r="J9" s="1329" t="s">
        <v>1663</v>
      </c>
      <c r="K9" s="1328">
        <v>209</v>
      </c>
      <c r="L9" s="1329" t="s">
        <v>520</v>
      </c>
      <c r="M9" s="1328">
        <v>249</v>
      </c>
      <c r="N9" s="1329" t="s">
        <v>540</v>
      </c>
      <c r="O9" s="1328">
        <v>289</v>
      </c>
      <c r="P9" s="1329" t="s">
        <v>1681</v>
      </c>
    </row>
    <row r="10" spans="1:16" s="537" customFormat="1" x14ac:dyDescent="0.3">
      <c r="A10" s="1328">
        <v>10</v>
      </c>
      <c r="B10" s="1329" t="s">
        <v>1543</v>
      </c>
      <c r="C10" s="1330">
        <v>50</v>
      </c>
      <c r="D10" s="1329" t="s">
        <v>1585</v>
      </c>
      <c r="E10" s="1328">
        <v>90</v>
      </c>
      <c r="F10" s="1329" t="s">
        <v>1621</v>
      </c>
      <c r="G10" s="1328">
        <v>130</v>
      </c>
      <c r="H10" s="1329" t="s">
        <v>462</v>
      </c>
      <c r="I10" s="1328">
        <v>170</v>
      </c>
      <c r="J10" s="1329" t="s">
        <v>1668</v>
      </c>
      <c r="K10" s="1328">
        <v>210</v>
      </c>
      <c r="L10" s="1329" t="s">
        <v>1676</v>
      </c>
      <c r="M10" s="1328">
        <v>250</v>
      </c>
      <c r="N10" s="1329" t="s">
        <v>542</v>
      </c>
      <c r="O10" s="1328">
        <v>290</v>
      </c>
      <c r="P10" s="1329" t="s">
        <v>1614</v>
      </c>
    </row>
    <row r="11" spans="1:16" s="537" customFormat="1" x14ac:dyDescent="0.3">
      <c r="A11" s="1328">
        <v>11</v>
      </c>
      <c r="B11" s="1329" t="s">
        <v>1654</v>
      </c>
      <c r="C11" s="1330">
        <v>51</v>
      </c>
      <c r="D11" s="1329" t="s">
        <v>1587</v>
      </c>
      <c r="E11" s="1328">
        <v>91</v>
      </c>
      <c r="F11" s="1329" t="s">
        <v>1622</v>
      </c>
      <c r="G11" s="1328">
        <v>131</v>
      </c>
      <c r="H11" s="1329" t="s">
        <v>1657</v>
      </c>
      <c r="I11" s="1328">
        <v>171</v>
      </c>
      <c r="J11" s="1329" t="s">
        <v>1672</v>
      </c>
      <c r="K11" s="1328">
        <v>211</v>
      </c>
      <c r="L11" s="1329" t="s">
        <v>1680</v>
      </c>
      <c r="M11" s="1328">
        <v>251</v>
      </c>
      <c r="N11" s="1329" t="s">
        <v>544</v>
      </c>
      <c r="O11" s="1328">
        <v>291</v>
      </c>
      <c r="P11" s="1329" t="s">
        <v>1688</v>
      </c>
    </row>
    <row r="12" spans="1:16" s="537" customFormat="1" x14ac:dyDescent="0.3">
      <c r="A12" s="1328">
        <v>12</v>
      </c>
      <c r="B12" s="1329" t="s">
        <v>1546</v>
      </c>
      <c r="C12" s="1330">
        <v>52</v>
      </c>
      <c r="D12" s="1329" t="s">
        <v>1588</v>
      </c>
      <c r="E12" s="1328">
        <v>92</v>
      </c>
      <c r="F12" s="1329" t="s">
        <v>1656</v>
      </c>
      <c r="G12" s="1328">
        <v>132</v>
      </c>
      <c r="H12" s="1329" t="s">
        <v>1662</v>
      </c>
      <c r="I12" s="1328">
        <v>172</v>
      </c>
      <c r="J12" s="1329" t="s">
        <v>1675</v>
      </c>
      <c r="K12" s="1328">
        <v>212</v>
      </c>
      <c r="L12" s="1329" t="s">
        <v>1683</v>
      </c>
      <c r="M12" s="1328">
        <v>252</v>
      </c>
      <c r="N12" s="1329" t="s">
        <v>1684</v>
      </c>
      <c r="O12" s="1328">
        <v>292</v>
      </c>
      <c r="P12" s="1329" t="s">
        <v>576</v>
      </c>
    </row>
    <row r="13" spans="1:16" s="537" customFormat="1" x14ac:dyDescent="0.3">
      <c r="A13" s="1328">
        <v>13</v>
      </c>
      <c r="B13" s="1329" t="s">
        <v>1547</v>
      </c>
      <c r="C13" s="1330">
        <v>53</v>
      </c>
      <c r="D13" s="1329" t="s">
        <v>1591</v>
      </c>
      <c r="E13" s="1328">
        <v>93</v>
      </c>
      <c r="F13" s="1329" t="s">
        <v>1661</v>
      </c>
      <c r="G13" s="1328">
        <v>133</v>
      </c>
      <c r="H13" s="1329" t="s">
        <v>1566</v>
      </c>
      <c r="I13" s="1328">
        <v>173</v>
      </c>
      <c r="J13" s="1329" t="s">
        <v>471</v>
      </c>
      <c r="K13" s="1328">
        <v>213</v>
      </c>
      <c r="L13" s="1329" t="s">
        <v>1545</v>
      </c>
      <c r="M13" s="1328">
        <v>253</v>
      </c>
      <c r="N13" s="1329" t="s">
        <v>1687</v>
      </c>
      <c r="O13" s="1328">
        <v>293</v>
      </c>
      <c r="P13" s="1329" t="s">
        <v>1617</v>
      </c>
    </row>
    <row r="14" spans="1:16" s="537" customFormat="1" x14ac:dyDescent="0.3">
      <c r="A14" s="1328">
        <v>14</v>
      </c>
      <c r="B14" s="1329" t="s">
        <v>1549</v>
      </c>
      <c r="C14" s="1330">
        <v>54</v>
      </c>
      <c r="D14" s="1329" t="s">
        <v>1667</v>
      </c>
      <c r="E14" s="1328">
        <v>94</v>
      </c>
      <c r="F14" s="1329" t="s">
        <v>1624</v>
      </c>
      <c r="G14" s="1328">
        <v>134</v>
      </c>
      <c r="H14" s="1329" t="s">
        <v>1568</v>
      </c>
      <c r="I14" s="1328">
        <v>174</v>
      </c>
      <c r="J14" s="1329" t="s">
        <v>473</v>
      </c>
      <c r="K14" s="1328">
        <v>214</v>
      </c>
      <c r="L14" s="1329" t="s">
        <v>1692</v>
      </c>
      <c r="M14" s="1328">
        <v>254</v>
      </c>
      <c r="N14" s="1329" t="s">
        <v>547</v>
      </c>
      <c r="O14" s="1328">
        <v>294</v>
      </c>
      <c r="P14" s="1329" t="s">
        <v>578</v>
      </c>
    </row>
    <row r="15" spans="1:16" s="537" customFormat="1" x14ac:dyDescent="0.3">
      <c r="A15" s="1328">
        <v>15</v>
      </c>
      <c r="B15" s="1329" t="s">
        <v>403</v>
      </c>
      <c r="C15" s="1330">
        <v>55</v>
      </c>
      <c r="D15" s="1329" t="s">
        <v>1670</v>
      </c>
      <c r="E15" s="1328">
        <v>95</v>
      </c>
      <c r="F15" s="1329" t="s">
        <v>1671</v>
      </c>
      <c r="G15" s="1328">
        <v>135</v>
      </c>
      <c r="H15" s="1329" t="s">
        <v>1570</v>
      </c>
      <c r="I15" s="1328">
        <v>175</v>
      </c>
      <c r="J15" s="1329" t="s">
        <v>475</v>
      </c>
      <c r="K15" s="1328">
        <v>215</v>
      </c>
      <c r="L15" s="1329" t="s">
        <v>523</v>
      </c>
      <c r="M15" s="1328">
        <v>255</v>
      </c>
      <c r="N15" s="1329" t="s">
        <v>548</v>
      </c>
      <c r="O15" s="1328">
        <v>295</v>
      </c>
      <c r="P15" s="1329" t="s">
        <v>579</v>
      </c>
    </row>
    <row r="16" spans="1:16" s="537" customFormat="1" x14ac:dyDescent="0.3">
      <c r="A16" s="1328">
        <v>16</v>
      </c>
      <c r="B16" s="1329" t="s">
        <v>1552</v>
      </c>
      <c r="C16" s="1330">
        <v>56</v>
      </c>
      <c r="D16" s="1329" t="s">
        <v>425</v>
      </c>
      <c r="E16" s="1328">
        <v>96</v>
      </c>
      <c r="F16" s="1328" t="s">
        <v>1626</v>
      </c>
      <c r="G16" s="1328">
        <v>136</v>
      </c>
      <c r="H16" s="1329" t="s">
        <v>1679</v>
      </c>
      <c r="I16" s="1328">
        <v>176</v>
      </c>
      <c r="J16" s="1329" t="s">
        <v>477</v>
      </c>
      <c r="K16" s="1328">
        <v>216</v>
      </c>
      <c r="L16" s="1329" t="s">
        <v>1697</v>
      </c>
      <c r="M16" s="1328">
        <v>256</v>
      </c>
      <c r="N16" s="1329" t="s">
        <v>550</v>
      </c>
      <c r="O16" s="1328">
        <v>296</v>
      </c>
      <c r="P16" s="1329" t="s">
        <v>1705</v>
      </c>
    </row>
    <row r="17" spans="1:16" s="537" customFormat="1" x14ac:dyDescent="0.3">
      <c r="A17" s="1328">
        <v>17</v>
      </c>
      <c r="B17" s="1329" t="s">
        <v>1554</v>
      </c>
      <c r="C17" s="1330">
        <v>57</v>
      </c>
      <c r="D17" s="1329" t="s">
        <v>1593</v>
      </c>
      <c r="E17" s="1328">
        <v>97</v>
      </c>
      <c r="F17" s="1329" t="s">
        <v>1533</v>
      </c>
      <c r="G17" s="1328">
        <v>137</v>
      </c>
      <c r="H17" s="1329" t="s">
        <v>1682</v>
      </c>
      <c r="I17" s="1328">
        <v>177</v>
      </c>
      <c r="J17" s="1329" t="s">
        <v>479</v>
      </c>
      <c r="K17" s="1328">
        <v>217</v>
      </c>
      <c r="L17" s="1329" t="s">
        <v>525</v>
      </c>
      <c r="M17" s="1328">
        <v>257</v>
      </c>
      <c r="N17" s="1329" t="s">
        <v>551</v>
      </c>
      <c r="O17" s="1328">
        <v>297</v>
      </c>
      <c r="P17" s="1329" t="s">
        <v>580</v>
      </c>
    </row>
    <row r="18" spans="1:16" s="537" customFormat="1" ht="13.5" customHeight="1" x14ac:dyDescent="0.3">
      <c r="A18" s="1328">
        <v>18</v>
      </c>
      <c r="B18" s="1329" t="s">
        <v>1555</v>
      </c>
      <c r="C18" s="1330">
        <v>58</v>
      </c>
      <c r="D18" s="1329" t="s">
        <v>1677</v>
      </c>
      <c r="E18" s="1328">
        <v>98</v>
      </c>
      <c r="F18" s="1329" t="s">
        <v>1678</v>
      </c>
      <c r="G18" s="1328">
        <v>138</v>
      </c>
      <c r="H18" s="1329" t="s">
        <v>1686</v>
      </c>
      <c r="I18" s="1328">
        <v>178</v>
      </c>
      <c r="J18" s="1331" t="s">
        <v>481</v>
      </c>
      <c r="K18" s="1328">
        <v>218</v>
      </c>
      <c r="L18" s="1329" t="s">
        <v>1704</v>
      </c>
      <c r="M18" s="1328">
        <v>258</v>
      </c>
      <c r="N18" s="1329" t="s">
        <v>553</v>
      </c>
      <c r="O18" s="1328">
        <v>298</v>
      </c>
      <c r="P18" s="1329" t="s">
        <v>1620</v>
      </c>
    </row>
    <row r="19" spans="1:16" s="537" customFormat="1" ht="14.25" customHeight="1" x14ac:dyDescent="0.3">
      <c r="A19" s="1328">
        <v>19</v>
      </c>
      <c r="B19" s="1329" t="s">
        <v>1557</v>
      </c>
      <c r="C19" s="1330">
        <v>59</v>
      </c>
      <c r="D19" s="1329" t="s">
        <v>1594</v>
      </c>
      <c r="E19" s="1328">
        <v>99</v>
      </c>
      <c r="F19" s="1329" t="s">
        <v>1535</v>
      </c>
      <c r="G19" s="1328">
        <v>139</v>
      </c>
      <c r="H19" s="1328" t="s">
        <v>1691</v>
      </c>
      <c r="I19" s="1328">
        <v>179</v>
      </c>
      <c r="J19" s="1329" t="s">
        <v>1696</v>
      </c>
      <c r="K19" s="1328">
        <v>219</v>
      </c>
      <c r="L19" s="1329" t="s">
        <v>1710</v>
      </c>
      <c r="M19" s="1328">
        <v>259</v>
      </c>
      <c r="N19" s="1329" t="s">
        <v>1719</v>
      </c>
      <c r="O19" s="1328">
        <v>299</v>
      </c>
      <c r="P19" s="1329" t="s">
        <v>582</v>
      </c>
    </row>
    <row r="20" spans="1:16" s="537" customFormat="1" x14ac:dyDescent="0.3">
      <c r="A20" s="1328">
        <v>20</v>
      </c>
      <c r="B20" s="1329" t="s">
        <v>1559</v>
      </c>
      <c r="C20" s="1330">
        <v>60</v>
      </c>
      <c r="D20" s="1329" t="s">
        <v>1685</v>
      </c>
      <c r="E20" s="1328">
        <v>100</v>
      </c>
      <c r="F20" s="1329" t="s">
        <v>1537</v>
      </c>
      <c r="G20" s="1328">
        <v>140</v>
      </c>
      <c r="H20" s="1329" t="s">
        <v>1693</v>
      </c>
      <c r="I20" s="1328">
        <v>180</v>
      </c>
      <c r="J20" s="1329" t="s">
        <v>1701</v>
      </c>
      <c r="K20" s="1328">
        <v>220</v>
      </c>
      <c r="L20" s="1329" t="s">
        <v>1714</v>
      </c>
      <c r="M20" s="1328">
        <v>260</v>
      </c>
      <c r="N20" s="1329" t="s">
        <v>1724</v>
      </c>
      <c r="O20" s="1328">
        <v>300</v>
      </c>
      <c r="P20" s="1329" t="s">
        <v>1623</v>
      </c>
    </row>
    <row r="21" spans="1:16" s="537" customFormat="1" x14ac:dyDescent="0.3">
      <c r="A21" s="1328">
        <v>21</v>
      </c>
      <c r="B21" s="1329" t="s">
        <v>1689</v>
      </c>
      <c r="C21" s="1330">
        <v>61</v>
      </c>
      <c r="D21" s="1329" t="s">
        <v>1595</v>
      </c>
      <c r="E21" s="1328">
        <v>101</v>
      </c>
      <c r="F21" s="1329" t="s">
        <v>1690</v>
      </c>
      <c r="G21" s="1328">
        <v>141</v>
      </c>
      <c r="H21" s="1329" t="s">
        <v>1695</v>
      </c>
      <c r="I21" s="1328">
        <v>181</v>
      </c>
      <c r="J21" s="1329" t="s">
        <v>1703</v>
      </c>
      <c r="K21" s="1328">
        <v>221</v>
      </c>
      <c r="L21" s="1329" t="s">
        <v>1718</v>
      </c>
      <c r="M21" s="1328">
        <v>261</v>
      </c>
      <c r="N21" s="1329" t="s">
        <v>1590</v>
      </c>
      <c r="O21" s="1328">
        <v>301</v>
      </c>
      <c r="P21" s="1329" t="s">
        <v>1730</v>
      </c>
    </row>
    <row r="22" spans="1:16" s="537" customFormat="1" x14ac:dyDescent="0.3">
      <c r="A22" s="1328">
        <v>22</v>
      </c>
      <c r="B22" s="1329" t="s">
        <v>1562</v>
      </c>
      <c r="C22" s="1330">
        <v>62</v>
      </c>
      <c r="D22" s="1329" t="s">
        <v>1597</v>
      </c>
      <c r="E22" s="1328">
        <v>102</v>
      </c>
      <c r="F22" s="1329" t="s">
        <v>1539</v>
      </c>
      <c r="G22" s="1328">
        <v>142</v>
      </c>
      <c r="H22" s="1329" t="s">
        <v>1700</v>
      </c>
      <c r="I22" s="1328">
        <v>182</v>
      </c>
      <c r="J22" s="1329" t="s">
        <v>483</v>
      </c>
      <c r="K22" s="1328">
        <v>222</v>
      </c>
      <c r="L22" s="1331" t="s">
        <v>1723</v>
      </c>
      <c r="M22" s="1328">
        <v>262</v>
      </c>
      <c r="N22" s="1329" t="s">
        <v>554</v>
      </c>
      <c r="O22" s="1328">
        <v>302</v>
      </c>
      <c r="P22" s="1329" t="s">
        <v>1625</v>
      </c>
    </row>
    <row r="23" spans="1:16" s="537" customFormat="1" x14ac:dyDescent="0.3">
      <c r="A23" s="1328">
        <v>23</v>
      </c>
      <c r="B23" s="1329" t="s">
        <v>1694</v>
      </c>
      <c r="C23" s="1330">
        <v>63</v>
      </c>
      <c r="D23" s="1329" t="s">
        <v>1599</v>
      </c>
      <c r="E23" s="1328">
        <v>103</v>
      </c>
      <c r="F23" s="1329" t="s">
        <v>1541</v>
      </c>
      <c r="G23" s="1328">
        <v>143</v>
      </c>
      <c r="H23" s="1329" t="s">
        <v>463</v>
      </c>
      <c r="I23" s="1328">
        <v>183</v>
      </c>
      <c r="J23" s="1329" t="s">
        <v>1713</v>
      </c>
      <c r="K23" s="1328">
        <v>223</v>
      </c>
      <c r="L23" s="1329" t="s">
        <v>1729</v>
      </c>
      <c r="M23" s="1328">
        <v>263</v>
      </c>
      <c r="N23" s="1329" t="s">
        <v>1734</v>
      </c>
      <c r="O23" s="1328">
        <v>303</v>
      </c>
      <c r="P23" s="1329" t="s">
        <v>1735</v>
      </c>
    </row>
    <row r="24" spans="1:16" s="537" customFormat="1" x14ac:dyDescent="0.3">
      <c r="A24" s="1328">
        <v>24</v>
      </c>
      <c r="B24" s="1329" t="s">
        <v>1698</v>
      </c>
      <c r="C24" s="1330">
        <v>64</v>
      </c>
      <c r="D24" s="1329" t="s">
        <v>1600</v>
      </c>
      <c r="E24" s="1328">
        <v>104</v>
      </c>
      <c r="F24" s="1329" t="s">
        <v>1699</v>
      </c>
      <c r="G24" s="1328">
        <v>144</v>
      </c>
      <c r="H24" s="1329" t="s">
        <v>1709</v>
      </c>
      <c r="I24" s="1328">
        <v>184</v>
      </c>
      <c r="J24" s="1329" t="s">
        <v>485</v>
      </c>
      <c r="K24" s="1328">
        <v>224</v>
      </c>
      <c r="L24" s="1329" t="s">
        <v>1731</v>
      </c>
      <c r="M24" s="1328">
        <v>264</v>
      </c>
      <c r="N24" s="1329" t="s">
        <v>1592</v>
      </c>
      <c r="O24" s="1328">
        <v>304</v>
      </c>
      <c r="P24" s="1329" t="s">
        <v>1627</v>
      </c>
    </row>
    <row r="25" spans="1:16" s="537" customFormat="1" x14ac:dyDescent="0.35">
      <c r="A25" s="1328">
        <v>25</v>
      </c>
      <c r="B25" s="1329" t="s">
        <v>1702</v>
      </c>
      <c r="C25" s="1330">
        <v>65</v>
      </c>
      <c r="D25" s="1329" t="s">
        <v>1601</v>
      </c>
      <c r="E25" s="1328">
        <v>105</v>
      </c>
      <c r="F25" s="1329" t="s">
        <v>1542</v>
      </c>
      <c r="G25" s="1328">
        <v>145</v>
      </c>
      <c r="H25" s="1329" t="s">
        <v>1712</v>
      </c>
      <c r="I25" s="1328">
        <v>185</v>
      </c>
      <c r="J25" s="1329" t="s">
        <v>1602</v>
      </c>
      <c r="K25" s="1328">
        <v>225</v>
      </c>
      <c r="L25" s="1329" t="s">
        <v>526</v>
      </c>
      <c r="M25" s="1328">
        <v>265</v>
      </c>
      <c r="N25" s="1329" t="s">
        <v>556</v>
      </c>
      <c r="O25" s="1332"/>
      <c r="P25" s="1333"/>
    </row>
    <row r="26" spans="1:16" s="537" customFormat="1" x14ac:dyDescent="0.35">
      <c r="A26" s="1328">
        <v>26</v>
      </c>
      <c r="B26" s="1329" t="s">
        <v>1706</v>
      </c>
      <c r="C26" s="1330">
        <v>66</v>
      </c>
      <c r="D26" s="1329" t="s">
        <v>1707</v>
      </c>
      <c r="E26" s="1328">
        <v>106</v>
      </c>
      <c r="F26" s="1329" t="s">
        <v>1708</v>
      </c>
      <c r="G26" s="1328">
        <v>146</v>
      </c>
      <c r="H26" s="1329" t="s">
        <v>1717</v>
      </c>
      <c r="I26" s="1328">
        <v>186</v>
      </c>
      <c r="J26" s="1329" t="s">
        <v>1604</v>
      </c>
      <c r="K26" s="1328">
        <v>226</v>
      </c>
      <c r="L26" s="1329" t="s">
        <v>1737</v>
      </c>
      <c r="M26" s="1328">
        <v>266</v>
      </c>
      <c r="N26" s="1329" t="s">
        <v>1744</v>
      </c>
      <c r="O26" s="1332"/>
      <c r="P26" s="1333"/>
    </row>
    <row r="27" spans="1:16" s="537" customFormat="1" x14ac:dyDescent="0.35">
      <c r="A27" s="1328">
        <v>27</v>
      </c>
      <c r="B27" s="1329" t="s">
        <v>1564</v>
      </c>
      <c r="C27" s="1330">
        <v>67</v>
      </c>
      <c r="D27" s="1329" t="s">
        <v>1603</v>
      </c>
      <c r="E27" s="1328">
        <v>107</v>
      </c>
      <c r="F27" s="1329" t="s">
        <v>1711</v>
      </c>
      <c r="G27" s="1328">
        <v>147</v>
      </c>
      <c r="H27" s="1329" t="s">
        <v>1728</v>
      </c>
      <c r="I27" s="1328">
        <v>187</v>
      </c>
      <c r="J27" s="1329" t="s">
        <v>1607</v>
      </c>
      <c r="K27" s="1328">
        <v>227</v>
      </c>
      <c r="L27" s="1329" t="s">
        <v>1741</v>
      </c>
      <c r="M27" s="1328">
        <v>267</v>
      </c>
      <c r="N27" s="1329" t="s">
        <v>558</v>
      </c>
      <c r="O27" s="1332"/>
      <c r="P27" s="1333"/>
    </row>
    <row r="28" spans="1:16" s="537" customFormat="1" x14ac:dyDescent="0.35">
      <c r="A28" s="1328">
        <v>28</v>
      </c>
      <c r="B28" s="1329" t="s">
        <v>1565</v>
      </c>
      <c r="C28" s="1330">
        <v>68</v>
      </c>
      <c r="D28" s="1329" t="s">
        <v>1715</v>
      </c>
      <c r="E28" s="1328">
        <v>108</v>
      </c>
      <c r="F28" s="1329" t="s">
        <v>1716</v>
      </c>
      <c r="G28" s="1328">
        <v>148</v>
      </c>
      <c r="H28" s="1329" t="s">
        <v>465</v>
      </c>
      <c r="I28" s="1328">
        <v>188</v>
      </c>
      <c r="J28" s="1329" t="s">
        <v>487</v>
      </c>
      <c r="K28" s="1328">
        <v>228</v>
      </c>
      <c r="L28" s="1329" t="s">
        <v>527</v>
      </c>
      <c r="M28" s="1328">
        <v>268</v>
      </c>
      <c r="N28" s="1329" t="s">
        <v>1596</v>
      </c>
      <c r="O28" s="1332"/>
      <c r="P28" s="1333"/>
    </row>
    <row r="29" spans="1:16" s="537" customFormat="1" x14ac:dyDescent="0.35">
      <c r="A29" s="1328">
        <v>29</v>
      </c>
      <c r="B29" s="1329" t="s">
        <v>1720</v>
      </c>
      <c r="C29" s="1330">
        <v>69</v>
      </c>
      <c r="D29" s="1329" t="s">
        <v>1721</v>
      </c>
      <c r="E29" s="1328">
        <v>109</v>
      </c>
      <c r="F29" s="1329" t="s">
        <v>1722</v>
      </c>
      <c r="G29" s="1328">
        <v>149</v>
      </c>
      <c r="H29" s="1329" t="s">
        <v>466</v>
      </c>
      <c r="I29" s="1328">
        <v>189</v>
      </c>
      <c r="J29" s="1329" t="s">
        <v>489</v>
      </c>
      <c r="K29" s="1328">
        <v>229</v>
      </c>
      <c r="L29" s="1329" t="s">
        <v>528</v>
      </c>
      <c r="M29" s="1328">
        <v>269</v>
      </c>
      <c r="N29" s="1329" t="s">
        <v>1751</v>
      </c>
      <c r="O29" s="1332"/>
      <c r="P29" s="1333"/>
    </row>
    <row r="30" spans="1:16" s="537" customFormat="1" x14ac:dyDescent="0.35">
      <c r="A30" s="1328">
        <v>30</v>
      </c>
      <c r="B30" s="1329" t="s">
        <v>1725</v>
      </c>
      <c r="C30" s="1330">
        <v>70</v>
      </c>
      <c r="D30" s="1329" t="s">
        <v>1726</v>
      </c>
      <c r="E30" s="1328">
        <v>110</v>
      </c>
      <c r="F30" s="1329" t="s">
        <v>1727</v>
      </c>
      <c r="G30" s="1328">
        <v>150</v>
      </c>
      <c r="H30" s="1329" t="s">
        <v>1577</v>
      </c>
      <c r="I30" s="1328">
        <v>190</v>
      </c>
      <c r="J30" s="1329" t="s">
        <v>1610</v>
      </c>
      <c r="K30" s="1328">
        <v>230</v>
      </c>
      <c r="L30" s="1329" t="s">
        <v>529</v>
      </c>
      <c r="M30" s="1328">
        <v>270</v>
      </c>
      <c r="N30" s="1329" t="s">
        <v>1754</v>
      </c>
      <c r="O30" s="1332"/>
      <c r="P30" s="1333"/>
    </row>
    <row r="31" spans="1:16" s="537" customFormat="1" x14ac:dyDescent="0.35">
      <c r="A31" s="1328">
        <v>31</v>
      </c>
      <c r="B31" s="1329" t="s">
        <v>1567</v>
      </c>
      <c r="C31" s="1330">
        <v>71</v>
      </c>
      <c r="D31" s="1329" t="s">
        <v>1606</v>
      </c>
      <c r="E31" s="1328">
        <v>111</v>
      </c>
      <c r="F31" s="1329" t="s">
        <v>1544</v>
      </c>
      <c r="G31" s="1328">
        <v>151</v>
      </c>
      <c r="H31" s="1329" t="s">
        <v>1740</v>
      </c>
      <c r="I31" s="1328">
        <v>191</v>
      </c>
      <c r="J31" s="1329" t="s">
        <v>1613</v>
      </c>
      <c r="K31" s="1328">
        <v>231</v>
      </c>
      <c r="L31" s="1329" t="s">
        <v>1556</v>
      </c>
      <c r="M31" s="1328">
        <v>271</v>
      </c>
      <c r="N31" s="1329" t="s">
        <v>1759</v>
      </c>
      <c r="O31" s="1332"/>
      <c r="P31" s="1333"/>
    </row>
    <row r="32" spans="1:16" s="537" customFormat="1" x14ac:dyDescent="0.35">
      <c r="A32" s="1328">
        <v>32</v>
      </c>
      <c r="B32" s="1329" t="s">
        <v>1732</v>
      </c>
      <c r="C32" s="1330">
        <v>72</v>
      </c>
      <c r="D32" s="1329" t="s">
        <v>437</v>
      </c>
      <c r="E32" s="1328">
        <v>112</v>
      </c>
      <c r="F32" s="1329" t="s">
        <v>1733</v>
      </c>
      <c r="G32" s="1328">
        <v>152</v>
      </c>
      <c r="H32" s="1329" t="s">
        <v>1743</v>
      </c>
      <c r="I32" s="1328">
        <v>192</v>
      </c>
      <c r="J32" s="1329" t="s">
        <v>1748</v>
      </c>
      <c r="K32" s="1328">
        <v>232</v>
      </c>
      <c r="L32" s="1329" t="s">
        <v>1753</v>
      </c>
      <c r="M32" s="1328">
        <v>272</v>
      </c>
      <c r="N32" s="1329" t="s">
        <v>1633</v>
      </c>
      <c r="O32" s="1332"/>
      <c r="P32" s="1333"/>
    </row>
    <row r="33" spans="1:16" s="537" customFormat="1" x14ac:dyDescent="0.35">
      <c r="A33" s="1328">
        <v>33</v>
      </c>
      <c r="B33" s="1329" t="s">
        <v>1736</v>
      </c>
      <c r="C33" s="1330">
        <v>73</v>
      </c>
      <c r="D33" s="1329" t="s">
        <v>1608</v>
      </c>
      <c r="E33" s="1328">
        <v>113</v>
      </c>
      <c r="F33" s="1329" t="s">
        <v>1739</v>
      </c>
      <c r="G33" s="1328">
        <v>153</v>
      </c>
      <c r="H33" s="1329" t="s">
        <v>1746</v>
      </c>
      <c r="I33" s="1328">
        <v>193</v>
      </c>
      <c r="J33" s="1329" t="s">
        <v>491</v>
      </c>
      <c r="K33" s="1328">
        <v>233</v>
      </c>
      <c r="L33" s="1329" t="s">
        <v>1758</v>
      </c>
      <c r="M33" s="1328">
        <v>273</v>
      </c>
      <c r="N33" s="1329" t="s">
        <v>1598</v>
      </c>
      <c r="O33" s="1332"/>
      <c r="P33" s="1333"/>
    </row>
    <row r="34" spans="1:16" s="537" customFormat="1" x14ac:dyDescent="0.3">
      <c r="A34" s="1328">
        <v>34</v>
      </c>
      <c r="B34" s="1329" t="s">
        <v>1738</v>
      </c>
      <c r="C34" s="1330">
        <v>74</v>
      </c>
      <c r="D34" s="1329" t="s">
        <v>1609</v>
      </c>
      <c r="E34" s="1328">
        <v>114</v>
      </c>
      <c r="F34" s="1329" t="s">
        <v>1548</v>
      </c>
      <c r="G34" s="1328">
        <v>154</v>
      </c>
      <c r="H34" s="1329" t="s">
        <v>1579</v>
      </c>
      <c r="I34" s="1328">
        <v>194</v>
      </c>
      <c r="J34" s="1329" t="s">
        <v>493</v>
      </c>
      <c r="K34" s="1328">
        <v>234</v>
      </c>
      <c r="L34" s="1329" t="s">
        <v>1632</v>
      </c>
      <c r="M34" s="1328">
        <v>274</v>
      </c>
      <c r="N34" s="1329" t="s">
        <v>1639</v>
      </c>
      <c r="O34" s="1332"/>
      <c r="P34" s="1332"/>
    </row>
    <row r="35" spans="1:16" s="537" customFormat="1" x14ac:dyDescent="0.3">
      <c r="A35" s="1328">
        <v>35</v>
      </c>
      <c r="B35" s="1329" t="s">
        <v>1569</v>
      </c>
      <c r="C35" s="1330">
        <v>75</v>
      </c>
      <c r="D35" s="1329" t="s">
        <v>1742</v>
      </c>
      <c r="E35" s="1328">
        <v>115</v>
      </c>
      <c r="F35" s="1329" t="s">
        <v>455</v>
      </c>
      <c r="G35" s="1328">
        <v>155</v>
      </c>
      <c r="H35" s="1329" t="s">
        <v>1750</v>
      </c>
      <c r="I35" s="1328">
        <v>195</v>
      </c>
      <c r="J35" s="1329" t="s">
        <v>495</v>
      </c>
      <c r="K35" s="1328">
        <v>235</v>
      </c>
      <c r="L35" s="1329" t="s">
        <v>531</v>
      </c>
      <c r="M35" s="1328">
        <v>275</v>
      </c>
      <c r="N35" s="1329" t="s">
        <v>1641</v>
      </c>
      <c r="O35" s="1332"/>
      <c r="P35" s="1332"/>
    </row>
    <row r="36" spans="1:16" s="537" customFormat="1" x14ac:dyDescent="0.3">
      <c r="A36" s="1328">
        <v>36</v>
      </c>
      <c r="B36" s="1329" t="s">
        <v>1571</v>
      </c>
      <c r="C36" s="1330">
        <v>76</v>
      </c>
      <c r="D36" s="1329" t="s">
        <v>1745</v>
      </c>
      <c r="E36" s="1328">
        <v>116</v>
      </c>
      <c r="F36" s="1329" t="s">
        <v>1747</v>
      </c>
      <c r="G36" s="1328">
        <v>156</v>
      </c>
      <c r="H36" s="1329" t="s">
        <v>1752</v>
      </c>
      <c r="I36" s="1328">
        <v>196</v>
      </c>
      <c r="J36" s="1329" t="s">
        <v>499</v>
      </c>
      <c r="K36" s="1328">
        <v>236</v>
      </c>
      <c r="L36" s="1329" t="s">
        <v>1563</v>
      </c>
      <c r="M36" s="1328">
        <v>276</v>
      </c>
      <c r="N36" s="1329" t="s">
        <v>1643</v>
      </c>
      <c r="O36" s="1332"/>
      <c r="P36" s="1332"/>
    </row>
    <row r="37" spans="1:16" s="537" customFormat="1" x14ac:dyDescent="0.3">
      <c r="A37" s="1328">
        <v>37</v>
      </c>
      <c r="B37" s="1329" t="s">
        <v>1572</v>
      </c>
      <c r="C37" s="1330">
        <v>77</v>
      </c>
      <c r="D37" s="1329" t="s">
        <v>1611</v>
      </c>
      <c r="E37" s="1328">
        <v>117</v>
      </c>
      <c r="F37" s="1329" t="s">
        <v>1550</v>
      </c>
      <c r="G37" s="1328">
        <v>157</v>
      </c>
      <c r="H37" s="1329" t="s">
        <v>1631</v>
      </c>
      <c r="I37" s="1328">
        <v>197</v>
      </c>
      <c r="J37" s="1329" t="s">
        <v>501</v>
      </c>
      <c r="K37" s="1328">
        <v>237</v>
      </c>
      <c r="L37" s="1329" t="s">
        <v>1561</v>
      </c>
      <c r="M37" s="1328">
        <v>277</v>
      </c>
      <c r="N37" s="1329" t="s">
        <v>562</v>
      </c>
      <c r="O37" s="1332"/>
      <c r="P37" s="1332"/>
    </row>
    <row r="38" spans="1:16" s="537" customFormat="1" x14ac:dyDescent="0.3">
      <c r="A38" s="1328">
        <v>38</v>
      </c>
      <c r="B38" s="1329" t="s">
        <v>1574</v>
      </c>
      <c r="C38" s="1330">
        <v>78</v>
      </c>
      <c r="D38" s="1329" t="s">
        <v>1749</v>
      </c>
      <c r="E38" s="1328">
        <v>118</v>
      </c>
      <c r="F38" s="1329" t="s">
        <v>1551</v>
      </c>
      <c r="G38" s="1328">
        <v>158</v>
      </c>
      <c r="H38" s="1329" t="s">
        <v>1580</v>
      </c>
      <c r="I38" s="1328">
        <v>198</v>
      </c>
      <c r="J38" s="1329" t="s">
        <v>503</v>
      </c>
      <c r="K38" s="1328">
        <v>238</v>
      </c>
      <c r="L38" s="1329" t="s">
        <v>532</v>
      </c>
      <c r="M38" s="1328">
        <v>278</v>
      </c>
      <c r="N38" s="1329" t="s">
        <v>563</v>
      </c>
      <c r="O38" s="1332"/>
      <c r="P38" s="1332"/>
    </row>
    <row r="39" spans="1:16" s="537" customFormat="1" x14ac:dyDescent="0.3">
      <c r="A39" s="1328">
        <v>39</v>
      </c>
      <c r="B39" s="1329" t="s">
        <v>1575</v>
      </c>
      <c r="C39" s="1330">
        <v>79</v>
      </c>
      <c r="D39" s="1329" t="s">
        <v>1612</v>
      </c>
      <c r="E39" s="1328">
        <v>119</v>
      </c>
      <c r="F39" s="1329" t="s">
        <v>1757</v>
      </c>
      <c r="G39" s="1328">
        <v>159</v>
      </c>
      <c r="H39" s="1329" t="s">
        <v>1582</v>
      </c>
      <c r="I39" s="1328">
        <v>199</v>
      </c>
      <c r="J39" s="1329" t="s">
        <v>505</v>
      </c>
      <c r="K39" s="1328">
        <v>239</v>
      </c>
      <c r="L39" s="1329" t="s">
        <v>1646</v>
      </c>
      <c r="M39" s="1328">
        <v>279</v>
      </c>
      <c r="N39" s="1329" t="s">
        <v>565</v>
      </c>
      <c r="O39" s="1332"/>
      <c r="P39" s="1332"/>
    </row>
    <row r="40" spans="1:16" s="537" customFormat="1" x14ac:dyDescent="0.3">
      <c r="A40" s="1328">
        <v>40</v>
      </c>
      <c r="B40" s="1329" t="s">
        <v>1755</v>
      </c>
      <c r="C40" s="1330">
        <v>80</v>
      </c>
      <c r="D40" s="1329" t="s">
        <v>1756</v>
      </c>
      <c r="E40" s="1328">
        <v>120</v>
      </c>
      <c r="F40" s="1329" t="s">
        <v>1553</v>
      </c>
      <c r="G40" s="1328">
        <v>160</v>
      </c>
      <c r="H40" s="1329" t="s">
        <v>1640</v>
      </c>
      <c r="I40" s="1328">
        <v>200</v>
      </c>
      <c r="J40" s="1329" t="s">
        <v>507</v>
      </c>
      <c r="K40" s="1328">
        <v>240</v>
      </c>
      <c r="L40" s="1329" t="s">
        <v>533</v>
      </c>
      <c r="M40" s="1328">
        <v>280</v>
      </c>
      <c r="N40" s="1329" t="s">
        <v>1605</v>
      </c>
      <c r="O40" s="1332"/>
      <c r="P40" s="1332"/>
    </row>
    <row r="41" spans="1:16" s="537" customFormat="1" x14ac:dyDescent="0.3">
      <c r="A41" s="1332"/>
      <c r="B41" s="1332"/>
      <c r="C41" s="1334"/>
      <c r="D41" s="1332"/>
      <c r="E41" s="1332"/>
      <c r="F41" s="1332"/>
      <c r="G41" s="1332"/>
      <c r="H41" s="1332"/>
      <c r="I41" s="1332"/>
      <c r="J41" s="1332"/>
      <c r="K41" s="1332"/>
      <c r="L41" s="1332"/>
      <c r="M41" s="1332"/>
      <c r="N41" s="1332"/>
      <c r="O41" s="1332"/>
      <c r="P41" s="1332"/>
    </row>
    <row r="42" spans="1:16" s="537" customFormat="1" x14ac:dyDescent="0.3">
      <c r="A42" s="1332"/>
      <c r="B42" s="1332"/>
      <c r="C42" s="1334"/>
      <c r="D42" s="1332"/>
      <c r="E42" s="1332"/>
      <c r="F42" s="1332"/>
      <c r="G42" s="1332"/>
      <c r="H42" s="1332"/>
      <c r="I42" s="1332"/>
      <c r="J42" s="1332"/>
      <c r="K42" s="1332"/>
      <c r="L42" s="1332"/>
      <c r="M42" s="1332"/>
      <c r="N42" s="1332"/>
      <c r="O42" s="1332"/>
      <c r="P42" s="1332"/>
    </row>
    <row r="43" spans="1:16" s="537" customFormat="1" x14ac:dyDescent="0.3">
      <c r="A43" s="1332"/>
      <c r="B43" s="1332"/>
      <c r="C43" s="1334"/>
      <c r="D43" s="1332"/>
      <c r="E43" s="1332"/>
      <c r="F43" s="1332"/>
      <c r="G43" s="1332"/>
      <c r="H43" s="1332"/>
      <c r="I43" s="1332"/>
      <c r="J43" s="1332"/>
      <c r="K43" s="1332"/>
      <c r="L43" s="1332"/>
      <c r="M43" s="1332"/>
      <c r="N43" s="1332"/>
      <c r="O43" s="1332"/>
      <c r="P43" s="1332"/>
    </row>
    <row r="44" spans="1:16" s="537" customFormat="1" x14ac:dyDescent="0.3">
      <c r="A44" s="1332"/>
      <c r="B44" s="1332"/>
      <c r="C44" s="1334"/>
      <c r="D44" s="1332"/>
      <c r="E44" s="1332"/>
      <c r="F44" s="1332"/>
      <c r="G44" s="1332"/>
      <c r="H44" s="1332"/>
      <c r="I44" s="1332"/>
      <c r="J44" s="1332"/>
      <c r="K44" s="1332"/>
      <c r="L44" s="1332"/>
      <c r="M44" s="1332"/>
      <c r="N44" s="1332"/>
      <c r="O44" s="1332"/>
      <c r="P44" s="1332"/>
    </row>
    <row r="45" spans="1:16" s="537" customFormat="1" x14ac:dyDescent="0.3">
      <c r="A45" s="1332"/>
      <c r="B45" s="1332"/>
      <c r="C45" s="1334"/>
      <c r="D45" s="1332"/>
      <c r="E45" s="1332"/>
      <c r="F45" s="1332"/>
      <c r="G45" s="1332"/>
      <c r="H45" s="1332"/>
      <c r="I45" s="1332"/>
      <c r="J45" s="1332"/>
      <c r="K45" s="1332"/>
      <c r="L45" s="1332"/>
      <c r="M45" s="1332"/>
      <c r="N45" s="1332"/>
      <c r="O45" s="1332"/>
      <c r="P45" s="1332"/>
    </row>
    <row r="46" spans="1:16" s="537" customFormat="1" x14ac:dyDescent="0.3">
      <c r="A46" s="1332"/>
      <c r="B46" s="1332"/>
      <c r="C46" s="1334"/>
      <c r="D46" s="1332"/>
      <c r="E46" s="1332"/>
      <c r="F46" s="1332"/>
      <c r="G46" s="1332"/>
      <c r="H46" s="1332"/>
      <c r="I46" s="1332"/>
      <c r="J46" s="1332"/>
      <c r="K46" s="1332"/>
      <c r="L46" s="1332"/>
      <c r="M46" s="1332"/>
      <c r="N46" s="1332"/>
      <c r="O46" s="1332"/>
      <c r="P46" s="1332"/>
    </row>
    <row r="47" spans="1:16" s="537" customFormat="1" x14ac:dyDescent="0.3">
      <c r="A47" s="1332"/>
      <c r="B47" s="1332"/>
      <c r="C47" s="1334"/>
      <c r="D47" s="1332"/>
      <c r="E47" s="1332"/>
      <c r="F47" s="1332"/>
      <c r="G47" s="1332"/>
      <c r="H47" s="1332"/>
      <c r="I47" s="1332"/>
      <c r="J47" s="1332"/>
      <c r="K47" s="1332"/>
      <c r="L47" s="1332"/>
      <c r="M47" s="1332"/>
      <c r="N47" s="1332"/>
      <c r="O47" s="1332"/>
      <c r="P47" s="1332"/>
    </row>
    <row r="48" spans="1:16" s="537" customFormat="1" x14ac:dyDescent="0.3">
      <c r="A48" s="1332"/>
      <c r="B48" s="1332"/>
      <c r="C48" s="1334"/>
      <c r="D48" s="1332"/>
      <c r="E48" s="1332"/>
      <c r="F48" s="1332"/>
      <c r="G48" s="1332"/>
      <c r="H48" s="1332"/>
      <c r="I48" s="1332"/>
      <c r="J48" s="1332"/>
      <c r="K48" s="1332"/>
      <c r="L48" s="1332"/>
      <c r="M48" s="1332"/>
      <c r="N48" s="1332"/>
      <c r="O48" s="1332"/>
      <c r="P48" s="1332"/>
    </row>
    <row r="49" spans="1:16" s="537" customFormat="1" x14ac:dyDescent="0.3">
      <c r="A49" s="1332"/>
      <c r="B49" s="1332"/>
      <c r="C49" s="1334"/>
      <c r="D49" s="1332"/>
      <c r="E49" s="1332"/>
      <c r="F49" s="1332"/>
      <c r="G49" s="1332"/>
      <c r="H49" s="1332"/>
      <c r="I49" s="1332"/>
      <c r="J49" s="1332"/>
      <c r="K49" s="1332"/>
      <c r="L49" s="1332"/>
      <c r="M49" s="1332"/>
      <c r="N49" s="1332"/>
      <c r="O49" s="1332"/>
      <c r="P49" s="1332"/>
    </row>
    <row r="50" spans="1:16" s="537" customFormat="1" x14ac:dyDescent="0.3">
      <c r="A50" s="1332"/>
      <c r="B50" s="1332"/>
      <c r="C50" s="1334"/>
      <c r="D50" s="1332"/>
      <c r="E50" s="1332"/>
      <c r="F50" s="1332"/>
      <c r="G50" s="1332"/>
      <c r="H50" s="1332"/>
      <c r="I50" s="1332"/>
      <c r="J50" s="1332"/>
      <c r="K50" s="1332"/>
      <c r="L50" s="1332"/>
      <c r="M50" s="1332"/>
      <c r="N50" s="1332"/>
      <c r="O50" s="1332"/>
      <c r="P50" s="1332"/>
    </row>
    <row r="51" spans="1:16" s="537" customFormat="1" x14ac:dyDescent="0.3">
      <c r="A51" s="1332"/>
      <c r="B51" s="1332"/>
      <c r="C51" s="1334"/>
      <c r="D51" s="1332"/>
      <c r="E51" s="1332"/>
      <c r="F51" s="1332"/>
      <c r="G51" s="1332"/>
      <c r="H51" s="1332"/>
      <c r="I51" s="1332"/>
      <c r="J51" s="1332"/>
      <c r="K51" s="1332"/>
      <c r="L51" s="1332"/>
      <c r="M51" s="1332"/>
      <c r="N51" s="1332"/>
      <c r="O51" s="1332"/>
      <c r="P51" s="1332"/>
    </row>
    <row r="52" spans="1:16" s="537" customFormat="1" x14ac:dyDescent="0.3">
      <c r="A52" s="1332"/>
      <c r="B52" s="1332"/>
      <c r="C52" s="1334"/>
      <c r="D52" s="1332"/>
      <c r="E52" s="1332"/>
      <c r="F52" s="1332"/>
      <c r="G52" s="1332"/>
      <c r="H52" s="1332"/>
      <c r="I52" s="1332"/>
      <c r="J52" s="1332"/>
      <c r="K52" s="1332"/>
      <c r="L52" s="1332"/>
      <c r="M52" s="1332"/>
      <c r="N52" s="1332"/>
      <c r="O52" s="1332"/>
      <c r="P52" s="1332"/>
    </row>
    <row r="53" spans="1:16" s="537" customFormat="1" x14ac:dyDescent="0.3">
      <c r="A53" s="1332"/>
      <c r="B53" s="1332"/>
      <c r="C53" s="1334"/>
      <c r="D53" s="1332"/>
      <c r="E53" s="1332"/>
      <c r="F53" s="1332"/>
      <c r="G53" s="1332"/>
      <c r="H53" s="1332"/>
      <c r="I53" s="1332"/>
      <c r="J53" s="1332"/>
      <c r="K53" s="1332"/>
      <c r="L53" s="1332"/>
      <c r="M53" s="1332"/>
      <c r="N53" s="1332"/>
      <c r="O53" s="1332"/>
      <c r="P53" s="1332"/>
    </row>
    <row r="54" spans="1:16" s="537" customFormat="1" x14ac:dyDescent="0.3">
      <c r="A54" s="1332"/>
      <c r="B54" s="1332"/>
      <c r="C54" s="1334"/>
      <c r="D54" s="1332"/>
      <c r="E54" s="1332"/>
      <c r="F54" s="1332"/>
      <c r="G54" s="1332"/>
      <c r="H54" s="1332"/>
      <c r="I54" s="1332"/>
      <c r="J54" s="1332"/>
      <c r="K54" s="1332"/>
      <c r="L54" s="1332"/>
      <c r="M54" s="1332"/>
      <c r="N54" s="1332"/>
      <c r="O54" s="1332"/>
      <c r="P54" s="1332"/>
    </row>
    <row r="55" spans="1:16" s="537" customFormat="1" x14ac:dyDescent="0.3">
      <c r="A55" s="1332"/>
      <c r="B55" s="1332"/>
      <c r="C55" s="1334"/>
      <c r="D55" s="1332"/>
      <c r="E55" s="1332"/>
      <c r="F55" s="1332"/>
      <c r="G55" s="1332"/>
      <c r="H55" s="1332"/>
      <c r="I55" s="1332"/>
      <c r="J55" s="1332"/>
      <c r="K55" s="1332"/>
      <c r="L55" s="1332"/>
      <c r="M55" s="1332"/>
      <c r="N55" s="1332"/>
      <c r="O55" s="1332"/>
      <c r="P55" s="1332"/>
    </row>
    <row r="56" spans="1:16" s="537" customFormat="1" x14ac:dyDescent="0.3">
      <c r="A56" s="1332"/>
      <c r="B56" s="1332"/>
      <c r="C56" s="1334"/>
      <c r="D56" s="1332"/>
      <c r="E56" s="1332"/>
      <c r="F56" s="1332"/>
      <c r="G56" s="1332"/>
      <c r="H56" s="1332"/>
      <c r="I56" s="1332"/>
      <c r="J56" s="1332"/>
      <c r="K56" s="1332"/>
      <c r="L56" s="1332"/>
      <c r="M56" s="1332"/>
      <c r="N56" s="1332"/>
      <c r="O56" s="1332"/>
      <c r="P56" s="1332"/>
    </row>
    <row r="57" spans="1:16" s="537" customFormat="1" x14ac:dyDescent="0.3">
      <c r="A57" s="1332"/>
      <c r="B57" s="1332"/>
      <c r="C57" s="1334"/>
      <c r="D57" s="1332"/>
      <c r="E57" s="1332"/>
      <c r="F57" s="1332"/>
      <c r="G57" s="1332"/>
      <c r="H57" s="1332"/>
      <c r="I57" s="1332"/>
      <c r="J57" s="1332"/>
      <c r="K57" s="1332"/>
      <c r="L57" s="1332"/>
      <c r="M57" s="1332"/>
      <c r="N57" s="1332"/>
      <c r="O57" s="1332"/>
      <c r="P57" s="1332"/>
    </row>
    <row r="58" spans="1:16" s="537" customFormat="1" x14ac:dyDescent="0.3">
      <c r="A58" s="1332"/>
      <c r="B58" s="1332"/>
      <c r="C58" s="1334"/>
      <c r="D58" s="1332"/>
      <c r="E58" s="1332"/>
      <c r="F58" s="1332"/>
      <c r="G58" s="1332"/>
      <c r="H58" s="1332"/>
      <c r="I58" s="1332"/>
      <c r="J58" s="1332"/>
      <c r="K58" s="1332"/>
      <c r="L58" s="1332"/>
      <c r="M58" s="1332"/>
      <c r="N58" s="1332"/>
      <c r="O58" s="1332"/>
      <c r="P58" s="1332"/>
    </row>
    <row r="59" spans="1:16" s="537" customFormat="1" x14ac:dyDescent="0.3">
      <c r="A59" s="1332"/>
      <c r="B59" s="1332"/>
      <c r="C59" s="1334"/>
      <c r="D59" s="1332"/>
      <c r="E59" s="1332"/>
      <c r="F59" s="1332"/>
      <c r="G59" s="1332"/>
      <c r="H59" s="1332"/>
      <c r="I59" s="1332"/>
      <c r="J59" s="1332"/>
      <c r="K59" s="1332"/>
      <c r="L59" s="1332"/>
      <c r="M59" s="1332"/>
      <c r="N59" s="1332"/>
      <c r="O59" s="1332"/>
      <c r="P59" s="1332"/>
    </row>
    <row r="60" spans="1:16" s="537" customFormat="1" x14ac:dyDescent="0.3">
      <c r="A60" s="1332"/>
      <c r="B60" s="1332"/>
      <c r="C60" s="1332"/>
      <c r="D60" s="1332"/>
      <c r="E60" s="1332"/>
      <c r="F60" s="1332"/>
      <c r="G60" s="1332"/>
      <c r="H60" s="1332"/>
      <c r="I60" s="1332"/>
      <c r="J60" s="1332"/>
      <c r="K60" s="1332"/>
      <c r="L60" s="1332"/>
      <c r="M60" s="1332"/>
      <c r="N60" s="1332"/>
      <c r="O60" s="1332"/>
      <c r="P60" s="1332"/>
    </row>
    <row r="61" spans="1:16" x14ac:dyDescent="0.3">
      <c r="C61" s="1334"/>
    </row>
    <row r="62" spans="1:16" x14ac:dyDescent="0.3">
      <c r="C62" s="1334"/>
    </row>
    <row r="63" spans="1:16" x14ac:dyDescent="0.3">
      <c r="C63" s="1334"/>
    </row>
    <row r="64" spans="1:16" x14ac:dyDescent="0.3">
      <c r="C64" s="1334"/>
    </row>
    <row r="65" spans="3:3" x14ac:dyDescent="0.3">
      <c r="C65" s="1334"/>
    </row>
    <row r="66" spans="3:3" x14ac:dyDescent="0.3">
      <c r="C66" s="1334"/>
    </row>
    <row r="67" spans="3:3" x14ac:dyDescent="0.3">
      <c r="C67" s="1334"/>
    </row>
    <row r="68" spans="3:3" x14ac:dyDescent="0.3">
      <c r="C68" s="1334"/>
    </row>
    <row r="69" spans="3:3" x14ac:dyDescent="0.3">
      <c r="C69" s="1334"/>
    </row>
    <row r="70" spans="3:3" x14ac:dyDescent="0.3">
      <c r="C70" s="1334"/>
    </row>
    <row r="71" spans="3:3" x14ac:dyDescent="0.3">
      <c r="C71" s="1334"/>
    </row>
    <row r="72" spans="3:3" x14ac:dyDescent="0.3">
      <c r="C72" s="1334"/>
    </row>
    <row r="73" spans="3:3" x14ac:dyDescent="0.3">
      <c r="C73" s="1334"/>
    </row>
    <row r="74" spans="3:3" x14ac:dyDescent="0.3">
      <c r="C74" s="1334"/>
    </row>
    <row r="75" spans="3:3" x14ac:dyDescent="0.3">
      <c r="C75" s="1334"/>
    </row>
    <row r="76" spans="3:3" x14ac:dyDescent="0.3">
      <c r="C76" s="1334"/>
    </row>
    <row r="77" spans="3:3" x14ac:dyDescent="0.3">
      <c r="C77" s="1334"/>
    </row>
    <row r="78" spans="3:3" x14ac:dyDescent="0.3">
      <c r="C78" s="1334"/>
    </row>
    <row r="79" spans="3:3" x14ac:dyDescent="0.3">
      <c r="C79" s="1334"/>
    </row>
    <row r="80" spans="3:3" x14ac:dyDescent="0.3">
      <c r="C80" s="1334"/>
    </row>
    <row r="81" spans="3:3" x14ac:dyDescent="0.3">
      <c r="C81" s="1334"/>
    </row>
    <row r="82" spans="3:3" x14ac:dyDescent="0.3">
      <c r="C82" s="1334"/>
    </row>
    <row r="83" spans="3:3" x14ac:dyDescent="0.3">
      <c r="C83" s="1334"/>
    </row>
    <row r="84" spans="3:3" x14ac:dyDescent="0.3">
      <c r="C84" s="1334"/>
    </row>
    <row r="85" spans="3:3" x14ac:dyDescent="0.3">
      <c r="C85" s="1334"/>
    </row>
    <row r="86" spans="3:3" x14ac:dyDescent="0.3">
      <c r="C86" s="1334"/>
    </row>
    <row r="87" spans="3:3" x14ac:dyDescent="0.3">
      <c r="C87" s="1334"/>
    </row>
    <row r="88" spans="3:3" x14ac:dyDescent="0.3">
      <c r="C88" s="1334"/>
    </row>
    <row r="89" spans="3:3" x14ac:dyDescent="0.3">
      <c r="C89" s="1334"/>
    </row>
    <row r="90" spans="3:3" x14ac:dyDescent="0.3">
      <c r="C90" s="1334"/>
    </row>
    <row r="91" spans="3:3" x14ac:dyDescent="0.3">
      <c r="C91" s="1334"/>
    </row>
    <row r="92" spans="3:3" x14ac:dyDescent="0.3">
      <c r="C92" s="1334"/>
    </row>
    <row r="93" spans="3:3" x14ac:dyDescent="0.3">
      <c r="C93" s="1334"/>
    </row>
    <row r="94" spans="3:3" x14ac:dyDescent="0.3">
      <c r="C94" s="1334"/>
    </row>
    <row r="95" spans="3:3" x14ac:dyDescent="0.3">
      <c r="C95" s="1334"/>
    </row>
    <row r="96" spans="3:3" x14ac:dyDescent="0.3">
      <c r="C96" s="1334"/>
    </row>
    <row r="97" spans="3:3" x14ac:dyDescent="0.3">
      <c r="C97" s="1334"/>
    </row>
    <row r="98" spans="3:3" x14ac:dyDescent="0.3">
      <c r="C98" s="1334"/>
    </row>
    <row r="99" spans="3:3" x14ac:dyDescent="0.3">
      <c r="C99" s="1334"/>
    </row>
    <row r="100" spans="3:3" x14ac:dyDescent="0.3">
      <c r="C100" s="1336"/>
    </row>
    <row r="101" spans="3:3" x14ac:dyDescent="0.3">
      <c r="C101" s="1334"/>
    </row>
    <row r="102" spans="3:3" x14ac:dyDescent="0.3">
      <c r="C102" s="1334"/>
    </row>
    <row r="103" spans="3:3" x14ac:dyDescent="0.3">
      <c r="C103" s="1334"/>
    </row>
    <row r="104" spans="3:3" x14ac:dyDescent="0.3">
      <c r="C104" s="1334"/>
    </row>
    <row r="105" spans="3:3" x14ac:dyDescent="0.3">
      <c r="C105" s="1334"/>
    </row>
    <row r="106" spans="3:3" x14ac:dyDescent="0.3">
      <c r="C106" s="1334"/>
    </row>
    <row r="107" spans="3:3" x14ac:dyDescent="0.3">
      <c r="C107" s="1334"/>
    </row>
    <row r="108" spans="3:3" x14ac:dyDescent="0.3">
      <c r="C108" s="1334"/>
    </row>
    <row r="109" spans="3:3" x14ac:dyDescent="0.3">
      <c r="C109" s="1334"/>
    </row>
    <row r="110" spans="3:3" x14ac:dyDescent="0.3">
      <c r="C110" s="1334"/>
    </row>
    <row r="111" spans="3:3" x14ac:dyDescent="0.3">
      <c r="C111" s="1334"/>
    </row>
    <row r="112" spans="3:3" x14ac:dyDescent="0.3">
      <c r="C112" s="1334"/>
    </row>
    <row r="113" spans="3:3" x14ac:dyDescent="0.3">
      <c r="C113" s="1334"/>
    </row>
    <row r="114" spans="3:3" x14ac:dyDescent="0.3">
      <c r="C114" s="1334"/>
    </row>
    <row r="115" spans="3:3" x14ac:dyDescent="0.3">
      <c r="C115" s="1334"/>
    </row>
    <row r="116" spans="3:3" x14ac:dyDescent="0.3">
      <c r="C116" s="1334"/>
    </row>
    <row r="117" spans="3:3" x14ac:dyDescent="0.3">
      <c r="C117" s="1334"/>
    </row>
    <row r="118" spans="3:3" x14ac:dyDescent="0.3">
      <c r="C118" s="1334"/>
    </row>
    <row r="119" spans="3:3" x14ac:dyDescent="0.3">
      <c r="C119" s="1334"/>
    </row>
    <row r="120" spans="3:3" x14ac:dyDescent="0.3">
      <c r="C120" s="1334"/>
    </row>
    <row r="121" spans="3:3" x14ac:dyDescent="0.3">
      <c r="C121" s="1334"/>
    </row>
    <row r="122" spans="3:3" x14ac:dyDescent="0.3">
      <c r="C122" s="1334"/>
    </row>
    <row r="123" spans="3:3" x14ac:dyDescent="0.3">
      <c r="C123" s="1334"/>
    </row>
    <row r="124" spans="3:3" x14ac:dyDescent="0.3">
      <c r="C124" s="1334"/>
    </row>
    <row r="125" spans="3:3" x14ac:dyDescent="0.3">
      <c r="C125" s="1334"/>
    </row>
    <row r="126" spans="3:3" x14ac:dyDescent="0.3">
      <c r="C126" s="1334"/>
    </row>
    <row r="127" spans="3:3" x14ac:dyDescent="0.3">
      <c r="C127" s="1334"/>
    </row>
    <row r="128" spans="3:3" x14ac:dyDescent="0.3">
      <c r="C128" s="1334"/>
    </row>
    <row r="129" spans="3:3" x14ac:dyDescent="0.3">
      <c r="C129" s="1334"/>
    </row>
    <row r="130" spans="3:3" x14ac:dyDescent="0.3">
      <c r="C130" s="1334"/>
    </row>
    <row r="131" spans="3:3" x14ac:dyDescent="0.3">
      <c r="C131" s="1334"/>
    </row>
    <row r="132" spans="3:3" x14ac:dyDescent="0.3">
      <c r="C132" s="1334"/>
    </row>
    <row r="133" spans="3:3" x14ac:dyDescent="0.3">
      <c r="C133" s="1334"/>
    </row>
    <row r="134" spans="3:3" x14ac:dyDescent="0.3">
      <c r="C134" s="1334"/>
    </row>
    <row r="135" spans="3:3" x14ac:dyDescent="0.3">
      <c r="C135" s="1334"/>
    </row>
    <row r="136" spans="3:3" x14ac:dyDescent="0.3">
      <c r="C136" s="1334"/>
    </row>
    <row r="137" spans="3:3" x14ac:dyDescent="0.3">
      <c r="C137" s="1334"/>
    </row>
    <row r="138" spans="3:3" x14ac:dyDescent="0.3">
      <c r="C138" s="1334"/>
    </row>
    <row r="139" spans="3:3" x14ac:dyDescent="0.3">
      <c r="C139" s="1334"/>
    </row>
    <row r="140" spans="3:3" x14ac:dyDescent="0.3">
      <c r="C140" s="1334"/>
    </row>
    <row r="141" spans="3:3" x14ac:dyDescent="0.3">
      <c r="C141" s="1334"/>
    </row>
    <row r="142" spans="3:3" x14ac:dyDescent="0.3">
      <c r="C142" s="1334"/>
    </row>
    <row r="143" spans="3:3" x14ac:dyDescent="0.3">
      <c r="C143" s="1334"/>
    </row>
    <row r="144" spans="3:3" x14ac:dyDescent="0.3">
      <c r="C144" s="1334"/>
    </row>
    <row r="145" spans="3:3" x14ac:dyDescent="0.3">
      <c r="C145" s="1334"/>
    </row>
    <row r="146" spans="3:3" x14ac:dyDescent="0.3">
      <c r="C146" s="1334"/>
    </row>
    <row r="147" spans="3:3" x14ac:dyDescent="0.3">
      <c r="C147" s="1334"/>
    </row>
    <row r="148" spans="3:3" x14ac:dyDescent="0.3">
      <c r="C148" s="1334"/>
    </row>
    <row r="149" spans="3:3" x14ac:dyDescent="0.3">
      <c r="C149" s="1334"/>
    </row>
    <row r="150" spans="3:3" x14ac:dyDescent="0.3">
      <c r="C150" s="1334"/>
    </row>
    <row r="151" spans="3:3" x14ac:dyDescent="0.3">
      <c r="C151" s="1334"/>
    </row>
    <row r="152" spans="3:3" x14ac:dyDescent="0.3">
      <c r="C152" s="1334"/>
    </row>
    <row r="153" spans="3:3" x14ac:dyDescent="0.3">
      <c r="C153" s="1334"/>
    </row>
    <row r="154" spans="3:3" x14ac:dyDescent="0.3">
      <c r="C154" s="1334"/>
    </row>
    <row r="155" spans="3:3" x14ac:dyDescent="0.3">
      <c r="C155" s="1334"/>
    </row>
    <row r="156" spans="3:3" x14ac:dyDescent="0.3">
      <c r="C156" s="1334"/>
    </row>
    <row r="157" spans="3:3" x14ac:dyDescent="0.3">
      <c r="C157" s="1334"/>
    </row>
    <row r="158" spans="3:3" x14ac:dyDescent="0.3">
      <c r="C158" s="1334"/>
    </row>
    <row r="159" spans="3:3" x14ac:dyDescent="0.3">
      <c r="C159" s="1334"/>
    </row>
    <row r="160" spans="3:3" x14ac:dyDescent="0.3">
      <c r="C160" s="1334"/>
    </row>
    <row r="161" spans="3:3" x14ac:dyDescent="0.3">
      <c r="C161" s="1334"/>
    </row>
    <row r="162" spans="3:3" x14ac:dyDescent="0.3">
      <c r="C162" s="1334"/>
    </row>
    <row r="163" spans="3:3" x14ac:dyDescent="0.3">
      <c r="C163" s="1334"/>
    </row>
    <row r="164" spans="3:3" x14ac:dyDescent="0.3">
      <c r="C164" s="1334"/>
    </row>
    <row r="165" spans="3:3" x14ac:dyDescent="0.3">
      <c r="C165" s="1334"/>
    </row>
    <row r="166" spans="3:3" x14ac:dyDescent="0.3">
      <c r="C166" s="1334"/>
    </row>
    <row r="167" spans="3:3" x14ac:dyDescent="0.3">
      <c r="C167" s="1334"/>
    </row>
    <row r="168" spans="3:3" x14ac:dyDescent="0.3">
      <c r="C168" s="1334"/>
    </row>
    <row r="169" spans="3:3" x14ac:dyDescent="0.3">
      <c r="C169" s="1334"/>
    </row>
    <row r="170" spans="3:3" x14ac:dyDescent="0.3">
      <c r="C170" s="1334"/>
    </row>
    <row r="171" spans="3:3" x14ac:dyDescent="0.3">
      <c r="C171" s="1334"/>
    </row>
    <row r="172" spans="3:3" x14ac:dyDescent="0.3">
      <c r="C172" s="1334"/>
    </row>
    <row r="173" spans="3:3" x14ac:dyDescent="0.3">
      <c r="C173" s="1334"/>
    </row>
    <row r="174" spans="3:3" x14ac:dyDescent="0.3">
      <c r="C174" s="1334"/>
    </row>
    <row r="175" spans="3:3" x14ac:dyDescent="0.3">
      <c r="C175" s="1334"/>
    </row>
    <row r="176" spans="3:3" x14ac:dyDescent="0.3">
      <c r="C176" s="1334"/>
    </row>
    <row r="177" spans="3:3" x14ac:dyDescent="0.3">
      <c r="C177" s="1334"/>
    </row>
    <row r="178" spans="3:3" x14ac:dyDescent="0.3">
      <c r="C178" s="1334"/>
    </row>
    <row r="179" spans="3:3" x14ac:dyDescent="0.3">
      <c r="C179" s="1334"/>
    </row>
    <row r="180" spans="3:3" x14ac:dyDescent="0.3">
      <c r="C180" s="1334"/>
    </row>
  </sheetData>
  <sheetProtection algorithmName="SHA-512" hashValue="TCsPvcLCWXLIukCCcEQZZJLQW5qq3HyebyNqjXGci8heDWwDMU2UrmZ0a6KYwRY46+kBsD6mtWi08546i8/IDw==" saltValue="169X6XGdHPuQPXUtWifg5w==" spinCount="100000" sheet="1" selectLockedCells="1"/>
  <conditionalFormatting sqref="F40">
    <cfRule type="duplicateValues" dxfId="5" priority="5"/>
  </conditionalFormatting>
  <conditionalFormatting sqref="H37:H40">
    <cfRule type="duplicateValues" dxfId="4" priority="4"/>
  </conditionalFormatting>
  <conditionalFormatting sqref="J36:J40">
    <cfRule type="duplicateValues" dxfId="3" priority="3"/>
  </conditionalFormatting>
  <conditionalFormatting sqref="L34:L40">
    <cfRule type="duplicateValues" dxfId="2" priority="2"/>
  </conditionalFormatting>
  <conditionalFormatting sqref="P1:P24 J1:J35 B314:C1048576 N1:N31 L1:L33 H1:H36 F1:F39 C41:C313 D1:D40 B1:B40">
    <cfRule type="duplicateValues" dxfId="1" priority="6"/>
  </conditionalFormatting>
  <conditionalFormatting sqref="N32:N40">
    <cfRule type="duplicateValues" dxfId="0" priority="1"/>
  </conditionalFormatting>
  <pageMargins left="0.7" right="0.7" top="0.75" bottom="0.75" header="0.3" footer="0.3"/>
  <pageSetup paperSize="9" orientation="portrait" r:id="rId1"/>
  <headerFooter>
    <oddHeader>&amp;L&amp;G&amp;C&amp;"Trebuchet MS,Normál"Településlista</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7"/>
  <sheetViews>
    <sheetView zoomScale="80" zoomScaleNormal="80" zoomScaleSheetLayoutView="70" zoomScalePageLayoutView="91" workbookViewId="0">
      <selection activeCell="E9" sqref="E9"/>
    </sheetView>
  </sheetViews>
  <sheetFormatPr defaultColWidth="9.109375" defaultRowHeight="14.4" x14ac:dyDescent="0.3"/>
  <cols>
    <col min="1" max="1" width="70.88671875" style="1391" customWidth="1"/>
    <col min="2" max="2" width="2.5546875" style="1392" customWidth="1"/>
    <col min="3" max="3" width="67.5546875" style="1457" customWidth="1"/>
    <col min="4" max="4" width="1.5546875" style="1038" customWidth="1"/>
    <col min="5" max="5" width="11.5546875" style="1394" customWidth="1"/>
    <col min="6" max="6" width="1.5546875" style="1038" customWidth="1"/>
    <col min="7" max="7" width="18.5546875" style="1394" customWidth="1"/>
    <col min="8" max="16384" width="9.109375" style="13"/>
  </cols>
  <sheetData>
    <row r="1" spans="1:7" ht="49.5" customHeight="1" x14ac:dyDescent="0.3">
      <c r="A1" s="1338"/>
      <c r="B1" s="1339"/>
      <c r="C1" s="1340"/>
      <c r="E1" s="1367"/>
      <c r="G1" s="1368"/>
    </row>
    <row r="2" spans="1:7" s="464" customFormat="1" ht="69.900000000000006" customHeight="1" x14ac:dyDescent="0.45">
      <c r="A2" s="2036" t="s">
        <v>895</v>
      </c>
      <c r="B2" s="2037"/>
      <c r="C2" s="1429"/>
      <c r="D2" s="1337"/>
      <c r="E2" s="1430" t="s">
        <v>1141</v>
      </c>
      <c r="F2" s="1337"/>
      <c r="G2" s="1431" t="s">
        <v>1142</v>
      </c>
    </row>
    <row r="3" spans="1:7" ht="20.100000000000001" customHeight="1" x14ac:dyDescent="0.3">
      <c r="A3" s="1338"/>
      <c r="B3" s="1339"/>
      <c r="C3" s="1340"/>
      <c r="E3" s="1341"/>
      <c r="G3" s="1342"/>
    </row>
    <row r="4" spans="1:7" ht="34.5" customHeight="1" x14ac:dyDescent="0.3">
      <c r="A4" s="1427" t="s">
        <v>1143</v>
      </c>
      <c r="B4" s="1343"/>
      <c r="C4" s="1344"/>
      <c r="E4" s="1345"/>
      <c r="G4" s="1346"/>
    </row>
    <row r="5" spans="1:7" ht="34.5" customHeight="1" x14ac:dyDescent="0.3">
      <c r="A5" s="1427" t="s">
        <v>1144</v>
      </c>
      <c r="B5" s="1343"/>
      <c r="C5" s="1347" t="s">
        <v>1145</v>
      </c>
      <c r="E5" s="1345"/>
      <c r="G5" s="1346"/>
    </row>
    <row r="6" spans="1:7" ht="34.5" customHeight="1" x14ac:dyDescent="0.3">
      <c r="A6" s="1427" t="s">
        <v>1146</v>
      </c>
      <c r="B6" s="1343"/>
      <c r="C6" s="1347" t="s">
        <v>1147</v>
      </c>
      <c r="E6" s="1345"/>
      <c r="G6" s="1346"/>
    </row>
    <row r="7" spans="1:7" ht="34.5" customHeight="1" x14ac:dyDescent="0.3">
      <c r="A7" s="1427" t="s">
        <v>1148</v>
      </c>
      <c r="B7" s="1343"/>
      <c r="C7" s="1347"/>
      <c r="E7" s="1345"/>
      <c r="G7" s="1346"/>
    </row>
    <row r="8" spans="1:7" ht="34.5" customHeight="1" x14ac:dyDescent="0.3">
      <c r="A8" s="1427" t="s">
        <v>1149</v>
      </c>
      <c r="B8" s="1343"/>
      <c r="C8" s="1347" t="s">
        <v>1150</v>
      </c>
      <c r="E8" s="1345"/>
      <c r="G8" s="1346"/>
    </row>
    <row r="9" spans="1:7" ht="34.5" customHeight="1" x14ac:dyDescent="0.3">
      <c r="A9" s="1427" t="s">
        <v>1151</v>
      </c>
      <c r="B9" s="1343"/>
      <c r="C9" s="1347" t="s">
        <v>1150</v>
      </c>
      <c r="E9" s="1345"/>
      <c r="G9" s="1346"/>
    </row>
    <row r="10" spans="1:7" ht="34.5" customHeight="1" x14ac:dyDescent="0.3">
      <c r="A10" s="1427" t="s">
        <v>1152</v>
      </c>
      <c r="B10" s="1348"/>
      <c r="C10" s="1347" t="s">
        <v>1150</v>
      </c>
      <c r="E10" s="1345"/>
      <c r="G10" s="1346"/>
    </row>
    <row r="11" spans="1:7" ht="34.5" customHeight="1" x14ac:dyDescent="0.3">
      <c r="A11" s="1427" t="s">
        <v>1153</v>
      </c>
      <c r="B11" s="1348"/>
      <c r="C11" s="1347" t="s">
        <v>1154</v>
      </c>
      <c r="E11" s="1345"/>
      <c r="G11" s="1346"/>
    </row>
    <row r="12" spans="1:7" ht="34.5" customHeight="1" x14ac:dyDescent="0.3">
      <c r="A12" s="1427" t="s">
        <v>1242</v>
      </c>
      <c r="B12" s="1343"/>
      <c r="C12" s="1347" t="s">
        <v>1150</v>
      </c>
      <c r="E12" s="1345"/>
      <c r="G12" s="1346"/>
    </row>
    <row r="13" spans="1:7" ht="13.5" hidden="1" customHeight="1" x14ac:dyDescent="0.3">
      <c r="A13" s="1349" t="s">
        <v>1982</v>
      </c>
      <c r="B13" s="1350"/>
      <c r="C13" s="1351"/>
      <c r="E13" s="1352"/>
      <c r="G13" s="1346"/>
    </row>
    <row r="14" spans="1:7" ht="34.5" customHeight="1" x14ac:dyDescent="0.3">
      <c r="A14" s="1427" t="s">
        <v>1243</v>
      </c>
      <c r="B14" s="1343"/>
      <c r="C14" s="1347" t="s">
        <v>1150</v>
      </c>
      <c r="E14" s="1345"/>
      <c r="G14" s="1346"/>
    </row>
    <row r="15" spans="1:7" ht="65.25" customHeight="1" x14ac:dyDescent="0.3">
      <c r="A15" s="1427" t="s">
        <v>1155</v>
      </c>
      <c r="B15" s="1343"/>
      <c r="C15" s="1353" t="s">
        <v>1156</v>
      </c>
      <c r="E15" s="1345"/>
      <c r="G15" s="1346"/>
    </row>
    <row r="16" spans="1:7" ht="45" customHeight="1" x14ac:dyDescent="0.3">
      <c r="A16" s="1427" t="s">
        <v>1983</v>
      </c>
      <c r="B16" s="1348"/>
      <c r="C16" s="1347" t="s">
        <v>1157</v>
      </c>
      <c r="E16" s="1345"/>
      <c r="G16" s="1346"/>
    </row>
    <row r="17" spans="1:7" ht="34.5" customHeight="1" x14ac:dyDescent="0.3">
      <c r="A17" s="1427" t="s">
        <v>1984</v>
      </c>
      <c r="B17" s="1343"/>
      <c r="C17" s="1347" t="s">
        <v>1158</v>
      </c>
      <c r="E17" s="1345"/>
      <c r="G17" s="1346"/>
    </row>
    <row r="18" spans="1:7" ht="34.5" customHeight="1" x14ac:dyDescent="0.3">
      <c r="A18" s="1427" t="s">
        <v>1985</v>
      </c>
      <c r="B18" s="1343"/>
      <c r="C18" s="1347" t="s">
        <v>1158</v>
      </c>
      <c r="E18" s="1345"/>
      <c r="G18" s="1346"/>
    </row>
    <row r="19" spans="1:7" ht="50.1" customHeight="1" x14ac:dyDescent="0.3">
      <c r="A19" s="1354"/>
      <c r="B19" s="1355"/>
      <c r="C19" s="1356"/>
      <c r="E19" s="1357"/>
      <c r="G19" s="1358"/>
    </row>
    <row r="20" spans="1:7" s="464" customFormat="1" ht="69.900000000000006" customHeight="1" x14ac:dyDescent="0.45">
      <c r="A20" s="2036" t="s">
        <v>1201</v>
      </c>
      <c r="B20" s="2037"/>
      <c r="C20" s="2038"/>
      <c r="D20" s="1337"/>
      <c r="E20" s="1430" t="s">
        <v>1141</v>
      </c>
      <c r="F20" s="1337"/>
      <c r="G20" s="1431" t="s">
        <v>1142</v>
      </c>
    </row>
    <row r="21" spans="1:7" ht="30" customHeight="1" x14ac:dyDescent="0.3">
      <c r="A21" s="1354"/>
      <c r="B21" s="1355"/>
      <c r="C21" s="1356"/>
      <c r="E21" s="1359"/>
      <c r="G21" s="1360"/>
    </row>
    <row r="22" spans="1:7" ht="30" customHeight="1" x14ac:dyDescent="0.35">
      <c r="A22" s="1432" t="s">
        <v>1202</v>
      </c>
      <c r="B22" s="1433"/>
      <c r="C22" s="1434"/>
      <c r="D22" s="1362"/>
      <c r="E22" s="1363"/>
      <c r="F22" s="1364"/>
      <c r="G22" s="1365"/>
    </row>
    <row r="23" spans="1:7" ht="12" customHeight="1" x14ac:dyDescent="0.3">
      <c r="A23" s="1366"/>
      <c r="B23" s="1356"/>
      <c r="C23" s="1339"/>
      <c r="E23" s="1367"/>
      <c r="G23" s="1368"/>
    </row>
    <row r="24" spans="1:7" ht="73.5" customHeight="1" x14ac:dyDescent="0.3">
      <c r="A24" s="1435" t="s">
        <v>1997</v>
      </c>
      <c r="B24" s="1436"/>
      <c r="C24" s="1437" t="s">
        <v>1998</v>
      </c>
      <c r="E24" s="1438"/>
      <c r="F24" s="1389"/>
      <c r="G24" s="1438"/>
    </row>
    <row r="25" spans="1:7" ht="35.25" customHeight="1" x14ac:dyDescent="0.3">
      <c r="A25" s="1427" t="s">
        <v>1159</v>
      </c>
      <c r="B25" s="1369"/>
      <c r="C25" s="1353" t="s">
        <v>1160</v>
      </c>
      <c r="E25" s="1345"/>
      <c r="G25" s="1346"/>
    </row>
    <row r="26" spans="1:7" ht="35.25" customHeight="1" x14ac:dyDescent="0.3">
      <c r="A26" s="1427" t="s">
        <v>1161</v>
      </c>
      <c r="B26" s="1370"/>
      <c r="C26" s="1353" t="s">
        <v>1162</v>
      </c>
      <c r="E26" s="1345"/>
      <c r="G26" s="1346"/>
    </row>
    <row r="27" spans="1:7" ht="42.75" customHeight="1" x14ac:dyDescent="0.3">
      <c r="A27" s="1371" t="s">
        <v>1986</v>
      </c>
      <c r="B27" s="1370"/>
      <c r="C27" s="1347" t="s">
        <v>1203</v>
      </c>
      <c r="E27" s="1345"/>
      <c r="G27" s="1346"/>
    </row>
    <row r="28" spans="1:7" ht="48.6" customHeight="1" x14ac:dyDescent="0.3">
      <c r="A28" s="1427" t="s">
        <v>1999</v>
      </c>
      <c r="B28" s="1370"/>
      <c r="C28" s="1347" t="s">
        <v>2000</v>
      </c>
      <c r="E28" s="1345"/>
      <c r="G28" s="1346"/>
    </row>
    <row r="29" spans="1:7" ht="42.75" customHeight="1" x14ac:dyDescent="0.3">
      <c r="A29" s="1427" t="s">
        <v>2001</v>
      </c>
      <c r="B29" s="1370"/>
      <c r="C29" s="1347" t="s">
        <v>2002</v>
      </c>
      <c r="E29" s="1345"/>
      <c r="G29" s="1346"/>
    </row>
    <row r="30" spans="1:7" ht="30" customHeight="1" x14ac:dyDescent="0.3">
      <c r="A30" s="1354"/>
      <c r="B30" s="1355"/>
      <c r="C30" s="1355"/>
      <c r="E30" s="1372"/>
      <c r="G30" s="1373"/>
    </row>
    <row r="31" spans="1:7" s="465" customFormat="1" ht="35.1" customHeight="1" x14ac:dyDescent="0.35">
      <c r="A31" s="1432" t="s">
        <v>1204</v>
      </c>
      <c r="B31" s="1433"/>
      <c r="C31" s="1434"/>
      <c r="D31" s="1362"/>
      <c r="E31" s="1363"/>
      <c r="F31" s="1364"/>
      <c r="G31" s="1365"/>
    </row>
    <row r="32" spans="1:7" ht="12" customHeight="1" x14ac:dyDescent="0.3">
      <c r="A32" s="1366"/>
      <c r="B32" s="1356"/>
      <c r="C32" s="1339"/>
      <c r="E32" s="1367"/>
      <c r="G32" s="1368"/>
    </row>
    <row r="33" spans="1:7" ht="34.5" customHeight="1" x14ac:dyDescent="0.3">
      <c r="A33" s="1374" t="s">
        <v>1987</v>
      </c>
      <c r="B33" s="1369"/>
      <c r="C33" s="1353" t="s">
        <v>1205</v>
      </c>
      <c r="E33" s="1345"/>
      <c r="G33" s="1346"/>
    </row>
    <row r="34" spans="1:7" ht="49.5" customHeight="1" x14ac:dyDescent="0.3">
      <c r="A34" s="1439" t="s">
        <v>2003</v>
      </c>
      <c r="B34" s="1440"/>
      <c r="C34" s="1441" t="s">
        <v>1206</v>
      </c>
      <c r="E34" s="1345"/>
      <c r="G34" s="1346"/>
    </row>
    <row r="35" spans="1:7" ht="54.75" customHeight="1" x14ac:dyDescent="0.3">
      <c r="A35" s="1442" t="s">
        <v>1207</v>
      </c>
      <c r="B35" s="1443"/>
      <c r="C35" s="1437" t="s">
        <v>2004</v>
      </c>
      <c r="E35" s="1345"/>
      <c r="G35" s="1346"/>
    </row>
    <row r="36" spans="1:7" ht="37.200000000000003" customHeight="1" x14ac:dyDescent="0.3">
      <c r="A36" s="1376" t="s">
        <v>1208</v>
      </c>
      <c r="B36" s="1370"/>
      <c r="C36" s="1377" t="s">
        <v>1209</v>
      </c>
      <c r="E36" s="1345"/>
      <c r="G36" s="1346"/>
    </row>
    <row r="37" spans="1:7" ht="30" customHeight="1" x14ac:dyDescent="0.3">
      <c r="A37" s="1354"/>
      <c r="B37" s="1355"/>
      <c r="C37" s="1355"/>
      <c r="E37" s="1372"/>
      <c r="G37" s="1373"/>
    </row>
    <row r="38" spans="1:7" s="465" customFormat="1" ht="57" customHeight="1" x14ac:dyDescent="0.35">
      <c r="A38" s="2039" t="s">
        <v>1210</v>
      </c>
      <c r="B38" s="2040"/>
      <c r="C38" s="2041"/>
      <c r="D38" s="1362"/>
      <c r="E38" s="1444" t="s">
        <v>1141</v>
      </c>
      <c r="F38" s="1364"/>
      <c r="G38" s="1430" t="s">
        <v>1142</v>
      </c>
    </row>
    <row r="39" spans="1:7" ht="12" customHeight="1" x14ac:dyDescent="0.3">
      <c r="A39" s="1366"/>
      <c r="B39" s="1356"/>
      <c r="C39" s="1339"/>
      <c r="E39" s="1367"/>
      <c r="G39" s="1368"/>
    </row>
    <row r="40" spans="1:7" ht="34.5" customHeight="1" x14ac:dyDescent="0.3">
      <c r="A40" s="1427" t="s">
        <v>1211</v>
      </c>
      <c r="B40" s="1369"/>
      <c r="C40" s="1445" t="s">
        <v>2005</v>
      </c>
      <c r="E40" s="1345"/>
      <c r="G40" s="1346"/>
    </row>
    <row r="41" spans="1:7" ht="39.6" customHeight="1" x14ac:dyDescent="0.3">
      <c r="A41" s="1427" t="s">
        <v>1212</v>
      </c>
      <c r="B41" s="1369"/>
      <c r="C41" s="1353" t="s">
        <v>1213</v>
      </c>
      <c r="E41" s="1345"/>
      <c r="G41" s="1346"/>
    </row>
    <row r="42" spans="1:7" ht="61.5" customHeight="1" x14ac:dyDescent="0.3">
      <c r="A42" s="1427" t="s">
        <v>1373</v>
      </c>
      <c r="B42" s="1369"/>
      <c r="C42" s="1353" t="s">
        <v>1374</v>
      </c>
      <c r="E42" s="1345"/>
      <c r="G42" s="1346"/>
    </row>
    <row r="43" spans="1:7" ht="65.25" customHeight="1" x14ac:dyDescent="0.3">
      <c r="A43" s="1427" t="s">
        <v>2006</v>
      </c>
      <c r="B43" s="1369"/>
      <c r="C43" s="1353" t="s">
        <v>1375</v>
      </c>
      <c r="E43" s="1345"/>
      <c r="G43" s="1346"/>
    </row>
    <row r="44" spans="1:7" ht="34.5" customHeight="1" x14ac:dyDescent="0.3">
      <c r="A44" s="1427" t="s">
        <v>1214</v>
      </c>
      <c r="B44" s="1369"/>
      <c r="C44" s="1353" t="s">
        <v>1215</v>
      </c>
      <c r="E44" s="1345"/>
      <c r="G44" s="1346"/>
    </row>
    <row r="45" spans="1:7" ht="34.5" customHeight="1" x14ac:dyDescent="0.3">
      <c r="A45" s="1427" t="s">
        <v>2007</v>
      </c>
      <c r="B45" s="1369"/>
      <c r="C45" s="1353" t="s">
        <v>2008</v>
      </c>
      <c r="E45" s="1345"/>
      <c r="G45" s="1346"/>
    </row>
    <row r="46" spans="1:7" ht="66" customHeight="1" x14ac:dyDescent="0.3">
      <c r="A46" s="1427" t="s">
        <v>1400</v>
      </c>
      <c r="B46" s="1369"/>
      <c r="C46" s="1353" t="s">
        <v>1401</v>
      </c>
      <c r="D46" s="1425"/>
      <c r="E46" s="1345"/>
      <c r="G46" s="1346"/>
    </row>
    <row r="47" spans="1:7" ht="42.6" customHeight="1" x14ac:dyDescent="0.3">
      <c r="A47" s="1427" t="s">
        <v>1402</v>
      </c>
      <c r="B47" s="1369"/>
      <c r="C47" s="1353" t="s">
        <v>1403</v>
      </c>
      <c r="D47" s="1425"/>
      <c r="E47" s="1345"/>
      <c r="G47" s="1346"/>
    </row>
    <row r="48" spans="1:7" ht="49.5" customHeight="1" x14ac:dyDescent="0.3">
      <c r="A48" s="1354"/>
      <c r="B48" s="1355"/>
      <c r="C48" s="1355"/>
      <c r="E48" s="1372"/>
      <c r="G48" s="1373"/>
    </row>
    <row r="49" spans="1:7" s="465" customFormat="1" ht="35.1" customHeight="1" x14ac:dyDescent="0.35">
      <c r="A49" s="2039" t="s">
        <v>1216</v>
      </c>
      <c r="B49" s="2040"/>
      <c r="C49" s="2041"/>
      <c r="D49" s="1362"/>
      <c r="E49" s="1363"/>
      <c r="F49" s="1364"/>
      <c r="G49" s="1365"/>
    </row>
    <row r="50" spans="1:7" ht="12" customHeight="1" x14ac:dyDescent="0.3">
      <c r="A50" s="1366"/>
      <c r="B50" s="1356"/>
      <c r="C50" s="1339"/>
      <c r="E50" s="1367"/>
      <c r="G50" s="1368"/>
    </row>
    <row r="51" spans="1:7" ht="37.950000000000003" customHeight="1" x14ac:dyDescent="0.3">
      <c r="A51" s="1374" t="s">
        <v>1987</v>
      </c>
      <c r="B51" s="1369"/>
      <c r="C51" s="1353" t="s">
        <v>1205</v>
      </c>
      <c r="E51" s="1345"/>
      <c r="G51" s="1346"/>
    </row>
    <row r="52" spans="1:7" ht="34.5" customHeight="1" x14ac:dyDescent="0.3">
      <c r="A52" s="1439" t="s">
        <v>2009</v>
      </c>
      <c r="B52" s="1440"/>
      <c r="C52" s="1441" t="s">
        <v>1206</v>
      </c>
      <c r="E52" s="1345"/>
      <c r="G52" s="1346"/>
    </row>
    <row r="53" spans="1:7" ht="48" customHeight="1" x14ac:dyDescent="0.3">
      <c r="A53" s="1442" t="s">
        <v>1207</v>
      </c>
      <c r="B53" s="1443"/>
      <c r="C53" s="1437" t="s">
        <v>2004</v>
      </c>
      <c r="E53" s="1345"/>
      <c r="G53" s="1346"/>
    </row>
    <row r="54" spans="1:7" ht="52.5" customHeight="1" x14ac:dyDescent="0.3">
      <c r="A54" s="1446" t="s">
        <v>2010</v>
      </c>
      <c r="B54" s="1343"/>
      <c r="C54" s="1347"/>
      <c r="E54" s="1345"/>
      <c r="G54" s="1346"/>
    </row>
    <row r="55" spans="1:7" ht="53.4" customHeight="1" x14ac:dyDescent="0.3">
      <c r="A55" s="1427" t="s">
        <v>1217</v>
      </c>
      <c r="B55" s="1370"/>
      <c r="C55" s="1353" t="s">
        <v>1218</v>
      </c>
      <c r="E55" s="1345"/>
      <c r="G55" s="1346"/>
    </row>
    <row r="56" spans="1:7" ht="58.2" customHeight="1" x14ac:dyDescent="0.3">
      <c r="A56" s="1427" t="s">
        <v>1219</v>
      </c>
      <c r="B56" s="1343"/>
      <c r="C56" s="1347" t="s">
        <v>1220</v>
      </c>
      <c r="E56" s="1345"/>
      <c r="G56" s="1346"/>
    </row>
    <row r="57" spans="1:7" ht="82.2" customHeight="1" x14ac:dyDescent="0.3">
      <c r="A57" s="2042" t="s">
        <v>1221</v>
      </c>
      <c r="B57" s="2043"/>
      <c r="C57" s="1347" t="s">
        <v>1222</v>
      </c>
      <c r="E57" s="1345"/>
      <c r="G57" s="1346"/>
    </row>
    <row r="58" spans="1:7" ht="30" customHeight="1" x14ac:dyDescent="0.3">
      <c r="A58" s="1354"/>
      <c r="B58" s="1355"/>
      <c r="C58" s="1355"/>
      <c r="E58" s="1372"/>
      <c r="G58" s="1373"/>
    </row>
    <row r="59" spans="1:7" s="465" customFormat="1" ht="35.1" customHeight="1" x14ac:dyDescent="0.35">
      <c r="A59" s="2039" t="s">
        <v>1223</v>
      </c>
      <c r="B59" s="2040"/>
      <c r="C59" s="2041"/>
      <c r="D59" s="1362"/>
      <c r="E59" s="1363"/>
      <c r="F59" s="1364"/>
      <c r="G59" s="1365"/>
    </row>
    <row r="60" spans="1:7" ht="12" customHeight="1" x14ac:dyDescent="0.3">
      <c r="A60" s="1366"/>
      <c r="B60" s="1356"/>
      <c r="C60" s="1339"/>
      <c r="E60" s="1367"/>
      <c r="G60" s="1368"/>
    </row>
    <row r="61" spans="1:7" ht="42.75" customHeight="1" x14ac:dyDescent="0.3">
      <c r="A61" s="1375" t="s">
        <v>1988</v>
      </c>
      <c r="B61" s="1369"/>
      <c r="C61" s="1353" t="s">
        <v>1435</v>
      </c>
      <c r="E61" s="1345"/>
      <c r="G61" s="1346"/>
    </row>
    <row r="62" spans="1:7" ht="34.5" customHeight="1" x14ac:dyDescent="0.3">
      <c r="A62" s="1427" t="s">
        <v>1031</v>
      </c>
      <c r="B62" s="1343"/>
      <c r="C62" s="1347" t="s">
        <v>1163</v>
      </c>
      <c r="E62" s="1345"/>
      <c r="G62" s="1346"/>
    </row>
    <row r="63" spans="1:7" ht="65.400000000000006" customHeight="1" x14ac:dyDescent="0.3">
      <c r="A63" s="1427" t="s">
        <v>1164</v>
      </c>
      <c r="B63" s="1370"/>
      <c r="C63" s="1353" t="s">
        <v>1224</v>
      </c>
      <c r="E63" s="1345"/>
      <c r="G63" s="1346"/>
    </row>
    <row r="64" spans="1:7" s="464" customFormat="1" ht="69.900000000000006" customHeight="1" x14ac:dyDescent="0.45">
      <c r="A64" s="2036" t="s">
        <v>899</v>
      </c>
      <c r="B64" s="2037"/>
      <c r="C64" s="2038"/>
      <c r="D64" s="1337"/>
      <c r="E64" s="1430" t="s">
        <v>1141</v>
      </c>
      <c r="F64" s="1337"/>
      <c r="G64" s="1431" t="s">
        <v>1142</v>
      </c>
    </row>
    <row r="65" spans="1:7" ht="30" customHeight="1" x14ac:dyDescent="0.3">
      <c r="A65" s="1354"/>
      <c r="B65" s="1355"/>
      <c r="C65" s="1356"/>
      <c r="E65" s="1359"/>
      <c r="G65" s="1360"/>
    </row>
    <row r="66" spans="1:7" s="465" customFormat="1" ht="35.1" customHeight="1" x14ac:dyDescent="0.35">
      <c r="A66" s="1432" t="s">
        <v>1166</v>
      </c>
      <c r="B66" s="1433"/>
      <c r="C66" s="1434"/>
      <c r="D66" s="1362"/>
      <c r="E66" s="1363"/>
      <c r="F66" s="1364"/>
      <c r="G66" s="1365"/>
    </row>
    <row r="67" spans="1:7" ht="12" customHeight="1" x14ac:dyDescent="0.3">
      <c r="A67" s="1366"/>
      <c r="B67" s="1356"/>
      <c r="C67" s="1339"/>
      <c r="E67" s="1367"/>
      <c r="G67" s="1368"/>
    </row>
    <row r="68" spans="1:7" ht="34.200000000000003" customHeight="1" x14ac:dyDescent="0.3">
      <c r="A68" s="1427" t="s">
        <v>2011</v>
      </c>
      <c r="B68" s="1343"/>
      <c r="C68" s="1377" t="s">
        <v>2012</v>
      </c>
      <c r="E68" s="1345"/>
      <c r="G68" s="1346"/>
    </row>
    <row r="69" spans="1:7" ht="58.2" customHeight="1" x14ac:dyDescent="0.3">
      <c r="A69" s="1447" t="s">
        <v>2013</v>
      </c>
      <c r="B69" s="1448"/>
      <c r="C69" s="1449" t="s">
        <v>2014</v>
      </c>
      <c r="E69" s="1345"/>
      <c r="G69" s="1346"/>
    </row>
    <row r="70" spans="1:7" ht="36.6" customHeight="1" x14ac:dyDescent="0.3">
      <c r="A70" s="1427" t="s">
        <v>1167</v>
      </c>
      <c r="B70" s="1343"/>
      <c r="C70" s="1347" t="s">
        <v>1168</v>
      </c>
      <c r="E70" s="1345"/>
      <c r="G70" s="1346"/>
    </row>
    <row r="71" spans="1:7" ht="34.5" customHeight="1" x14ac:dyDescent="0.3">
      <c r="A71" s="1427" t="s">
        <v>1169</v>
      </c>
      <c r="B71" s="1343"/>
      <c r="C71" s="1347" t="s">
        <v>1231</v>
      </c>
      <c r="E71" s="1345"/>
      <c r="G71" s="1346"/>
    </row>
    <row r="72" spans="1:7" ht="50.4" customHeight="1" x14ac:dyDescent="0.3">
      <c r="A72" s="1427" t="s">
        <v>1170</v>
      </c>
      <c r="B72" s="1343"/>
      <c r="C72" s="1347" t="s">
        <v>1230</v>
      </c>
      <c r="E72" s="1345"/>
      <c r="G72" s="1346"/>
    </row>
    <row r="73" spans="1:7" ht="30" customHeight="1" x14ac:dyDescent="0.3">
      <c r="A73" s="1366"/>
      <c r="B73" s="1356"/>
      <c r="C73" s="1339"/>
      <c r="E73" s="1384"/>
      <c r="G73" s="1385"/>
    </row>
    <row r="74" spans="1:7" s="465" customFormat="1" ht="35.1" customHeight="1" x14ac:dyDescent="0.35">
      <c r="A74" s="2039" t="s">
        <v>1171</v>
      </c>
      <c r="B74" s="2040"/>
      <c r="C74" s="2041"/>
      <c r="D74" s="1450"/>
      <c r="E74" s="1363"/>
      <c r="F74" s="1364"/>
      <c r="G74" s="1365"/>
    </row>
    <row r="75" spans="1:7" ht="12" customHeight="1" x14ac:dyDescent="0.3">
      <c r="A75" s="1366"/>
      <c r="B75" s="1356"/>
      <c r="C75" s="1339"/>
      <c r="E75" s="1367"/>
      <c r="G75" s="1368"/>
    </row>
    <row r="76" spans="1:7" ht="34.5" customHeight="1" x14ac:dyDescent="0.3">
      <c r="A76" s="1427" t="s">
        <v>1030</v>
      </c>
      <c r="B76" s="1343"/>
      <c r="C76" s="1380"/>
      <c r="E76" s="1345"/>
      <c r="G76" s="1346"/>
    </row>
    <row r="77" spans="1:7" ht="34.5" customHeight="1" x14ac:dyDescent="0.3">
      <c r="A77" s="1427" t="s">
        <v>900</v>
      </c>
      <c r="B77" s="1343"/>
      <c r="C77" s="1441" t="s">
        <v>2015</v>
      </c>
      <c r="E77" s="1345"/>
      <c r="G77" s="1346"/>
    </row>
    <row r="78" spans="1:7" ht="34.5" customHeight="1" x14ac:dyDescent="0.3">
      <c r="A78" s="1427" t="s">
        <v>1989</v>
      </c>
      <c r="B78" s="1343"/>
      <c r="C78" s="1347" t="s">
        <v>1173</v>
      </c>
      <c r="E78" s="1345"/>
      <c r="G78" s="1346"/>
    </row>
    <row r="79" spans="1:7" ht="36" customHeight="1" x14ac:dyDescent="0.3">
      <c r="A79" s="1427" t="s">
        <v>1990</v>
      </c>
      <c r="B79" s="1343"/>
      <c r="C79" s="1347" t="s">
        <v>1225</v>
      </c>
      <c r="E79" s="1345"/>
      <c r="G79" s="1346"/>
    </row>
    <row r="80" spans="1:7" ht="50.25" customHeight="1" x14ac:dyDescent="0.3">
      <c r="A80" s="1381"/>
      <c r="B80" s="1382"/>
      <c r="C80" s="1383"/>
      <c r="E80" s="1384"/>
      <c r="G80" s="1385"/>
    </row>
    <row r="81" spans="1:7" s="465" customFormat="1" ht="35.1" customHeight="1" x14ac:dyDescent="0.35">
      <c r="A81" s="1432" t="s">
        <v>1174</v>
      </c>
      <c r="B81" s="1451"/>
      <c r="C81" s="1434"/>
      <c r="D81" s="1450"/>
      <c r="E81" s="1363"/>
      <c r="F81" s="1364"/>
      <c r="G81" s="1365"/>
    </row>
    <row r="82" spans="1:7" ht="12" customHeight="1" x14ac:dyDescent="0.3">
      <c r="A82" s="1366"/>
      <c r="B82" s="1356"/>
      <c r="C82" s="1339"/>
      <c r="E82" s="1367"/>
      <c r="G82" s="1368"/>
    </row>
    <row r="83" spans="1:7" ht="39.6" customHeight="1" x14ac:dyDescent="0.3">
      <c r="A83" s="1427" t="s">
        <v>1991</v>
      </c>
      <c r="B83" s="1343"/>
      <c r="C83" s="1347" t="s">
        <v>1235</v>
      </c>
      <c r="E83" s="1345"/>
      <c r="G83" s="1346"/>
    </row>
    <row r="84" spans="1:7" ht="34.5" customHeight="1" x14ac:dyDescent="0.3">
      <c r="A84" s="1447" t="s">
        <v>2016</v>
      </c>
      <c r="B84" s="1448"/>
      <c r="C84" s="1449" t="s">
        <v>2017</v>
      </c>
      <c r="E84" s="1345"/>
      <c r="G84" s="1346"/>
    </row>
    <row r="85" spans="1:7" ht="37.200000000000003" customHeight="1" x14ac:dyDescent="0.3">
      <c r="A85" s="1427" t="s">
        <v>1175</v>
      </c>
      <c r="B85" s="1343"/>
      <c r="C85" s="1377" t="s">
        <v>1236</v>
      </c>
      <c r="E85" s="1345"/>
      <c r="G85" s="1346"/>
    </row>
    <row r="86" spans="1:7" ht="29.25" customHeight="1" x14ac:dyDescent="0.3">
      <c r="A86" s="1366"/>
      <c r="B86" s="1356"/>
      <c r="C86" s="1339"/>
      <c r="E86" s="1384"/>
      <c r="G86" s="1385"/>
    </row>
    <row r="87" spans="1:7" s="465" customFormat="1" ht="35.1" customHeight="1" x14ac:dyDescent="0.35">
      <c r="A87" s="2039" t="s">
        <v>1992</v>
      </c>
      <c r="B87" s="2040"/>
      <c r="C87" s="2041"/>
      <c r="D87" s="1450"/>
      <c r="E87" s="1363"/>
      <c r="F87" s="1364"/>
      <c r="G87" s="1365"/>
    </row>
    <row r="88" spans="1:7" ht="12" customHeight="1" x14ac:dyDescent="0.3">
      <c r="A88" s="1366"/>
      <c r="B88" s="1356"/>
      <c r="C88" s="1339"/>
      <c r="E88" s="1367"/>
      <c r="G88" s="1368"/>
    </row>
    <row r="89" spans="1:7" ht="37.950000000000003" customHeight="1" x14ac:dyDescent="0.3">
      <c r="A89" s="1427" t="s">
        <v>1991</v>
      </c>
      <c r="B89" s="1343"/>
      <c r="C89" s="1347" t="s">
        <v>1235</v>
      </c>
      <c r="E89" s="1345"/>
      <c r="G89" s="1346"/>
    </row>
    <row r="90" spans="1:7" ht="45" customHeight="1" x14ac:dyDescent="0.3">
      <c r="A90" s="1427" t="s">
        <v>1175</v>
      </c>
      <c r="B90" s="1343"/>
      <c r="C90" s="1347" t="s">
        <v>1237</v>
      </c>
      <c r="E90" s="1345"/>
      <c r="G90" s="1346"/>
    </row>
    <row r="91" spans="1:7" ht="29.25" customHeight="1" x14ac:dyDescent="0.3">
      <c r="A91" s="1366"/>
      <c r="B91" s="1356"/>
      <c r="C91" s="1339"/>
      <c r="E91" s="1384"/>
      <c r="G91" s="1385"/>
    </row>
    <row r="92" spans="1:7" s="465" customFormat="1" ht="45.6" customHeight="1" x14ac:dyDescent="0.35">
      <c r="A92" s="2039" t="s">
        <v>2018</v>
      </c>
      <c r="B92" s="2040"/>
      <c r="C92" s="2041"/>
      <c r="D92" s="1362"/>
      <c r="E92" s="1363"/>
      <c r="F92" s="1364"/>
      <c r="G92" s="1365"/>
    </row>
    <row r="93" spans="1:7" ht="12" customHeight="1" x14ac:dyDescent="0.3">
      <c r="A93" s="1366"/>
      <c r="B93" s="1356"/>
      <c r="C93" s="1339"/>
      <c r="E93" s="1367"/>
      <c r="G93" s="1368"/>
    </row>
    <row r="94" spans="1:7" ht="37.950000000000003" customHeight="1" x14ac:dyDescent="0.3">
      <c r="A94" s="1427" t="s">
        <v>1991</v>
      </c>
      <c r="B94" s="1343"/>
      <c r="C94" s="1347" t="s">
        <v>1235</v>
      </c>
      <c r="E94" s="1345"/>
      <c r="G94" s="1346"/>
    </row>
    <row r="95" spans="1:7" ht="45" customHeight="1" x14ac:dyDescent="0.3">
      <c r="A95" s="1427" t="s">
        <v>1175</v>
      </c>
      <c r="B95" s="1343"/>
      <c r="C95" s="1347" t="s">
        <v>1237</v>
      </c>
      <c r="E95" s="1345"/>
      <c r="G95" s="1346"/>
    </row>
    <row r="96" spans="1:7" ht="45" customHeight="1" x14ac:dyDescent="0.3">
      <c r="A96" s="1452" t="s">
        <v>2016</v>
      </c>
      <c r="B96" s="1448"/>
      <c r="C96" s="1449" t="s">
        <v>2017</v>
      </c>
      <c r="E96" s="1345"/>
      <c r="G96" s="1346"/>
    </row>
    <row r="97" spans="1:7" ht="30" customHeight="1" x14ac:dyDescent="0.3">
      <c r="A97" s="1381"/>
      <c r="B97" s="1382"/>
      <c r="C97" s="1383"/>
      <c r="E97" s="1384"/>
      <c r="G97" s="1385"/>
    </row>
    <row r="98" spans="1:7" s="465" customFormat="1" ht="35.1" customHeight="1" x14ac:dyDescent="0.35">
      <c r="A98" s="1426" t="s">
        <v>1176</v>
      </c>
      <c r="B98" s="1386"/>
      <c r="C98" s="1361"/>
      <c r="D98" s="1362"/>
      <c r="E98" s="1363"/>
      <c r="F98" s="1364"/>
      <c r="G98" s="1365"/>
    </row>
    <row r="99" spans="1:7" ht="12" customHeight="1" x14ac:dyDescent="0.3">
      <c r="A99" s="1366"/>
      <c r="B99" s="1356"/>
      <c r="C99" s="1339"/>
      <c r="E99" s="1367"/>
      <c r="G99" s="1368"/>
    </row>
    <row r="100" spans="1:7" ht="34.5" customHeight="1" x14ac:dyDescent="0.3">
      <c r="A100" s="1427" t="s">
        <v>2019</v>
      </c>
      <c r="B100" s="1343"/>
      <c r="C100" s="1347" t="s">
        <v>2020</v>
      </c>
      <c r="E100" s="1345"/>
      <c r="G100" s="1346"/>
    </row>
    <row r="101" spans="1:7" ht="30" customHeight="1" x14ac:dyDescent="0.3">
      <c r="A101" s="1387"/>
      <c r="B101" s="1343"/>
      <c r="C101" s="1348"/>
      <c r="E101" s="1378"/>
      <c r="G101" s="1379"/>
    </row>
    <row r="102" spans="1:7" s="465" customFormat="1" ht="35.1" customHeight="1" x14ac:dyDescent="0.35">
      <c r="A102" s="1426" t="s">
        <v>901</v>
      </c>
      <c r="B102" s="1386"/>
      <c r="C102" s="1361"/>
      <c r="D102" s="1362"/>
      <c r="E102" s="1444" t="s">
        <v>1141</v>
      </c>
      <c r="F102" s="1364"/>
      <c r="G102" s="1453" t="s">
        <v>1142</v>
      </c>
    </row>
    <row r="103" spans="1:7" ht="12" customHeight="1" x14ac:dyDescent="0.3">
      <c r="A103" s="1366"/>
      <c r="B103" s="1356"/>
      <c r="C103" s="1339"/>
      <c r="E103" s="1367"/>
      <c r="G103" s="1368"/>
    </row>
    <row r="104" spans="1:7" ht="34.5" customHeight="1" x14ac:dyDescent="0.3">
      <c r="A104" s="1427" t="s">
        <v>1031</v>
      </c>
      <c r="B104" s="1343"/>
      <c r="C104" s="1347" t="s">
        <v>1177</v>
      </c>
      <c r="E104" s="1345"/>
      <c r="G104" s="1346"/>
    </row>
    <row r="105" spans="1:7" ht="34.5" customHeight="1" x14ac:dyDescent="0.3">
      <c r="A105" s="1447" t="s">
        <v>2021</v>
      </c>
      <c r="B105" s="1448"/>
      <c r="C105" s="1449" t="s">
        <v>2017</v>
      </c>
      <c r="E105" s="1345"/>
      <c r="G105" s="1346"/>
    </row>
    <row r="106" spans="1:7" ht="39" customHeight="1" x14ac:dyDescent="0.3">
      <c r="A106" s="1427" t="s">
        <v>1169</v>
      </c>
      <c r="B106" s="1343"/>
      <c r="C106" s="1377" t="s">
        <v>1238</v>
      </c>
      <c r="E106" s="1345"/>
      <c r="G106" s="1346"/>
    </row>
    <row r="107" spans="1:7" ht="30" customHeight="1" x14ac:dyDescent="0.3">
      <c r="A107" s="1387"/>
      <c r="B107" s="1343"/>
      <c r="C107" s="1348"/>
      <c r="E107" s="1378"/>
      <c r="G107" s="1379"/>
    </row>
    <row r="108" spans="1:7" s="465" customFormat="1" ht="35.1" customHeight="1" x14ac:dyDescent="0.35">
      <c r="A108" s="2039" t="s">
        <v>1993</v>
      </c>
      <c r="B108" s="2040"/>
      <c r="C108" s="2041"/>
      <c r="D108" s="1450"/>
      <c r="E108" s="1363"/>
      <c r="F108" s="1364"/>
      <c r="G108" s="1365"/>
    </row>
    <row r="109" spans="1:7" ht="12" customHeight="1" x14ac:dyDescent="0.3">
      <c r="A109" s="1366"/>
      <c r="B109" s="1356"/>
      <c r="C109" s="1339"/>
      <c r="E109" s="1367"/>
      <c r="G109" s="1368"/>
    </row>
    <row r="110" spans="1:7" ht="36.6" customHeight="1" x14ac:dyDescent="0.3">
      <c r="A110" s="1427" t="s">
        <v>1172</v>
      </c>
      <c r="B110" s="1343"/>
      <c r="C110" s="1377" t="s">
        <v>1226</v>
      </c>
      <c r="E110" s="1345"/>
      <c r="G110" s="1346"/>
    </row>
    <row r="111" spans="1:7" ht="37.950000000000003" customHeight="1" x14ac:dyDescent="0.3">
      <c r="A111" s="1427" t="s">
        <v>1227</v>
      </c>
      <c r="B111" s="1343"/>
      <c r="C111" s="1377" t="s">
        <v>1228</v>
      </c>
      <c r="E111" s="1345"/>
      <c r="G111" s="1346"/>
    </row>
    <row r="112" spans="1:7" ht="30" customHeight="1" x14ac:dyDescent="0.3">
      <c r="A112" s="1366"/>
      <c r="B112" s="1356"/>
      <c r="C112" s="1339"/>
      <c r="E112" s="1384"/>
      <c r="G112" s="1385"/>
    </row>
    <row r="113" spans="1:7" s="465" customFormat="1" ht="35.1" customHeight="1" x14ac:dyDescent="0.35">
      <c r="A113" s="1432" t="s">
        <v>902</v>
      </c>
      <c r="B113" s="1451"/>
      <c r="C113" s="1434"/>
      <c r="D113" s="1450"/>
      <c r="E113" s="1363"/>
      <c r="F113" s="1364"/>
      <c r="G113" s="1365"/>
    </row>
    <row r="114" spans="1:7" ht="12" customHeight="1" x14ac:dyDescent="0.3">
      <c r="A114" s="1366"/>
      <c r="B114" s="1356"/>
      <c r="C114" s="1339"/>
      <c r="E114" s="1367"/>
      <c r="G114" s="1368"/>
    </row>
    <row r="115" spans="1:7" ht="42" customHeight="1" x14ac:dyDescent="0.3">
      <c r="A115" s="1427" t="s">
        <v>1178</v>
      </c>
      <c r="B115" s="1343"/>
      <c r="C115" s="1347" t="s">
        <v>1232</v>
      </c>
      <c r="E115" s="1345"/>
      <c r="G115" s="1346"/>
    </row>
    <row r="116" spans="1:7" ht="36.6" customHeight="1" x14ac:dyDescent="0.3">
      <c r="A116" s="1427" t="s">
        <v>1180</v>
      </c>
      <c r="B116" s="1343"/>
      <c r="C116" s="1347" t="s">
        <v>1179</v>
      </c>
      <c r="E116" s="1345"/>
      <c r="G116" s="1346"/>
    </row>
    <row r="117" spans="1:7" ht="51.6" customHeight="1" x14ac:dyDescent="0.3">
      <c r="A117" s="1427" t="s">
        <v>1181</v>
      </c>
      <c r="B117" s="1343"/>
      <c r="C117" s="1347" t="s">
        <v>1233</v>
      </c>
      <c r="E117" s="1345"/>
      <c r="G117" s="1346"/>
    </row>
    <row r="118" spans="1:7" ht="51.6" customHeight="1" x14ac:dyDescent="0.3">
      <c r="A118" s="1427" t="s">
        <v>1182</v>
      </c>
      <c r="B118" s="1343"/>
      <c r="C118" s="1347" t="s">
        <v>1234</v>
      </c>
      <c r="D118" s="1388"/>
      <c r="E118" s="1345"/>
      <c r="G118" s="1346"/>
    </row>
    <row r="119" spans="1:7" ht="35.4" customHeight="1" x14ac:dyDescent="0.3">
      <c r="A119" s="1354"/>
      <c r="B119" s="1355"/>
      <c r="C119" s="1356"/>
      <c r="E119" s="1389"/>
      <c r="G119" s="1390"/>
    </row>
    <row r="120" spans="1:7" s="464" customFormat="1" ht="69.900000000000006" customHeight="1" x14ac:dyDescent="0.45">
      <c r="A120" s="1454" t="s">
        <v>897</v>
      </c>
      <c r="B120" s="1455"/>
      <c r="C120" s="1456"/>
      <c r="D120" s="1337"/>
      <c r="E120" s="1430" t="s">
        <v>1141</v>
      </c>
      <c r="F120" s="1337"/>
      <c r="G120" s="1431" t="s">
        <v>1142</v>
      </c>
    </row>
    <row r="121" spans="1:7" ht="30" customHeight="1" x14ac:dyDescent="0.3">
      <c r="A121" s="1387"/>
      <c r="B121" s="1343"/>
      <c r="C121" s="1348"/>
      <c r="E121" s="1378"/>
      <c r="G121" s="1379"/>
    </row>
    <row r="122" spans="1:7" s="465" customFormat="1" ht="35.1" customHeight="1" x14ac:dyDescent="0.35">
      <c r="A122" s="1426" t="s">
        <v>898</v>
      </c>
      <c r="B122" s="1386"/>
      <c r="C122" s="1361"/>
      <c r="D122" s="1362"/>
      <c r="E122" s="1363"/>
      <c r="F122" s="1364"/>
      <c r="G122" s="1365"/>
    </row>
    <row r="123" spans="1:7" ht="12" customHeight="1" x14ac:dyDescent="0.3">
      <c r="A123" s="1366"/>
      <c r="B123" s="1356"/>
      <c r="C123" s="1339"/>
      <c r="E123" s="1367"/>
      <c r="G123" s="1368"/>
    </row>
    <row r="124" spans="1:7" ht="67.2" customHeight="1" x14ac:dyDescent="0.3">
      <c r="A124" s="1376" t="s">
        <v>1994</v>
      </c>
      <c r="B124" s="1343"/>
      <c r="C124" s="1377" t="s">
        <v>1183</v>
      </c>
      <c r="E124" s="1345"/>
      <c r="G124" s="1346"/>
    </row>
    <row r="125" spans="1:7" ht="34.5" customHeight="1" x14ac:dyDescent="0.3">
      <c r="A125" s="1376" t="s">
        <v>1184</v>
      </c>
      <c r="B125" s="1343"/>
      <c r="C125" s="1347" t="s">
        <v>1185</v>
      </c>
      <c r="E125" s="1345"/>
      <c r="G125" s="1346"/>
    </row>
    <row r="126" spans="1:7" ht="34.5" customHeight="1" x14ac:dyDescent="0.3">
      <c r="A126" s="1376" t="s">
        <v>1186</v>
      </c>
      <c r="B126" s="1343"/>
      <c r="C126" s="1347" t="s">
        <v>1187</v>
      </c>
      <c r="E126" s="1345"/>
      <c r="G126" s="1346"/>
    </row>
    <row r="127" spans="1:7" ht="30" customHeight="1" x14ac:dyDescent="0.3">
      <c r="A127" s="1387"/>
      <c r="B127" s="1343"/>
      <c r="C127" s="1348"/>
      <c r="E127" s="1378"/>
      <c r="G127" s="1379"/>
    </row>
    <row r="128" spans="1:7" s="465" customFormat="1" ht="35.1" customHeight="1" x14ac:dyDescent="0.35">
      <c r="A128" s="1426" t="s">
        <v>1188</v>
      </c>
      <c r="B128" s="1386"/>
      <c r="C128" s="1361"/>
      <c r="D128" s="1362"/>
      <c r="E128" s="1363"/>
      <c r="F128" s="1364"/>
      <c r="G128" s="1365"/>
    </row>
    <row r="129" spans="1:7" ht="12" customHeight="1" x14ac:dyDescent="0.3">
      <c r="A129" s="1366"/>
      <c r="B129" s="1356"/>
      <c r="C129" s="1339"/>
      <c r="E129" s="1367"/>
      <c r="G129" s="1368"/>
    </row>
    <row r="130" spans="1:7" ht="84" customHeight="1" x14ac:dyDescent="0.3">
      <c r="A130" s="1376" t="s">
        <v>1189</v>
      </c>
      <c r="B130" s="1343"/>
      <c r="C130" s="1377" t="s">
        <v>1190</v>
      </c>
      <c r="E130" s="1345"/>
      <c r="G130" s="1346"/>
    </row>
    <row r="131" spans="1:7" ht="34.5" customHeight="1" x14ac:dyDescent="0.3">
      <c r="A131" s="1376" t="s">
        <v>1191</v>
      </c>
      <c r="B131" s="1343"/>
      <c r="C131" s="1377" t="s">
        <v>1192</v>
      </c>
      <c r="E131" s="1345"/>
      <c r="G131" s="1346"/>
    </row>
    <row r="132" spans="1:7" ht="81" customHeight="1" x14ac:dyDescent="0.3">
      <c r="A132" s="1427" t="s">
        <v>1193</v>
      </c>
      <c r="B132" s="1343"/>
      <c r="C132" s="1377" t="s">
        <v>1194</v>
      </c>
      <c r="E132" s="1345"/>
      <c r="G132" s="1346"/>
    </row>
    <row r="133" spans="1:7" ht="39.75" customHeight="1" x14ac:dyDescent="0.3">
      <c r="C133" s="1393"/>
      <c r="F133" s="1394"/>
    </row>
    <row r="134" spans="1:7" ht="69.75" customHeight="1" x14ac:dyDescent="0.25">
      <c r="A134" s="2036" t="s">
        <v>1195</v>
      </c>
      <c r="B134" s="2037"/>
      <c r="C134" s="2037"/>
      <c r="D134" s="2037"/>
      <c r="E134" s="2037"/>
      <c r="F134" s="2037"/>
      <c r="G134" s="2038"/>
    </row>
    <row r="135" spans="1:7" ht="30" customHeight="1" x14ac:dyDescent="0.3">
      <c r="C135" s="1393"/>
    </row>
    <row r="136" spans="1:7" ht="45" customHeight="1" x14ac:dyDescent="0.25">
      <c r="A136" s="1395" t="s">
        <v>1196</v>
      </c>
      <c r="C136" s="2044"/>
      <c r="D136" s="2045"/>
      <c r="E136" s="2045"/>
      <c r="F136" s="2045"/>
      <c r="G136" s="2046"/>
    </row>
    <row r="137" spans="1:7" ht="12" customHeight="1" x14ac:dyDescent="0.3">
      <c r="A137" s="1366"/>
      <c r="B137" s="1356"/>
      <c r="C137" s="1339"/>
      <c r="E137" s="1367"/>
      <c r="G137" s="1368"/>
    </row>
    <row r="138" spans="1:7" ht="45" customHeight="1" x14ac:dyDescent="0.25">
      <c r="A138" s="1395" t="s">
        <v>1197</v>
      </c>
      <c r="C138" s="2044"/>
      <c r="D138" s="2045"/>
      <c r="E138" s="2045"/>
      <c r="F138" s="2045"/>
      <c r="G138" s="2046"/>
    </row>
    <row r="139" spans="1:7" ht="12" customHeight="1" x14ac:dyDescent="0.3">
      <c r="A139" s="1366"/>
      <c r="B139" s="1356"/>
      <c r="C139" s="1339"/>
      <c r="E139" s="1367"/>
      <c r="G139" s="1368"/>
    </row>
    <row r="140" spans="1:7" ht="45" customHeight="1" x14ac:dyDescent="0.25">
      <c r="A140" s="1395" t="s">
        <v>1198</v>
      </c>
      <c r="C140" s="2044"/>
      <c r="D140" s="2045"/>
      <c r="E140" s="2045"/>
      <c r="F140" s="2045"/>
      <c r="G140" s="2046"/>
    </row>
    <row r="141" spans="1:7" ht="30" customHeight="1" x14ac:dyDescent="0.3">
      <c r="C141" s="1393"/>
      <c r="E141" s="1396"/>
    </row>
    <row r="142" spans="1:7" ht="14.25" customHeight="1" x14ac:dyDescent="0.25">
      <c r="A142" s="2047" t="s">
        <v>1199</v>
      </c>
      <c r="B142" s="2047"/>
      <c r="C142" s="2047"/>
      <c r="D142" s="2047"/>
      <c r="E142" s="2047"/>
      <c r="F142" s="2047"/>
      <c r="G142" s="2047"/>
    </row>
    <row r="143" spans="1:7" ht="14.25" customHeight="1" x14ac:dyDescent="0.25">
      <c r="A143" s="2047"/>
      <c r="B143" s="2047"/>
      <c r="C143" s="2047"/>
      <c r="D143" s="2047"/>
      <c r="E143" s="2047"/>
      <c r="F143" s="2047"/>
      <c r="G143" s="2047"/>
    </row>
    <row r="144" spans="1:7" ht="14.25" customHeight="1" x14ac:dyDescent="0.25">
      <c r="A144" s="2047"/>
      <c r="B144" s="2047"/>
      <c r="C144" s="2047"/>
      <c r="D144" s="2047"/>
      <c r="E144" s="2047"/>
      <c r="F144" s="2047"/>
      <c r="G144" s="2047"/>
    </row>
    <row r="145" spans="1:7" ht="50.25" customHeight="1" x14ac:dyDescent="0.25">
      <c r="A145" s="2047"/>
      <c r="B145" s="2047"/>
      <c r="C145" s="2047"/>
      <c r="D145" s="2047"/>
      <c r="E145" s="2047"/>
      <c r="F145" s="2047"/>
      <c r="G145" s="2047"/>
    </row>
    <row r="146" spans="1:7" x14ac:dyDescent="0.25">
      <c r="A146" s="1397"/>
      <c r="C146" s="1391"/>
      <c r="D146" s="1392"/>
      <c r="F146" s="1394"/>
      <c r="G146" s="1398"/>
    </row>
    <row r="147" spans="1:7" x14ac:dyDescent="0.25">
      <c r="A147" s="1397"/>
      <c r="C147" s="1391"/>
      <c r="D147" s="1392"/>
      <c r="F147" s="1394"/>
      <c r="G147" s="1398"/>
    </row>
    <row r="148" spans="1:7" x14ac:dyDescent="0.25">
      <c r="A148" s="1397"/>
      <c r="C148" s="1391"/>
      <c r="D148" s="1392"/>
      <c r="F148" s="1394"/>
      <c r="G148" s="1398"/>
    </row>
    <row r="149" spans="1:7" x14ac:dyDescent="0.25">
      <c r="A149" s="1397"/>
      <c r="C149" s="1391"/>
      <c r="D149" s="1392"/>
      <c r="F149" s="1394"/>
      <c r="G149" s="1398"/>
    </row>
    <row r="150" spans="1:7" x14ac:dyDescent="0.25">
      <c r="A150" s="1397"/>
      <c r="C150" s="1391"/>
      <c r="D150" s="1392"/>
      <c r="F150" s="1394"/>
      <c r="G150" s="1398"/>
    </row>
    <row r="151" spans="1:7" x14ac:dyDescent="0.25">
      <c r="A151" s="1397"/>
      <c r="C151" s="1391"/>
      <c r="D151" s="1392"/>
      <c r="F151" s="1394"/>
      <c r="G151" s="1398"/>
    </row>
    <row r="152" spans="1:7" x14ac:dyDescent="0.25">
      <c r="A152" s="1397"/>
      <c r="C152" s="1391"/>
      <c r="D152" s="1392"/>
      <c r="F152" s="1394"/>
      <c r="G152" s="1398"/>
    </row>
    <row r="153" spans="1:7" x14ac:dyDescent="0.25">
      <c r="A153" s="1397"/>
      <c r="C153" s="1391"/>
      <c r="D153" s="1392"/>
      <c r="F153" s="1394"/>
      <c r="G153" s="1398"/>
    </row>
    <row r="154" spans="1:7" x14ac:dyDescent="0.25">
      <c r="A154" s="1397"/>
      <c r="C154" s="1391"/>
      <c r="D154" s="1392"/>
      <c r="F154" s="1394"/>
      <c r="G154" s="1398"/>
    </row>
    <row r="155" spans="1:7" ht="16.2" x14ac:dyDescent="0.3">
      <c r="A155" s="1399"/>
      <c r="B155" s="1400"/>
      <c r="C155" s="1401"/>
      <c r="F155" s="1394"/>
      <c r="G155" s="1398"/>
    </row>
    <row r="156" spans="1:7" x14ac:dyDescent="0.3">
      <c r="A156" s="1402"/>
      <c r="C156" s="1393"/>
      <c r="F156" s="1394"/>
      <c r="G156" s="1398"/>
    </row>
    <row r="157" spans="1:7" ht="14.25" customHeight="1" x14ac:dyDescent="0.3">
      <c r="A157" s="1403"/>
      <c r="B157" s="1404"/>
      <c r="C157" s="1405"/>
      <c r="D157" s="1388"/>
      <c r="E157" s="1406"/>
      <c r="F157" s="1406"/>
      <c r="G157" s="1407"/>
    </row>
    <row r="158" spans="1:7" ht="30" customHeight="1" x14ac:dyDescent="0.3">
      <c r="C158" s="1393"/>
      <c r="F158" s="1394"/>
    </row>
    <row r="159" spans="1:7" ht="15" customHeight="1" x14ac:dyDescent="0.25">
      <c r="A159" s="2047" t="s">
        <v>1200</v>
      </c>
      <c r="B159" s="2047"/>
      <c r="C159" s="2047"/>
      <c r="D159" s="2047"/>
      <c r="E159" s="2047"/>
      <c r="F159" s="2047"/>
      <c r="G159" s="2047"/>
    </row>
    <row r="160" spans="1:7" ht="49.5" customHeight="1" x14ac:dyDescent="0.25">
      <c r="A160" s="2047"/>
      <c r="B160" s="2047"/>
      <c r="C160" s="2047"/>
      <c r="D160" s="2047"/>
      <c r="E160" s="2047"/>
      <c r="F160" s="2047"/>
      <c r="G160" s="2047"/>
    </row>
    <row r="161" spans="1:7" ht="14.25" customHeight="1" x14ac:dyDescent="0.3">
      <c r="A161" s="1399"/>
      <c r="B161" s="1400"/>
      <c r="C161" s="1401"/>
      <c r="G161" s="1398"/>
    </row>
    <row r="162" spans="1:7" ht="14.25" customHeight="1" x14ac:dyDescent="0.3">
      <c r="A162" s="1402"/>
      <c r="C162" s="1393"/>
      <c r="G162" s="1398"/>
    </row>
    <row r="163" spans="1:7" ht="14.25" customHeight="1" x14ac:dyDescent="0.3">
      <c r="A163" s="1402"/>
      <c r="C163" s="1393"/>
      <c r="G163" s="1398"/>
    </row>
    <row r="164" spans="1:7" ht="14.25" customHeight="1" x14ac:dyDescent="0.3">
      <c r="A164" s="1402"/>
      <c r="C164" s="1393"/>
      <c r="G164" s="1398"/>
    </row>
    <row r="165" spans="1:7" ht="14.25" customHeight="1" x14ac:dyDescent="0.3">
      <c r="A165" s="1399"/>
      <c r="B165" s="1400"/>
      <c r="C165" s="1401"/>
      <c r="E165" s="1408"/>
      <c r="G165" s="1409"/>
    </row>
    <row r="166" spans="1:7" x14ac:dyDescent="0.3">
      <c r="A166" s="1410"/>
      <c r="B166" s="1411"/>
      <c r="C166" s="1412"/>
      <c r="D166" s="1388"/>
      <c r="E166" s="1396"/>
      <c r="F166" s="1388"/>
      <c r="G166" s="1413"/>
    </row>
    <row r="167" spans="1:7" x14ac:dyDescent="0.3">
      <c r="C167" s="1393"/>
    </row>
  </sheetData>
  <sheetProtection algorithmName="SHA-512" hashValue="c+aN+a3ykPRmvy0Bnod589azTC88Lc99SHdzt2+FHmJ6fUMen88HgzD1C/SsptQgYNZbXdmYg7K/aHYuXJCseA==" saltValue="/MPjWEiHFE+wq1dxAXjQLA==" spinCount="100000" sheet="1" selectLockedCells="1"/>
  <mergeCells count="17">
    <mergeCell ref="C136:G136"/>
    <mergeCell ref="C138:G138"/>
    <mergeCell ref="C140:G140"/>
    <mergeCell ref="A142:G145"/>
    <mergeCell ref="A159:G160"/>
    <mergeCell ref="A134:G134"/>
    <mergeCell ref="A2:B2"/>
    <mergeCell ref="A20:C20"/>
    <mergeCell ref="A38:C38"/>
    <mergeCell ref="A49:C49"/>
    <mergeCell ref="A57:B57"/>
    <mergeCell ref="A59:C59"/>
    <mergeCell ref="A64:C64"/>
    <mergeCell ref="A74:C74"/>
    <mergeCell ref="A87:C87"/>
    <mergeCell ref="A92:C92"/>
    <mergeCell ref="A108:C108"/>
  </mergeCells>
  <pageMargins left="0.25" right="0.25" top="0.75" bottom="0.4" header="0.3" footer="0.3"/>
  <pageSetup paperSize="9" scale="56" fitToHeight="0" orientation="portrait" r:id="rId1"/>
  <headerFooter>
    <oddHeader xml:space="preserve">&amp;L&amp;G&amp;C&amp;"Trebuchet MS,Félkövér"&amp;18Benyújtandó dokumentumok jegyzéke
NEM HITELKIVÁLTÁSNÁL
</oddHeader>
    <oddFooter>&amp;C&amp;"Trebuchet MS,Normál"&amp;K000000&amp;P</oddFooter>
  </headerFooter>
  <rowBreaks count="4" manualBreakCount="4">
    <brk id="34" max="6" man="1"/>
    <brk id="63" max="6" man="1"/>
    <brk id="102" max="6" man="1"/>
    <brk id="133" max="6"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119"/>
  <sheetViews>
    <sheetView tabSelected="1" zoomScale="80" zoomScaleNormal="80" zoomScalePageLayoutView="70" workbookViewId="0">
      <selection activeCell="B35" sqref="B35:C35"/>
    </sheetView>
  </sheetViews>
  <sheetFormatPr defaultColWidth="9.33203125" defaultRowHeight="14.4" x14ac:dyDescent="0.3"/>
  <cols>
    <col min="1" max="1" width="52.44140625" style="775" customWidth="1"/>
    <col min="2" max="2" width="18.5546875" style="775" customWidth="1"/>
    <col min="3" max="3" width="17.5546875" style="775" customWidth="1"/>
    <col min="4" max="4" width="3.44140625" style="775" customWidth="1"/>
    <col min="5" max="5" width="54.33203125" style="775" customWidth="1"/>
    <col min="6" max="6" width="32.6640625" style="775" customWidth="1"/>
    <col min="7" max="7" width="24.109375" style="775" customWidth="1"/>
    <col min="8" max="8" width="22.33203125" style="11" hidden="1" customWidth="1"/>
    <col min="9" max="9" width="15.33203125" style="11" hidden="1" customWidth="1"/>
    <col min="10" max="10" width="20.6640625" style="11" hidden="1" customWidth="1"/>
    <col min="11" max="11" width="15.33203125" style="11" hidden="1" customWidth="1"/>
    <col min="12" max="12" width="20.6640625" style="14" hidden="1" customWidth="1"/>
    <col min="13" max="13" width="15" style="14" hidden="1" customWidth="1"/>
    <col min="14" max="14" width="25.33203125" style="14" hidden="1" customWidth="1"/>
    <col min="15" max="15" width="18.5546875" style="14" hidden="1" customWidth="1"/>
    <col min="16" max="16" width="18.6640625" style="14" hidden="1" customWidth="1"/>
    <col min="17" max="17" width="13.5546875" style="14" hidden="1" customWidth="1"/>
    <col min="18" max="18" width="17.33203125" style="14" hidden="1" customWidth="1"/>
    <col min="19" max="19" width="19.44140625" style="14" hidden="1" customWidth="1"/>
    <col min="20" max="20" width="15.33203125" style="14" hidden="1" customWidth="1"/>
    <col min="21" max="21" width="16.5546875" style="14" hidden="1" customWidth="1"/>
    <col min="22" max="23" width="15.6640625" style="14" hidden="1" customWidth="1"/>
    <col min="24" max="26" width="9.33203125" style="14" hidden="1" customWidth="1"/>
    <col min="27" max="27" width="16.44140625" style="14" hidden="1" customWidth="1"/>
    <col min="28" max="28" width="18.6640625" style="14" hidden="1" customWidth="1"/>
    <col min="29" max="32" width="16.44140625" style="14" hidden="1" customWidth="1"/>
    <col min="33" max="33" width="17.44140625" style="14" hidden="1" customWidth="1"/>
    <col min="34" max="36" width="9.33203125" style="14" hidden="1" customWidth="1"/>
    <col min="37" max="37" width="12.5546875" style="14" hidden="1" customWidth="1"/>
    <col min="38" max="38" width="9.33203125" style="14" hidden="1" customWidth="1"/>
    <col min="39" max="39" width="14.33203125" style="14" hidden="1" customWidth="1"/>
    <col min="40" max="41" width="9.33203125" style="14" hidden="1" customWidth="1"/>
    <col min="42" max="42" width="15.5546875" style="14" hidden="1" customWidth="1"/>
    <col min="43" max="87" width="9.33203125" style="14" hidden="1" customWidth="1"/>
    <col min="88" max="147" width="9.33203125" style="14" customWidth="1"/>
    <col min="148" max="16384" width="9.33203125" style="14"/>
  </cols>
  <sheetData>
    <row r="1" spans="1:11" s="7" customFormat="1" ht="21" customHeight="1" thickBot="1" x14ac:dyDescent="0.35">
      <c r="A1" s="1563" t="s">
        <v>911</v>
      </c>
      <c r="B1" s="1563"/>
      <c r="C1" s="1563"/>
      <c r="D1" s="775"/>
      <c r="E1" s="1564" t="s">
        <v>971</v>
      </c>
      <c r="F1" s="1564"/>
      <c r="G1" s="1564"/>
      <c r="H1" s="11"/>
      <c r="I1" s="11"/>
      <c r="J1" s="11"/>
      <c r="K1" s="11"/>
    </row>
    <row r="2" spans="1:11" s="7" customFormat="1" ht="30.75" customHeight="1" x14ac:dyDescent="0.3">
      <c r="A2" s="1568" t="s">
        <v>1504</v>
      </c>
      <c r="B2" s="1569"/>
      <c r="C2" s="1570"/>
      <c r="D2" s="775"/>
      <c r="E2" s="776" t="s">
        <v>80</v>
      </c>
      <c r="F2" s="777"/>
      <c r="G2" s="894"/>
      <c r="H2" s="11"/>
      <c r="I2" s="11"/>
      <c r="J2" s="11"/>
      <c r="K2" s="11"/>
    </row>
    <row r="3" spans="1:11" s="7" customFormat="1" ht="15.75" customHeight="1" x14ac:dyDescent="0.35">
      <c r="A3" s="779"/>
      <c r="B3" s="1566" t="s">
        <v>81</v>
      </c>
      <c r="C3" s="1567"/>
      <c r="D3" s="780"/>
      <c r="E3" s="781" t="s">
        <v>1406</v>
      </c>
      <c r="F3" s="782" t="str">
        <f>IF(G3="nem hitelezhető","nem hitelezhető",IF(I3="M1","Prémium 1, ",IF(I3="M2","Prémium 2, ",IF(I3="M3","Kiváló 1, ",IF(I3="M4","Kiváló 2, ","Jó, "))))&amp;J3)</f>
        <v>Prémium 1, L2</v>
      </c>
      <c r="G3" s="895" t="str">
        <f>IF(OR(B7&gt;15000000,B10&gt;300),"nem hitelezhető",IF(OR(AND(OR(tr!AB48=0,tr!Y35&lt;tr!N35),B3="Lakáscélú hitel"),AND(B3="Szabad felhasználású hitel",OR(tr!AB58=0,tr!Y35&lt;tr!N36))),"nem hitelezhető",VLOOKUP(B3,tr!J35:K36,2,FALSE)))</f>
        <v>M1L2</v>
      </c>
      <c r="H3" s="11"/>
      <c r="I3" s="12" t="str">
        <f>LEFT(G3,2)</f>
        <v>M1</v>
      </c>
      <c r="J3" s="11" t="str">
        <f>IF(MID(G3,3,1)="L",RIGHT(G3,2)," ")</f>
        <v>L2</v>
      </c>
      <c r="K3" s="11"/>
    </row>
    <row r="4" spans="1:11" s="7" customFormat="1" ht="9" hidden="1" customHeight="1" x14ac:dyDescent="0.35">
      <c r="A4" s="779"/>
      <c r="B4" s="783"/>
      <c r="C4" s="784"/>
      <c r="D4" s="780"/>
      <c r="E4" s="781"/>
      <c r="F4" s="782"/>
      <c r="G4" s="895"/>
      <c r="H4" s="11"/>
      <c r="I4" s="12"/>
      <c r="J4" s="11"/>
      <c r="K4" s="11"/>
    </row>
    <row r="5" spans="1:11" s="7" customFormat="1" ht="16.2" hidden="1" x14ac:dyDescent="0.35">
      <c r="A5" s="785">
        <v>0</v>
      </c>
      <c r="B5" s="1571" t="s">
        <v>1097</v>
      </c>
      <c r="C5" s="1572"/>
      <c r="D5" s="780"/>
      <c r="E5" s="781"/>
      <c r="F5" s="782"/>
      <c r="G5" s="895"/>
      <c r="H5" s="11"/>
      <c r="I5" s="12"/>
      <c r="J5" s="11"/>
      <c r="K5" s="11"/>
    </row>
    <row r="6" spans="1:11" s="7" customFormat="1" ht="7.5" customHeight="1" thickBot="1" x14ac:dyDescent="0.35">
      <c r="A6" s="786"/>
      <c r="B6" s="787"/>
      <c r="C6" s="788"/>
      <c r="D6" s="780"/>
      <c r="E6" s="789"/>
      <c r="F6" s="790"/>
      <c r="G6" s="807"/>
      <c r="H6" s="11"/>
      <c r="I6" s="461"/>
      <c r="J6" s="11"/>
      <c r="K6" s="11"/>
    </row>
    <row r="7" spans="1:11" s="7" customFormat="1" ht="18" x14ac:dyDescent="0.35">
      <c r="A7" s="786" t="s">
        <v>1132</v>
      </c>
      <c r="B7" s="1547">
        <v>12000000</v>
      </c>
      <c r="C7" s="1548"/>
      <c r="D7" s="791"/>
      <c r="E7" s="792" t="s">
        <v>1349</v>
      </c>
      <c r="F7" s="793">
        <f>IF(OR(B8=paraméterek!A180,egyszerűsített_kalkulátor!B8=paraméterek!A181),0%,F12)</f>
        <v>0.03</v>
      </c>
      <c r="G7" s="896" t="s">
        <v>82</v>
      </c>
      <c r="H7" s="462">
        <f>+F66/B26</f>
        <v>0.8</v>
      </c>
      <c r="I7" s="12"/>
      <c r="J7" s="11"/>
      <c r="K7" s="11"/>
    </row>
    <row r="8" spans="1:11" s="7" customFormat="1" ht="18" customHeight="1" x14ac:dyDescent="0.35">
      <c r="A8" s="786" t="s">
        <v>123</v>
      </c>
      <c r="B8" s="1547" t="s">
        <v>600</v>
      </c>
      <c r="C8" s="1548"/>
      <c r="D8" s="791"/>
      <c r="E8" s="794" t="s">
        <v>1350</v>
      </c>
      <c r="F8" s="795">
        <f>+Hirdetmény!E40</f>
        <v>0.13400000000000001</v>
      </c>
      <c r="G8" s="896"/>
      <c r="H8" s="462"/>
      <c r="I8" s="12"/>
      <c r="J8" s="11"/>
      <c r="K8" s="11"/>
    </row>
    <row r="9" spans="1:11" s="7" customFormat="1" ht="18" hidden="1" customHeight="1" x14ac:dyDescent="0.3">
      <c r="A9" s="786" t="s">
        <v>1139</v>
      </c>
      <c r="B9" s="1573" t="str">
        <f>+IF(B7&gt;=7000000,"igen","nem")</f>
        <v>igen</v>
      </c>
      <c r="C9" s="1574"/>
      <c r="D9" s="791"/>
      <c r="E9" s="786"/>
      <c r="F9" s="796"/>
      <c r="G9" s="896"/>
      <c r="H9" s="463"/>
      <c r="I9" s="461"/>
      <c r="J9" s="11"/>
      <c r="K9" s="11"/>
    </row>
    <row r="10" spans="1:11" s="7" customFormat="1" ht="18" x14ac:dyDescent="0.35">
      <c r="A10" s="786" t="s">
        <v>1352</v>
      </c>
      <c r="B10" s="1549">
        <v>240</v>
      </c>
      <c r="C10" s="1550"/>
      <c r="D10" s="780"/>
      <c r="E10" s="794" t="s">
        <v>1826</v>
      </c>
      <c r="F10" s="795">
        <f>X79</f>
        <v>0.14489675614077413</v>
      </c>
      <c r="G10" s="896" t="s">
        <v>83</v>
      </c>
      <c r="H10" s="351">
        <f>IF(B3="Lakáscélú hitel",+B26*0.75,B26*0.6)</f>
        <v>11250000</v>
      </c>
      <c r="I10" s="11"/>
      <c r="J10" s="11"/>
      <c r="K10" s="11"/>
    </row>
    <row r="11" spans="1:11" s="7" customFormat="1" ht="18" hidden="1" customHeight="1" x14ac:dyDescent="0.35">
      <c r="A11" s="786"/>
      <c r="B11" s="787"/>
      <c r="C11" s="788"/>
      <c r="D11" s="780"/>
      <c r="E11" s="794"/>
      <c r="F11" s="796"/>
      <c r="G11" s="896"/>
      <c r="H11" s="352"/>
      <c r="I11" s="11"/>
      <c r="J11" s="11"/>
      <c r="K11" s="11"/>
    </row>
    <row r="12" spans="1:11" s="7" customFormat="1" ht="24.75" hidden="1" customHeight="1" x14ac:dyDescent="0.35">
      <c r="A12" s="786" t="s">
        <v>1131</v>
      </c>
      <c r="B12" s="1571" t="s">
        <v>85</v>
      </c>
      <c r="C12" s="1572"/>
      <c r="D12" s="780"/>
      <c r="E12" s="794" t="s">
        <v>1924</v>
      </c>
      <c r="F12" s="797">
        <v>0.03</v>
      </c>
      <c r="G12" s="896"/>
      <c r="H12" s="352"/>
      <c r="I12" s="11"/>
      <c r="J12" s="11"/>
      <c r="K12" s="11"/>
    </row>
    <row r="13" spans="1:11" s="7" customFormat="1" ht="18.75" hidden="1" customHeight="1" thickBot="1" x14ac:dyDescent="0.4">
      <c r="A13" s="786"/>
      <c r="B13" s="798"/>
      <c r="C13" s="799"/>
      <c r="D13" s="780"/>
      <c r="E13" s="794"/>
      <c r="F13" s="797"/>
      <c r="G13" s="896"/>
      <c r="H13" s="352"/>
      <c r="I13" s="11"/>
      <c r="J13" s="11"/>
      <c r="K13" s="11"/>
    </row>
    <row r="14" spans="1:11" s="7" customFormat="1" ht="13.5" hidden="1" customHeight="1" x14ac:dyDescent="0.35">
      <c r="A14" s="800" t="s">
        <v>1140</v>
      </c>
      <c r="B14" s="1573" t="str">
        <f>+IF(B41&gt;=250000,"igen","nem")</f>
        <v>igen</v>
      </c>
      <c r="C14" s="1574"/>
      <c r="D14" s="780"/>
      <c r="E14" s="794"/>
      <c r="F14" s="801"/>
      <c r="G14" s="896"/>
      <c r="H14" s="352"/>
      <c r="I14" s="11"/>
      <c r="J14" s="11"/>
      <c r="K14" s="11"/>
    </row>
    <row r="15" spans="1:11" s="7" customFormat="1" ht="22.5" customHeight="1" x14ac:dyDescent="0.35">
      <c r="A15" s="802" t="s">
        <v>1842</v>
      </c>
      <c r="B15" s="1579" t="s">
        <v>87</v>
      </c>
      <c r="C15" s="1550"/>
      <c r="D15" s="780"/>
      <c r="E15" s="794" t="s">
        <v>1898</v>
      </c>
      <c r="F15" s="795">
        <f>Hirdetmény!E41+24%</f>
        <v>0.37</v>
      </c>
      <c r="G15" s="896"/>
      <c r="H15" s="352"/>
      <c r="I15" s="11"/>
      <c r="J15" s="11"/>
      <c r="K15" s="11"/>
    </row>
    <row r="16" spans="1:11" s="7" customFormat="1" ht="16.95" customHeight="1" x14ac:dyDescent="0.35">
      <c r="A16" s="786" t="s">
        <v>1822</v>
      </c>
      <c r="B16" s="1577">
        <f>IF(B15="igen",24,0)</f>
        <v>0</v>
      </c>
      <c r="C16" s="1578"/>
      <c r="D16" s="780"/>
      <c r="E16" s="794" t="s">
        <v>1899</v>
      </c>
      <c r="F16" s="795">
        <f>((IRR(AP79:AP704,0.01)+1)^12)-1</f>
        <v>0.14595486047977468</v>
      </c>
      <c r="G16" s="897"/>
      <c r="H16" s="352"/>
      <c r="I16" s="11"/>
      <c r="J16" s="11"/>
      <c r="K16" s="11"/>
    </row>
    <row r="17" spans="1:11" s="7" customFormat="1" ht="41.4" customHeight="1" thickBot="1" x14ac:dyDescent="0.4">
      <c r="A17" s="786"/>
      <c r="B17" s="787"/>
      <c r="C17" s="788"/>
      <c r="D17" s="780"/>
      <c r="E17" s="803" t="s">
        <v>1901</v>
      </c>
      <c r="F17" s="1414" t="str">
        <f>IF(F16&lt;F15,"Megfelel","THM Maximumnál magasabb érték")</f>
        <v>Megfelel</v>
      </c>
      <c r="G17" s="807"/>
      <c r="H17" s="11"/>
      <c r="I17" s="11"/>
      <c r="J17" s="11"/>
      <c r="K17" s="11"/>
    </row>
    <row r="18" spans="1:11" s="7" customFormat="1" ht="18" customHeight="1" x14ac:dyDescent="0.3">
      <c r="A18" s="786" t="s">
        <v>84</v>
      </c>
      <c r="B18" s="1549" t="s">
        <v>85</v>
      </c>
      <c r="C18" s="1550"/>
      <c r="D18" s="780"/>
      <c r="E18" s="775"/>
      <c r="F18" s="775"/>
      <c r="G18" s="896" t="s">
        <v>86</v>
      </c>
      <c r="H18" s="459">
        <f>+VLOOKUP(B3,tr!J35:U36,12,FALSE)</f>
        <v>103753943.58800064</v>
      </c>
      <c r="I18" s="385" t="s">
        <v>85</v>
      </c>
      <c r="J18" s="11"/>
      <c r="K18" s="11"/>
    </row>
    <row r="19" spans="1:11" s="7" customFormat="1" ht="5.25" customHeight="1" thickBot="1" x14ac:dyDescent="0.35">
      <c r="A19" s="804"/>
      <c r="B19" s="805"/>
      <c r="C19" s="806"/>
      <c r="D19" s="780"/>
      <c r="E19" s="775"/>
      <c r="F19" s="775"/>
      <c r="G19" s="896"/>
      <c r="H19" s="459"/>
      <c r="I19" s="385" t="s">
        <v>87</v>
      </c>
      <c r="J19" s="11"/>
      <c r="K19" s="11"/>
    </row>
    <row r="20" spans="1:11" s="7" customFormat="1" ht="6.75" customHeight="1" thickBot="1" x14ac:dyDescent="0.35">
      <c r="A20" s="807" t="s">
        <v>88</v>
      </c>
      <c r="B20" s="1565" t="s">
        <v>87</v>
      </c>
      <c r="C20" s="1565"/>
      <c r="D20" s="780"/>
      <c r="E20" s="775"/>
      <c r="F20" s="775"/>
      <c r="G20" s="896" t="s">
        <v>89</v>
      </c>
      <c r="H20" s="459">
        <f>+MIN(F10:F18)</f>
        <v>0.03</v>
      </c>
      <c r="I20" s="385"/>
      <c r="J20" s="11"/>
      <c r="K20" s="11"/>
    </row>
    <row r="21" spans="1:11" s="7" customFormat="1" ht="18.75" hidden="1" customHeight="1" thickBot="1" x14ac:dyDescent="0.35">
      <c r="A21" s="808"/>
      <c r="B21" s="775"/>
      <c r="C21" s="809"/>
      <c r="D21" s="780"/>
      <c r="E21" s="810"/>
      <c r="F21" s="811"/>
      <c r="G21" s="807"/>
      <c r="H21" s="11"/>
      <c r="I21" s="353"/>
      <c r="J21" s="11"/>
      <c r="K21" s="354"/>
    </row>
    <row r="22" spans="1:11" s="7" customFormat="1" ht="18.75" customHeight="1" x14ac:dyDescent="0.3">
      <c r="A22" s="776" t="s">
        <v>90</v>
      </c>
      <c r="B22" s="812"/>
      <c r="C22" s="777"/>
      <c r="D22" s="791"/>
      <c r="E22" s="775"/>
      <c r="F22" s="898">
        <f>((IRR(K79:K704,0.01)+1)^12)-1</f>
        <v>3.0992772469999208E-2</v>
      </c>
      <c r="G22" s="807"/>
      <c r="H22" s="11"/>
      <c r="I22" s="353"/>
      <c r="J22" s="11"/>
      <c r="K22" s="11"/>
    </row>
    <row r="23" spans="1:11" s="7" customFormat="1" ht="4.5" customHeight="1" thickBot="1" x14ac:dyDescent="0.35">
      <c r="A23" s="786"/>
      <c r="B23" s="778"/>
      <c r="C23" s="796"/>
      <c r="D23" s="791"/>
      <c r="E23" s="814"/>
      <c r="F23" s="778"/>
      <c r="G23" s="775"/>
      <c r="H23" s="11"/>
      <c r="I23" s="353"/>
      <c r="J23" s="11"/>
      <c r="K23" s="11"/>
    </row>
    <row r="24" spans="1:11" s="7" customFormat="1" ht="18.75" customHeight="1" thickBot="1" x14ac:dyDescent="0.45">
      <c r="A24" s="786" t="s">
        <v>91</v>
      </c>
      <c r="B24" s="1549">
        <v>1</v>
      </c>
      <c r="C24" s="1550"/>
      <c r="D24" s="791"/>
      <c r="E24" s="815" t="s">
        <v>28</v>
      </c>
      <c r="F24" s="816">
        <f>F22</f>
        <v>3.0992772469999208E-2</v>
      </c>
      <c r="G24" s="817"/>
      <c r="H24" s="356"/>
      <c r="I24" s="353"/>
      <c r="J24" s="11"/>
      <c r="K24" s="11"/>
    </row>
    <row r="25" spans="1:11" s="7" customFormat="1" ht="4.5" customHeight="1" thickBot="1" x14ac:dyDescent="0.35">
      <c r="A25" s="786"/>
      <c r="B25" s="787"/>
      <c r="C25" s="788"/>
      <c r="D25" s="791"/>
      <c r="E25" s="818"/>
      <c r="F25" s="809"/>
      <c r="G25" s="775"/>
      <c r="H25" s="11"/>
      <c r="I25" s="353"/>
      <c r="J25" s="11"/>
      <c r="K25" s="11"/>
    </row>
    <row r="26" spans="1:11" s="7" customFormat="1" ht="20.25" customHeight="1" thickBot="1" x14ac:dyDescent="0.35">
      <c r="A26" s="786" t="s">
        <v>92</v>
      </c>
      <c r="B26" s="1547">
        <v>15000000</v>
      </c>
      <c r="C26" s="1548"/>
      <c r="D26" s="791"/>
      <c r="E26" s="819" t="str">
        <f>IF(B15="igen","Törlesztő részlet a türelmi idő után:","Törlesztő részlet:")</f>
        <v>Törlesztő részlet:</v>
      </c>
      <c r="F26" s="820">
        <f>SUM(H104,J104)</f>
        <v>66802.287800476523</v>
      </c>
      <c r="G26" s="775"/>
      <c r="H26" s="11"/>
      <c r="I26" s="353"/>
      <c r="J26" s="11"/>
      <c r="K26" s="11"/>
    </row>
    <row r="27" spans="1:11" s="7" customFormat="1" ht="6" customHeight="1" thickBot="1" x14ac:dyDescent="0.35">
      <c r="A27" s="786"/>
      <c r="B27" s="821"/>
      <c r="C27" s="822"/>
      <c r="D27" s="791"/>
      <c r="E27" s="823"/>
      <c r="F27" s="824"/>
      <c r="G27" s="775"/>
      <c r="H27" s="11"/>
      <c r="I27" s="353"/>
      <c r="J27" s="11"/>
      <c r="K27" s="11"/>
    </row>
    <row r="28" spans="1:11" s="7" customFormat="1" ht="20.25" customHeight="1" thickBot="1" x14ac:dyDescent="0.35">
      <c r="A28" s="786" t="s">
        <v>1386</v>
      </c>
      <c r="B28" s="1547"/>
      <c r="C28" s="1548"/>
      <c r="D28" s="791"/>
      <c r="E28" s="819" t="str">
        <f>IF(B15="igen","Törlesztő a türelmi időszakban","")</f>
        <v/>
      </c>
      <c r="F28" s="820" t="str">
        <f>IF(B15="igen",J80,"")</f>
        <v/>
      </c>
      <c r="G28" s="775"/>
      <c r="H28" s="11"/>
      <c r="I28" s="353"/>
      <c r="J28" s="11"/>
      <c r="K28" s="11"/>
    </row>
    <row r="29" spans="1:11" s="7" customFormat="1" ht="6" customHeight="1" x14ac:dyDescent="0.3">
      <c r="A29" s="786"/>
      <c r="B29" s="821"/>
      <c r="C29" s="822"/>
      <c r="D29" s="791"/>
      <c r="E29" s="823"/>
      <c r="F29" s="824"/>
      <c r="G29" s="775"/>
      <c r="H29" s="11"/>
      <c r="I29" s="353"/>
      <c r="J29" s="11"/>
      <c r="K29" s="11"/>
    </row>
    <row r="30" spans="1:11" s="7" customFormat="1" ht="20.25" customHeight="1" x14ac:dyDescent="0.3">
      <c r="A30" s="786" t="s">
        <v>1387</v>
      </c>
      <c r="B30" s="1549" t="s">
        <v>1299</v>
      </c>
      <c r="C30" s="1550"/>
      <c r="D30" s="791"/>
      <c r="E30" s="823"/>
      <c r="F30" s="824"/>
      <c r="G30" s="775"/>
      <c r="H30" s="11"/>
      <c r="I30" s="353"/>
      <c r="J30" s="11"/>
      <c r="K30" s="11"/>
    </row>
    <row r="31" spans="1:11" s="7" customFormat="1" ht="6.75" customHeight="1" thickBot="1" x14ac:dyDescent="0.35">
      <c r="A31" s="804"/>
      <c r="B31" s="805"/>
      <c r="C31" s="806"/>
      <c r="D31" s="791"/>
      <c r="E31" s="775"/>
      <c r="F31" s="775"/>
      <c r="G31" s="775"/>
      <c r="H31" s="11"/>
      <c r="I31" s="353"/>
      <c r="J31" s="11"/>
      <c r="K31" s="11"/>
    </row>
    <row r="32" spans="1:11" s="7" customFormat="1" ht="6.75" customHeight="1" thickBot="1" x14ac:dyDescent="0.45">
      <c r="A32" s="775"/>
      <c r="B32" s="791"/>
      <c r="C32" s="791"/>
      <c r="D32" s="791"/>
      <c r="E32" s="817"/>
      <c r="F32" s="825"/>
      <c r="G32" s="775"/>
      <c r="H32" s="11"/>
      <c r="I32" s="353"/>
      <c r="J32" s="11"/>
      <c r="K32" s="11"/>
    </row>
    <row r="33" spans="1:11" s="7" customFormat="1" ht="30.75" customHeight="1" thickBot="1" x14ac:dyDescent="0.35">
      <c r="A33" s="826" t="s">
        <v>93</v>
      </c>
      <c r="B33" s="827"/>
      <c r="C33" s="828"/>
      <c r="D33" s="791"/>
      <c r="E33" s="829" t="s">
        <v>98</v>
      </c>
      <c r="F33" s="830">
        <f>SUM(K79:K716)</f>
        <v>4048149.0721143493</v>
      </c>
      <c r="G33" s="775"/>
      <c r="H33" s="11"/>
      <c r="I33" s="353"/>
      <c r="J33" s="11"/>
      <c r="K33" s="11"/>
    </row>
    <row r="34" spans="1:11" s="7" customFormat="1" ht="6" customHeight="1" thickBot="1" x14ac:dyDescent="0.35">
      <c r="A34" s="781"/>
      <c r="B34" s="821"/>
      <c r="C34" s="822"/>
      <c r="D34" s="791"/>
      <c r="E34" s="814"/>
      <c r="F34" s="831"/>
      <c r="G34" s="775"/>
      <c r="H34" s="11"/>
      <c r="I34" s="353"/>
      <c r="J34" s="11"/>
      <c r="K34" s="11"/>
    </row>
    <row r="35" spans="1:11" s="7" customFormat="1" x14ac:dyDescent="0.3">
      <c r="A35" s="786" t="s">
        <v>1245</v>
      </c>
      <c r="B35" s="1549">
        <v>2</v>
      </c>
      <c r="C35" s="1550"/>
      <c r="D35" s="780"/>
      <c r="E35" s="776" t="s">
        <v>99</v>
      </c>
      <c r="F35" s="812"/>
      <c r="G35" s="777"/>
      <c r="H35" s="11"/>
      <c r="I35" s="353"/>
      <c r="J35" s="11"/>
      <c r="K35" s="11"/>
    </row>
    <row r="36" spans="1:11" s="7" customFormat="1" ht="6" customHeight="1" x14ac:dyDescent="0.4">
      <c r="A36" s="786"/>
      <c r="B36" s="787"/>
      <c r="C36" s="788"/>
      <c r="D36" s="780"/>
      <c r="E36" s="832"/>
      <c r="F36" s="833"/>
      <c r="G36" s="796"/>
      <c r="H36" s="11"/>
      <c r="I36" s="353"/>
      <c r="J36" s="11"/>
      <c r="K36" s="11"/>
    </row>
    <row r="37" spans="1:11" s="7" customFormat="1" x14ac:dyDescent="0.3">
      <c r="A37" s="834" t="s">
        <v>96</v>
      </c>
      <c r="B37" s="1549">
        <v>0</v>
      </c>
      <c r="C37" s="1550"/>
      <c r="D37" s="780"/>
      <c r="E37" s="835" t="str">
        <f>IF(OR(B8=paraméterek!A180,B8=paraméterek!A181),"fedezet értékelési díj","fedezet értékelési díj (visszatérítéssel)")</f>
        <v>fedezet értékelési díj (visszatérítéssel)</v>
      </c>
      <c r="F37" s="836">
        <f>IF(OR(B8=paraméterek!A180,egyszerűsített_kalkulátor!B8=paraméterek!A181),B24*Hirdetmény!AK8,B24*fedezetertekelesidij-IF(B18="igen",fedezetertekelesidij,0))</f>
        <v>0</v>
      </c>
      <c r="G37" s="837" t="s">
        <v>102</v>
      </c>
      <c r="H37" s="11"/>
      <c r="I37" s="353"/>
      <c r="J37" s="11"/>
      <c r="K37" s="11"/>
    </row>
    <row r="38" spans="1:11" s="7" customFormat="1" ht="6" customHeight="1" x14ac:dyDescent="0.3">
      <c r="A38" s="834"/>
      <c r="B38" s="787"/>
      <c r="C38" s="788"/>
      <c r="D38" s="780"/>
      <c r="E38" s="786"/>
      <c r="F38" s="778"/>
      <c r="G38" s="796"/>
      <c r="H38" s="11"/>
      <c r="I38" s="353"/>
      <c r="J38" s="11"/>
      <c r="K38" s="11"/>
    </row>
    <row r="39" spans="1:11" s="7" customFormat="1" x14ac:dyDescent="0.3">
      <c r="A39" s="834" t="s">
        <v>97</v>
      </c>
      <c r="B39" s="1549">
        <v>0</v>
      </c>
      <c r="C39" s="1550"/>
      <c r="D39" s="780"/>
      <c r="E39" s="835" t="s">
        <v>103</v>
      </c>
      <c r="F39" s="836">
        <f>IF(B18="igen",0,IF(G39="Ügyfél fizeti",+MIN(B7*folyjut,200000),+MIN(B7*folyjut/0.99,200000)))</f>
        <v>0</v>
      </c>
      <c r="G39" s="838" t="s">
        <v>102</v>
      </c>
      <c r="H39" s="11"/>
      <c r="I39" s="353"/>
      <c r="J39" s="11"/>
      <c r="K39" s="11"/>
    </row>
    <row r="40" spans="1:11" s="7" customFormat="1" ht="6" customHeight="1" x14ac:dyDescent="0.3">
      <c r="A40" s="834"/>
      <c r="B40" s="787"/>
      <c r="C40" s="788"/>
      <c r="D40" s="780"/>
      <c r="E40" s="839"/>
      <c r="F40" s="840"/>
      <c r="G40" s="841"/>
      <c r="H40" s="11"/>
      <c r="I40" s="353"/>
      <c r="J40" s="11"/>
      <c r="K40" s="11"/>
    </row>
    <row r="41" spans="1:11" s="7" customFormat="1" ht="14.25" customHeight="1" x14ac:dyDescent="0.3">
      <c r="A41" s="800" t="s">
        <v>986</v>
      </c>
      <c r="B41" s="1547">
        <v>1000000</v>
      </c>
      <c r="C41" s="1548"/>
      <c r="D41" s="791"/>
      <c r="E41" s="835" t="s">
        <v>104</v>
      </c>
      <c r="F41" s="836">
        <f>+B24*fedezetbejegyzesidij</f>
        <v>12600</v>
      </c>
      <c r="G41" s="837" t="s">
        <v>102</v>
      </c>
      <c r="H41" s="774" t="str">
        <f>IF(LEN(G24)=0,"","törlesztőrészlet:")</f>
        <v/>
      </c>
      <c r="I41" s="357" t="str">
        <f>+IF(LEN(H41)&gt;0,K86,"")</f>
        <v/>
      </c>
      <c r="J41" s="353"/>
      <c r="K41" s="11"/>
    </row>
    <row r="42" spans="1:11" s="7" customFormat="1" ht="1.2" customHeight="1" x14ac:dyDescent="0.3">
      <c r="A42" s="800"/>
      <c r="B42" s="821"/>
      <c r="C42" s="822"/>
      <c r="D42" s="791"/>
      <c r="E42" s="781" t="str">
        <f>+IF(B16=0,"","törlesztőrészlet türelmi idő alatt")</f>
        <v/>
      </c>
      <c r="F42" s="842" t="str">
        <f>+IF(B16=0,"",K80)</f>
        <v/>
      </c>
      <c r="G42" s="796"/>
      <c r="H42" s="11"/>
      <c r="I42" s="353"/>
      <c r="J42" s="11"/>
      <c r="K42" s="11"/>
    </row>
    <row r="43" spans="1:11" s="7" customFormat="1" ht="14.25" customHeight="1" x14ac:dyDescent="0.3">
      <c r="A43" s="800" t="s">
        <v>910</v>
      </c>
      <c r="B43" s="1547">
        <v>0</v>
      </c>
      <c r="C43" s="1548"/>
      <c r="D43" s="791"/>
      <c r="E43" s="835" t="s">
        <v>105</v>
      </c>
      <c r="F43" s="836">
        <f>IF(OR(B8=paraméterek!A180,egyszerűsített_kalkulátor!B8=paraméterek!A181),egyszerűsített_kalkulátor!B24*Hirdetmény!AL8,+B24*tullapktg)</f>
        <v>3000</v>
      </c>
      <c r="G43" s="837" t="s">
        <v>102</v>
      </c>
      <c r="H43" s="11"/>
      <c r="I43" s="353"/>
      <c r="J43" s="11"/>
      <c r="K43" s="11"/>
    </row>
    <row r="44" spans="1:11" s="7" customFormat="1" ht="14.7" customHeight="1" thickBot="1" x14ac:dyDescent="0.35">
      <c r="A44" s="843"/>
      <c r="B44" s="844"/>
      <c r="C44" s="845"/>
      <c r="D44" s="791"/>
      <c r="E44" s="786" t="s">
        <v>1780</v>
      </c>
      <c r="F44" s="846">
        <f>+IF(B8=paraméterek!A179,Hirdetmény!AA29*2,IF(egyszerűsített_kalkulátor!B8=paraméterek!A181,Hirdetmény!AM8*2,0))</f>
        <v>0</v>
      </c>
      <c r="G44" s="796" t="s">
        <v>102</v>
      </c>
      <c r="H44" s="11"/>
      <c r="I44" s="353"/>
      <c r="J44" s="11"/>
      <c r="K44" s="11"/>
    </row>
    <row r="45" spans="1:11" s="7" customFormat="1" ht="17.25" customHeight="1" thickBot="1" x14ac:dyDescent="0.35">
      <c r="A45" s="847"/>
      <c r="B45" s="791"/>
      <c r="C45" s="791"/>
      <c r="D45" s="791"/>
      <c r="E45" s="835" t="str">
        <f>IF(OR(B8=paraméterek!A180,B8=paraméterek!A181),"közjegyzői díj (becslés)","közjegyzői díj (becslés, visszatérítéssel)")</f>
        <v>közjegyzői díj (becslés, visszatérítéssel)</v>
      </c>
      <c r="F45" s="836">
        <f>IF(OR(B8=paraméterek!A180,egyszerűsített_kalkulátor!B8=paraméterek!A181),paraméterek!B281,paraméterek!B281)</f>
        <v>19500</v>
      </c>
      <c r="G45" s="837" t="s">
        <v>102</v>
      </c>
      <c r="H45" s="11"/>
      <c r="I45" s="353"/>
      <c r="J45" s="354"/>
      <c r="K45" s="11"/>
    </row>
    <row r="46" spans="1:11" s="7" customFormat="1" ht="16.2" customHeight="1" thickBot="1" x14ac:dyDescent="0.35">
      <c r="A46" s="848"/>
      <c r="B46" s="849"/>
      <c r="C46" s="850"/>
      <c r="D46" s="791"/>
      <c r="E46" s="835" t="s">
        <v>1778</v>
      </c>
      <c r="F46" s="836">
        <f>+IF(egyszerűsített_kalkulátor!B8=paraméterek!A181,B24*Hirdetmény!AI8,0)</f>
        <v>0</v>
      </c>
      <c r="G46" s="837" t="s">
        <v>102</v>
      </c>
      <c r="H46" s="11"/>
      <c r="I46" s="353"/>
      <c r="J46" s="11"/>
      <c r="K46" s="11"/>
    </row>
    <row r="47" spans="1:11" s="7" customFormat="1" hidden="1" x14ac:dyDescent="0.3">
      <c r="A47" s="808" t="s">
        <v>100</v>
      </c>
      <c r="B47" s="851">
        <v>0</v>
      </c>
      <c r="C47" s="809">
        <f>+B7*B47</f>
        <v>0</v>
      </c>
      <c r="D47" s="775"/>
      <c r="E47" s="852"/>
      <c r="F47" s="853"/>
      <c r="G47" s="854"/>
      <c r="H47" s="11"/>
      <c r="I47" s="353"/>
      <c r="J47" s="11"/>
      <c r="K47" s="11"/>
    </row>
    <row r="48" spans="1:11" s="7" customFormat="1" hidden="1" x14ac:dyDescent="0.3">
      <c r="A48" s="808"/>
      <c r="B48" s="775"/>
      <c r="C48" s="809"/>
      <c r="D48" s="775"/>
      <c r="E48" s="855"/>
      <c r="F48" s="856"/>
      <c r="G48" s="857"/>
      <c r="H48" s="11"/>
      <c r="I48" s="353"/>
      <c r="J48" s="11"/>
      <c r="K48" s="11"/>
    </row>
    <row r="49" spans="1:14" s="7" customFormat="1" x14ac:dyDescent="0.3">
      <c r="A49" s="776" t="s">
        <v>1388</v>
      </c>
      <c r="B49" s="1575" t="s">
        <v>1004</v>
      </c>
      <c r="C49" s="1576"/>
      <c r="D49" s="775"/>
      <c r="E49" s="835" t="s">
        <v>108</v>
      </c>
      <c r="F49" s="858">
        <f>+B54</f>
        <v>0</v>
      </c>
      <c r="G49" s="837" t="s">
        <v>102</v>
      </c>
      <c r="H49" s="11"/>
      <c r="I49" s="353"/>
      <c r="J49" s="11"/>
      <c r="K49" s="11"/>
    </row>
    <row r="50" spans="1:14" s="7" customFormat="1" ht="6" customHeight="1" x14ac:dyDescent="0.3">
      <c r="A50" s="859"/>
      <c r="B50" s="1551"/>
      <c r="C50" s="1552"/>
      <c r="D50" s="775"/>
      <c r="E50" s="860"/>
      <c r="F50" s="846"/>
      <c r="G50" s="796"/>
      <c r="H50" s="11"/>
      <c r="I50" s="353"/>
      <c r="J50" s="11"/>
      <c r="K50" s="11"/>
    </row>
    <row r="51" spans="1:14" s="7" customFormat="1" ht="6" customHeight="1" x14ac:dyDescent="0.3">
      <c r="A51" s="859"/>
      <c r="B51" s="861"/>
      <c r="C51" s="862"/>
      <c r="D51" s="775"/>
      <c r="E51" s="863"/>
      <c r="F51" s="836"/>
      <c r="G51" s="837"/>
      <c r="H51" s="11"/>
      <c r="I51" s="353"/>
      <c r="J51" s="11"/>
      <c r="K51" s="11"/>
    </row>
    <row r="52" spans="1:14" s="7" customFormat="1" ht="15" customHeight="1" x14ac:dyDescent="0.3">
      <c r="A52" s="859" t="s">
        <v>1376</v>
      </c>
      <c r="B52" s="1549" t="s">
        <v>1382</v>
      </c>
      <c r="C52" s="1550"/>
      <c r="D52" s="775"/>
      <c r="E52" s="786" t="s">
        <v>1384</v>
      </c>
      <c r="F52" s="846">
        <f>+IF(B52="Postán",250,0)</f>
        <v>0</v>
      </c>
      <c r="G52" s="796" t="s">
        <v>102</v>
      </c>
      <c r="H52" s="11"/>
      <c r="I52" s="353"/>
      <c r="J52" s="11"/>
      <c r="K52" s="11"/>
    </row>
    <row r="53" spans="1:14" s="7" customFormat="1" ht="6" customHeight="1" x14ac:dyDescent="0.3">
      <c r="A53" s="859"/>
      <c r="B53" s="861"/>
      <c r="C53" s="862"/>
      <c r="D53" s="775"/>
      <c r="E53" s="835"/>
      <c r="F53" s="836"/>
      <c r="G53" s="837"/>
      <c r="H53" s="11"/>
      <c r="I53" s="353"/>
      <c r="J53" s="11"/>
      <c r="K53" s="11"/>
    </row>
    <row r="54" spans="1:14" s="7" customFormat="1" ht="15" customHeight="1" x14ac:dyDescent="0.3">
      <c r="A54" s="786" t="s">
        <v>1025</v>
      </c>
      <c r="B54" s="1555">
        <f>paraméterek!I302</f>
        <v>0</v>
      </c>
      <c r="C54" s="1556"/>
      <c r="D54" s="775"/>
      <c r="E54" s="786" t="s">
        <v>1385</v>
      </c>
      <c r="F54" s="846">
        <f>+B64</f>
        <v>0</v>
      </c>
      <c r="G54" s="796" t="s">
        <v>102</v>
      </c>
      <c r="H54" s="11"/>
      <c r="I54" s="353"/>
      <c r="J54" s="11"/>
      <c r="K54" s="11"/>
    </row>
    <row r="55" spans="1:14" s="7" customFormat="1" ht="9.75" customHeight="1" x14ac:dyDescent="0.35">
      <c r="A55" s="864" t="s">
        <v>1026</v>
      </c>
      <c r="B55" s="865"/>
      <c r="C55" s="796"/>
      <c r="D55" s="775"/>
      <c r="E55" s="863"/>
      <c r="F55" s="866"/>
      <c r="G55" s="837"/>
      <c r="H55" s="11"/>
      <c r="I55" s="353"/>
      <c r="J55" s="11"/>
      <c r="K55" s="11"/>
      <c r="L55" s="9"/>
      <c r="M55" s="9"/>
      <c r="N55" s="9"/>
    </row>
    <row r="56" spans="1:14" s="7" customFormat="1" ht="15" customHeight="1" x14ac:dyDescent="0.3">
      <c r="A56" s="786" t="s">
        <v>1852</v>
      </c>
      <c r="B56" s="1557">
        <f>paraméterek!I303</f>
        <v>0</v>
      </c>
      <c r="C56" s="1558"/>
      <c r="D56" s="775"/>
      <c r="E56" s="867" t="s">
        <v>1404</v>
      </c>
      <c r="F56" s="868">
        <f>+$B$28</f>
        <v>0</v>
      </c>
      <c r="G56" s="869" t="s">
        <v>102</v>
      </c>
      <c r="H56" s="12"/>
      <c r="I56" s="353"/>
      <c r="J56" s="11"/>
      <c r="K56" s="11"/>
      <c r="L56" s="9"/>
      <c r="M56" s="9"/>
      <c r="N56" s="9"/>
    </row>
    <row r="57" spans="1:14" s="7" customFormat="1" ht="15" customHeight="1" x14ac:dyDescent="0.3">
      <c r="A57" s="786" t="str">
        <f>IF(B15="nem","","Törlesztőrészlet a türelmi idő alatt (Ft)")</f>
        <v/>
      </c>
      <c r="B57" s="1561" t="str">
        <f>IFERROR(paraméterek!I306,"")</f>
        <v/>
      </c>
      <c r="C57" s="1562"/>
      <c r="D57" s="775"/>
      <c r="E57" s="870"/>
      <c r="F57" s="871"/>
      <c r="G57" s="872"/>
      <c r="H57" s="12"/>
      <c r="I57" s="353"/>
      <c r="J57" s="11"/>
      <c r="K57" s="11"/>
      <c r="L57" s="9"/>
      <c r="M57" s="9"/>
      <c r="N57" s="9"/>
    </row>
    <row r="58" spans="1:14" s="7" customFormat="1" ht="15" customHeight="1" thickBot="1" x14ac:dyDescent="0.35">
      <c r="A58" s="786" t="str">
        <f>IF(B15="nem","Törlesztések díja (Ft)","Törlesztések díja a türelmi idő után (Ft)")</f>
        <v>Törlesztések díja (Ft)</v>
      </c>
      <c r="B58" s="1555">
        <f>paraméterek!I307</f>
        <v>0</v>
      </c>
      <c r="C58" s="1556"/>
      <c r="D58" s="775"/>
      <c r="E58" s="873" t="s">
        <v>1897</v>
      </c>
      <c r="F58" s="874">
        <f>IF(B28&lt;&gt;0,0,Hirdetmény!AA192)</f>
        <v>808</v>
      </c>
      <c r="G58" s="875" t="s">
        <v>102</v>
      </c>
      <c r="H58" s="12"/>
      <c r="I58" s="353"/>
      <c r="J58" s="11"/>
      <c r="K58" s="11"/>
      <c r="L58" s="9"/>
      <c r="M58" s="9"/>
      <c r="N58" s="9"/>
    </row>
    <row r="59" spans="1:14" s="7" customFormat="1" ht="6.75" customHeight="1" thickBot="1" x14ac:dyDescent="0.35">
      <c r="A59" s="804"/>
      <c r="B59" s="876"/>
      <c r="C59" s="877"/>
      <c r="D59" s="775"/>
      <c r="E59" s="878"/>
      <c r="F59" s="878"/>
      <c r="G59" s="878"/>
      <c r="H59" s="12"/>
      <c r="I59" s="353"/>
      <c r="J59" s="11"/>
      <c r="K59" s="11"/>
      <c r="L59" s="9"/>
      <c r="M59" s="9"/>
      <c r="N59" s="9"/>
    </row>
    <row r="60" spans="1:14" s="7" customFormat="1" ht="43.5" customHeight="1" thickBot="1" x14ac:dyDescent="0.35">
      <c r="A60" s="818" t="s">
        <v>1414</v>
      </c>
      <c r="B60" s="1559">
        <v>45170</v>
      </c>
      <c r="C60" s="1560"/>
      <c r="D60" s="775"/>
      <c r="E60" s="1546" t="str">
        <f>IF(OR(B8=paraméterek!A180,egyszerűsített_kalkulátor!B8=paraméterek!A181),"",IF($B$18="igen","A fenti összegek az Akció keretében visszatérített egyszeri díjak (42.000 Ft Fedezet értékelési díj egy ingatlan vonatkozásában, továbbá a Közjegyzői díj, max. 40.000 Ft értékben) figyelembevételével kerültek meghatározásra!",""))</f>
        <v>A fenti összegek az Akció keretében visszatérített egyszeri díjak (42.000 Ft Fedezet értékelési díj egy ingatlan vonatkozásában, továbbá a Közjegyzői díj, max. 40.000 Ft értékben) figyelembevételével kerültek meghatározásra!</v>
      </c>
      <c r="F60" s="1546"/>
      <c r="G60" s="1546"/>
      <c r="H60" s="12"/>
      <c r="I60" s="353"/>
      <c r="J60" s="11"/>
      <c r="K60" s="11"/>
      <c r="L60" s="9"/>
      <c r="M60" s="9"/>
      <c r="N60" s="9"/>
    </row>
    <row r="61" spans="1:14" s="7" customFormat="1" ht="6" customHeight="1" thickBot="1" x14ac:dyDescent="0.35">
      <c r="A61" s="879"/>
      <c r="B61" s="880"/>
      <c r="C61" s="777"/>
      <c r="D61" s="775"/>
      <c r="E61" s="881"/>
      <c r="F61" s="881"/>
      <c r="G61" s="881"/>
      <c r="H61" s="12"/>
      <c r="I61" s="353"/>
      <c r="J61" s="11"/>
      <c r="K61" s="11"/>
      <c r="L61" s="9"/>
      <c r="M61" s="9"/>
      <c r="N61" s="9"/>
    </row>
    <row r="62" spans="1:14" s="7" customFormat="1" ht="15.6" thickBot="1" x14ac:dyDescent="0.4">
      <c r="A62" s="781" t="s">
        <v>1389</v>
      </c>
      <c r="B62" s="1553" t="s">
        <v>1437</v>
      </c>
      <c r="C62" s="1554"/>
      <c r="D62" s="775"/>
      <c r="E62" s="848" t="s">
        <v>1925</v>
      </c>
      <c r="F62" s="882">
        <f>F37+F39+F41+F43+F45+F46</f>
        <v>35100</v>
      </c>
      <c r="G62" s="813"/>
      <c r="H62" s="12"/>
      <c r="I62" s="353"/>
      <c r="J62" s="11"/>
      <c r="K62" s="11"/>
      <c r="L62" s="9"/>
      <c r="M62" s="9"/>
      <c r="N62" s="9"/>
    </row>
    <row r="63" spans="1:14" s="7" customFormat="1" ht="6" customHeight="1" thickBot="1" x14ac:dyDescent="0.35">
      <c r="A63" s="781"/>
      <c r="B63" s="883"/>
      <c r="C63" s="884"/>
      <c r="D63" s="775"/>
      <c r="E63" s="775"/>
      <c r="F63" s="885"/>
      <c r="G63" s="813"/>
      <c r="H63" s="12"/>
      <c r="I63" s="353"/>
      <c r="J63" s="11"/>
      <c r="K63" s="11"/>
      <c r="L63" s="9"/>
      <c r="M63" s="9"/>
      <c r="N63" s="9"/>
    </row>
    <row r="64" spans="1:14" s="7" customFormat="1" x14ac:dyDescent="0.3">
      <c r="A64" s="800" t="s">
        <v>1390</v>
      </c>
      <c r="B64" s="1547">
        <v>0</v>
      </c>
      <c r="C64" s="1548"/>
      <c r="D64" s="775"/>
      <c r="E64" s="776" t="s">
        <v>109</v>
      </c>
      <c r="F64" s="886">
        <f>IF(G39="Bank meghitelezi",F39,0)</f>
        <v>0</v>
      </c>
      <c r="G64" s="813"/>
      <c r="H64" s="12"/>
      <c r="I64" s="353"/>
      <c r="J64" s="11"/>
      <c r="K64" s="11"/>
      <c r="L64" s="9"/>
      <c r="M64" s="9"/>
      <c r="N64" s="9"/>
    </row>
    <row r="65" spans="1:42" s="7" customFormat="1" ht="6" customHeight="1" x14ac:dyDescent="0.3">
      <c r="A65" s="800"/>
      <c r="B65" s="883"/>
      <c r="C65" s="884"/>
      <c r="D65" s="775"/>
      <c r="E65" s="781"/>
      <c r="F65" s="887"/>
      <c r="G65" s="813"/>
      <c r="H65" s="12"/>
      <c r="I65" s="353"/>
      <c r="J65" s="11"/>
      <c r="K65" s="11"/>
      <c r="L65" s="9"/>
      <c r="M65" s="9"/>
      <c r="N65" s="9"/>
    </row>
    <row r="66" spans="1:42" s="7" customFormat="1" ht="15" thickBot="1" x14ac:dyDescent="0.35">
      <c r="A66" s="800" t="s">
        <v>1391</v>
      </c>
      <c r="B66" s="1549" t="s">
        <v>1299</v>
      </c>
      <c r="C66" s="1550"/>
      <c r="D66" s="775"/>
      <c r="E66" s="789" t="s">
        <v>110</v>
      </c>
      <c r="F66" s="888">
        <f>+F64+B7</f>
        <v>12000000</v>
      </c>
      <c r="G66" s="813"/>
      <c r="H66" s="12"/>
      <c r="I66" s="353"/>
      <c r="J66" s="11"/>
      <c r="K66" s="11"/>
      <c r="L66" s="9"/>
      <c r="M66" s="9"/>
      <c r="N66" s="9"/>
    </row>
    <row r="67" spans="1:42" s="7" customFormat="1" ht="6.75" customHeight="1" thickBot="1" x14ac:dyDescent="0.35">
      <c r="A67" s="804"/>
      <c r="B67" s="889"/>
      <c r="C67" s="790"/>
      <c r="D67" s="775"/>
      <c r="E67" s="775"/>
      <c r="F67" s="775"/>
      <c r="G67" s="813"/>
      <c r="H67" s="12"/>
      <c r="I67" s="353"/>
      <c r="J67" s="11"/>
      <c r="K67" s="11"/>
      <c r="L67" s="9"/>
      <c r="M67" s="9"/>
      <c r="N67" s="9"/>
    </row>
    <row r="68" spans="1:42" s="11" customFormat="1" ht="16.2" x14ac:dyDescent="0.35">
      <c r="A68" s="890" t="s">
        <v>1398</v>
      </c>
      <c r="B68" s="775"/>
      <c r="C68" s="775"/>
      <c r="D68" s="775"/>
      <c r="E68" s="775"/>
      <c r="F68" s="813"/>
      <c r="G68" s="813"/>
      <c r="H68" s="12"/>
      <c r="I68" s="355"/>
      <c r="J68" s="302"/>
    </row>
    <row r="69" spans="1:42" s="11" customFormat="1" ht="16.2" x14ac:dyDescent="0.35">
      <c r="A69" s="890" t="s">
        <v>1399</v>
      </c>
      <c r="B69" s="775"/>
      <c r="C69" s="775"/>
      <c r="D69" s="775"/>
      <c r="E69" s="775"/>
      <c r="F69" s="775"/>
      <c r="G69" s="775"/>
      <c r="J69" s="302"/>
    </row>
    <row r="70" spans="1:42" s="11" customFormat="1" ht="10.5" customHeight="1" x14ac:dyDescent="0.3">
      <c r="A70" s="775"/>
      <c r="B70" s="775"/>
      <c r="C70" s="775"/>
      <c r="D70" s="775"/>
      <c r="E70" s="775"/>
      <c r="F70" s="775"/>
      <c r="G70" s="775"/>
      <c r="O70" s="302"/>
    </row>
    <row r="71" spans="1:42" s="11" customFormat="1" ht="15.75" hidden="1" customHeight="1" x14ac:dyDescent="0.3">
      <c r="A71" s="775"/>
      <c r="B71" s="775"/>
      <c r="C71" s="775"/>
      <c r="D71" s="775"/>
      <c r="E71" s="775"/>
      <c r="F71" s="775"/>
      <c r="G71" s="775"/>
      <c r="N71" s="437"/>
    </row>
    <row r="72" spans="1:42" s="11" customFormat="1" hidden="1" x14ac:dyDescent="0.3">
      <c r="A72" s="775"/>
      <c r="B72" s="775"/>
      <c r="C72" s="775"/>
      <c r="D72" s="775"/>
      <c r="E72" s="775"/>
      <c r="F72" s="775"/>
      <c r="G72" s="775"/>
      <c r="K72" s="385"/>
    </row>
    <row r="73" spans="1:42" s="11" customFormat="1" ht="14.7" hidden="1" customHeight="1" x14ac:dyDescent="0.3">
      <c r="A73" s="775"/>
      <c r="B73" s="775"/>
      <c r="C73" s="775"/>
      <c r="D73" s="775"/>
      <c r="E73" s="775"/>
      <c r="F73" s="775"/>
      <c r="G73" s="775"/>
    </row>
    <row r="74" spans="1:42" s="11" customFormat="1" hidden="1" x14ac:dyDescent="0.3">
      <c r="A74" s="775"/>
      <c r="B74" s="775"/>
      <c r="C74" s="775"/>
      <c r="D74" s="775"/>
      <c r="E74" s="775"/>
      <c r="F74" s="775"/>
      <c r="G74" s="775"/>
    </row>
    <row r="75" spans="1:42" s="11" customFormat="1" hidden="1" x14ac:dyDescent="0.3">
      <c r="A75" s="775"/>
      <c r="B75" s="811"/>
      <c r="C75" s="775"/>
      <c r="D75" s="775"/>
      <c r="E75" s="775"/>
      <c r="F75" s="775"/>
      <c r="G75" s="775"/>
      <c r="N75" s="354"/>
    </row>
    <row r="76" spans="1:42" s="11" customFormat="1" hidden="1" x14ac:dyDescent="0.3">
      <c r="A76" s="775" t="s">
        <v>111</v>
      </c>
      <c r="B76" s="811">
        <f>+(B41-(VLOOKUP((B35-B37-B39),paraméterek!$K$7:$L$24,2,FALSE)+VLOOKUP(egyszerűsített_kalkulátor!B37,paraméterek!$N$7:$O$24,2,FALSE)+VLOOKUP(egyszerűsített_kalkulátor!B39,paraméterek!$Q$7:$R$24,2,FALSE))*létmin-B43)*paraméterek!$B$243</f>
        <v>577583.4</v>
      </c>
      <c r="C76" s="775"/>
      <c r="D76" s="775"/>
      <c r="E76" s="775" t="str">
        <f>ADDRESS(ROW(A79)+B10,COLUMN(A80),,,"egyszerűsített_kalkulátor")</f>
        <v>egyszerűsített_kalkulátor!$A$319</v>
      </c>
      <c r="F76" s="775"/>
      <c r="G76" s="775"/>
      <c r="J76" s="301"/>
      <c r="N76" s="302"/>
    </row>
    <row r="77" spans="1:42" s="11" customFormat="1" hidden="1" x14ac:dyDescent="0.3">
      <c r="A77" s="775"/>
      <c r="B77" s="775"/>
      <c r="C77" s="775"/>
      <c r="D77" s="775"/>
      <c r="E77" s="775"/>
      <c r="F77" s="775"/>
      <c r="G77" s="775"/>
      <c r="N77" s="12"/>
      <c r="AI77" s="427" t="s">
        <v>601</v>
      </c>
      <c r="AJ77" s="21"/>
      <c r="AK77" s="21"/>
      <c r="AL77" s="21"/>
      <c r="AM77" s="21"/>
      <c r="AN77" s="21"/>
    </row>
    <row r="78" spans="1:42" s="421" customFormat="1" ht="42" hidden="1" x14ac:dyDescent="0.3">
      <c r="A78" s="847" t="s">
        <v>30</v>
      </c>
      <c r="B78" s="847" t="s">
        <v>112</v>
      </c>
      <c r="C78" s="847" t="s">
        <v>113</v>
      </c>
      <c r="D78" s="847"/>
      <c r="E78" s="847" t="s">
        <v>94</v>
      </c>
      <c r="F78" s="847" t="s">
        <v>1362</v>
      </c>
      <c r="G78" s="847" t="s">
        <v>31</v>
      </c>
      <c r="H78" s="421" t="s">
        <v>32</v>
      </c>
      <c r="I78" s="421" t="s">
        <v>115</v>
      </c>
      <c r="J78" s="421" t="s">
        <v>33</v>
      </c>
      <c r="K78" s="421" t="s">
        <v>28</v>
      </c>
      <c r="L78" s="421" t="s">
        <v>34</v>
      </c>
      <c r="M78" s="603"/>
      <c r="N78" s="421" t="s">
        <v>116</v>
      </c>
      <c r="O78" s="421" t="s">
        <v>1027</v>
      </c>
      <c r="P78" s="421" t="s">
        <v>1392</v>
      </c>
      <c r="R78" s="421" t="s">
        <v>1363</v>
      </c>
      <c r="S78" s="421" t="s">
        <v>31</v>
      </c>
      <c r="T78" s="421" t="s">
        <v>32</v>
      </c>
      <c r="U78" s="421" t="s">
        <v>33</v>
      </c>
      <c r="V78" s="421" t="s">
        <v>34</v>
      </c>
      <c r="W78" s="421" t="s">
        <v>322</v>
      </c>
      <c r="X78" s="421" t="s">
        <v>116</v>
      </c>
      <c r="AA78" s="421" t="s">
        <v>1341</v>
      </c>
      <c r="AB78" s="421" t="s">
        <v>31</v>
      </c>
      <c r="AC78" s="421" t="s">
        <v>32</v>
      </c>
      <c r="AD78" s="421" t="s">
        <v>33</v>
      </c>
      <c r="AE78" s="421" t="s">
        <v>34</v>
      </c>
      <c r="AF78" s="421" t="s">
        <v>322</v>
      </c>
      <c r="AG78" s="421" t="s">
        <v>116</v>
      </c>
      <c r="AI78" s="421" t="s">
        <v>32</v>
      </c>
      <c r="AJ78" s="421" t="s">
        <v>1763</v>
      </c>
      <c r="AK78" s="421" t="s">
        <v>1764</v>
      </c>
      <c r="AL78" s="421" t="s">
        <v>1765</v>
      </c>
      <c r="AM78" s="421" t="s">
        <v>28</v>
      </c>
      <c r="AN78" s="421" t="s">
        <v>28</v>
      </c>
      <c r="AP78" s="421" t="s">
        <v>1899</v>
      </c>
    </row>
    <row r="79" spans="1:42" s="11" customFormat="1" hidden="1" x14ac:dyDescent="0.3">
      <c r="A79" s="775">
        <v>0</v>
      </c>
      <c r="B79" s="775">
        <v>0</v>
      </c>
      <c r="C79" s="891">
        <f>+F10</f>
        <v>0.14489675614077413</v>
      </c>
      <c r="D79" s="891"/>
      <c r="E79" s="891">
        <f>+F12</f>
        <v>0.03</v>
      </c>
      <c r="F79" s="891">
        <f>$F$7</f>
        <v>0.03</v>
      </c>
      <c r="G79" s="892">
        <f>+$F$66</f>
        <v>12000000</v>
      </c>
      <c r="H79" s="302"/>
      <c r="I79" s="302"/>
      <c r="K79" s="300">
        <f>N79</f>
        <v>-11984400</v>
      </c>
      <c r="M79" s="300"/>
      <c r="N79" s="300">
        <f>-F66+F37+F39+F41+F43+B56+F44+F46</f>
        <v>-11984400</v>
      </c>
      <c r="R79" s="354">
        <f>+Hirdetmény!$AA$46</f>
        <v>0.13400000000000001</v>
      </c>
      <c r="S79" s="10">
        <f>+$F$66</f>
        <v>12000000</v>
      </c>
      <c r="W79" s="10">
        <f>-F66+F37+F39+F41+F43+B54+F44</f>
        <v>-11984400</v>
      </c>
      <c r="X79" s="476">
        <f>((IRR(W79:W716,0.01)+1)^12)-1</f>
        <v>0.14489675614077413</v>
      </c>
      <c r="AA79" s="12">
        <f>+paraméterek!$B$346</f>
        <v>6.4600000000000005E-2</v>
      </c>
      <c r="AB79" s="10">
        <f>+F66</f>
        <v>12000000</v>
      </c>
      <c r="AF79" s="10">
        <f>-F66+F37+F39+F41+F43+B54+F44</f>
        <v>-11984400</v>
      </c>
      <c r="AG79" s="476">
        <f>((IRR(AF79:AF716,0.01)+1)^12)-1</f>
        <v>6.767495386083433E-2</v>
      </c>
      <c r="AK79" s="300">
        <f>G79</f>
        <v>12000000</v>
      </c>
      <c r="AM79" s="10">
        <f>N79</f>
        <v>-11984400</v>
      </c>
      <c r="AN79" s="12">
        <f>((IRR(AM79:AM499,0.01)+1)^12)-1</f>
        <v>3.098282452709844E-2</v>
      </c>
      <c r="AP79" s="10">
        <f>-F66+F37+F39+F41+F43+B56+F44+F46</f>
        <v>-11984400</v>
      </c>
    </row>
    <row r="80" spans="1:42" s="11" customFormat="1" hidden="1" x14ac:dyDescent="0.3">
      <c r="A80" s="775">
        <v>1</v>
      </c>
      <c r="B80" s="775">
        <f>+ROUNDUP(A80/12,0)</f>
        <v>1</v>
      </c>
      <c r="C80" s="891">
        <f>+C79</f>
        <v>0.14489675614077413</v>
      </c>
      <c r="D80" s="891"/>
      <c r="E80" s="891">
        <f>+E79</f>
        <v>0.03</v>
      </c>
      <c r="F80" s="891">
        <f t="shared" ref="F80:F143" si="0">$F$7</f>
        <v>0.03</v>
      </c>
      <c r="G80" s="893">
        <f>+G79-H80-I80</f>
        <v>11963614.37886619</v>
      </c>
      <c r="H80" s="436">
        <f t="shared" ref="H80:H143" si="1">IF(A80&lt;=$B$16,0,IF(A80&lt;=$B$10,PPMT(F80/360*(365/12),A80-$B$16,$B$10-$B$16,-$G$79),0))</f>
        <v>36385.621133809844</v>
      </c>
      <c r="I80" s="302">
        <f t="shared" ref="I80:I143" si="2">+IF(A80=$B$10,$C$47,0)</f>
        <v>0</v>
      </c>
      <c r="J80" s="301">
        <f>+G79*F80/360*(365/12)</f>
        <v>30416.666666666668</v>
      </c>
      <c r="K80" s="301">
        <f>+(H80+J80)+IF($B$15="nem",$B$58,IF(A80&lt;$B$16+1,$B$57,$B$58)+O80)+P80+I80</f>
        <v>66802.287800476508</v>
      </c>
      <c r="L80" s="10">
        <f>H80+I80+J80</f>
        <v>66802.287800476508</v>
      </c>
      <c r="M80" s="10"/>
      <c r="N80" s="435">
        <f>IF(A80&lt;=$B$10,PMT($F$7*365/360/12,$B$10,-$F$66)+O80+P80+$F$52)+IF($B$15="nem",$B$58,IF(A80&lt;$B$16+1,$B$57,$B$58))</f>
        <v>66802.287800476508</v>
      </c>
      <c r="O80" s="436">
        <f t="shared" ref="O80:O143" si="3">IF(A80&lt;=$B$10,$B$54,0)</f>
        <v>0</v>
      </c>
      <c r="P80" s="436">
        <f>IF(A80&lt;=$B$10,IF($B$30="havi",$B$28,0)+IF($B$30="negyedéves",$B$28,0)+IF($B$30="féléves",$B$28,0)+IF($B$66="éves",$B$28,0),0)</f>
        <v>0</v>
      </c>
      <c r="R80" s="354">
        <f>+Hirdetmény!$AA$46</f>
        <v>0.13400000000000001</v>
      </c>
      <c r="S80" s="301">
        <f>+S79-T80</f>
        <v>11990232.043548461</v>
      </c>
      <c r="T80" s="301">
        <f t="shared" ref="T80:T143" si="4">IF(A80&lt;=$B$10,IF(A80&gt;$B$16,PPMT(R80/360*(365/12),1,$B$10-A79,S79,$C$47*-1),0)*-1,0)</f>
        <v>9767.9564515382481</v>
      </c>
      <c r="U80" s="301">
        <f>+S79*R80/360*(365/12)</f>
        <v>135861.11111111112</v>
      </c>
      <c r="V80" s="301">
        <f>+T80+U80</f>
        <v>145629.06756264938</v>
      </c>
      <c r="W80" s="301">
        <f>+V80+IF($B$15="nem",$B$58,IF(A80&lt;$B$16+1,$B$57,$B$58))+IF(A80&lt;=$B$10,$B$54+$F$52+P80,0)</f>
        <v>145629.06756264938</v>
      </c>
      <c r="AA80" s="12">
        <f>+paraméterek!$B$346</f>
        <v>6.4600000000000005E-2</v>
      </c>
      <c r="AB80" s="301">
        <f>+AB79-AC80</f>
        <v>11975676.825131647</v>
      </c>
      <c r="AC80" s="301">
        <f t="shared" ref="AC80:AC143" si="5">IF(A80&lt;=$B$10,IF(A80&gt;$B$16,PPMT(AA80/360*(365/12),1,$B$10-A79,AB79,$C$47*-1),0)*-1,0)</f>
        <v>24323.174868353472</v>
      </c>
      <c r="AD80" s="301">
        <f>+AB79*AA80/360*(365/12)</f>
        <v>65497.222222222226</v>
      </c>
      <c r="AE80" s="301">
        <f>+AC80+AD80</f>
        <v>89820.397090575701</v>
      </c>
      <c r="AF80" s="477">
        <f>+AE80+IF($B$15="nem",$B$58,IF(A80&lt;$B$16+1,$B$57,$B$58)+IF(A80&lt;=$B$10,$B$54+$F$52+P80,0))</f>
        <v>89820.397090575701</v>
      </c>
      <c r="AI80" s="543">
        <f t="shared" ref="AI80:AI143" si="6">IF(A80&lt;=24,0,IF(A80&lt;=$B$10,IF(A80&gt;$G$22,PPMT(E80/360*(365/12),1,$B$10-A79,AK79,$G$16*-1),0)*-1,0))</f>
        <v>0</v>
      </c>
      <c r="AJ80" s="543">
        <f>+AK79*E80/360*(365/12)</f>
        <v>30416.666666666668</v>
      </c>
      <c r="AK80" s="300">
        <f>AK79-AI80</f>
        <v>12000000</v>
      </c>
      <c r="AL80" s="543">
        <f>AI80+AJ80</f>
        <v>30416.666666666668</v>
      </c>
      <c r="AM80" s="10">
        <f>AL80+IF($B$15="nem",$B$58,IF(A80&lt;$B$16+1,$B$57,$B$58)+IF(A80&lt;=$B$10,$B$54+$F$52+P80,0))</f>
        <v>30416.666666666668</v>
      </c>
      <c r="AP80" s="437">
        <f>+V80+IF($B$15="nem",$B$58,IF(A80&lt;$B$16+1,$B$57,$B$58)+O80)+IF(A80&gt;$B$10,0,IF($B$28=0,$F$58,$B$28)+I80)</f>
        <v>146437.06756264938</v>
      </c>
    </row>
    <row r="81" spans="1:42" s="11" customFormat="1" hidden="1" x14ac:dyDescent="0.3">
      <c r="A81" s="775">
        <v>2</v>
      </c>
      <c r="B81" s="775">
        <f t="shared" ref="B81:B144" si="7">+ROUNDUP(A81/12,0)</f>
        <v>1</v>
      </c>
      <c r="C81" s="891">
        <f t="shared" ref="C81:E96" si="8">+C80</f>
        <v>0.14489675614077413</v>
      </c>
      <c r="D81" s="891"/>
      <c r="E81" s="891">
        <f t="shared" si="8"/>
        <v>0.03</v>
      </c>
      <c r="F81" s="891">
        <f t="shared" si="0"/>
        <v>0.03</v>
      </c>
      <c r="G81" s="893">
        <f t="shared" ref="G81:G144" si="9">+G80-H81-I81</f>
        <v>11927136.530289924</v>
      </c>
      <c r="H81" s="436">
        <f t="shared" si="1"/>
        <v>36477.848576267068</v>
      </c>
      <c r="I81" s="302">
        <f t="shared" si="2"/>
        <v>0</v>
      </c>
      <c r="J81" s="301">
        <f>+G80*F81/360*(365/12)</f>
        <v>30324.43922420944</v>
      </c>
      <c r="K81" s="301">
        <f t="shared" ref="K81:K144" si="10">+(H81+J81)+IF($B$15="nem",$B$58,IF(A81&lt;$B$16+1,$B$57,$B$58)+O81)+P81+I81</f>
        <v>66802.287800476508</v>
      </c>
      <c r="L81" s="10">
        <f t="shared" ref="L81:L144" si="11">H81+I81+J81</f>
        <v>66802.287800476508</v>
      </c>
      <c r="M81" s="302"/>
      <c r="N81" s="435">
        <f t="shared" ref="N81:N144" si="12">IF(A81&lt;=$B$10,PMT($F$7*365/360/12,$B$10,-$F$66)+O81+P81+$F$52)+IF($B$15="nem",$B$58,IF(A81&lt;$B$16+1,$B$57,$B$58))</f>
        <v>66802.287800476508</v>
      </c>
      <c r="O81" s="436">
        <f t="shared" si="3"/>
        <v>0</v>
      </c>
      <c r="P81" s="436">
        <f t="shared" ref="P81:P144" si="13">IF(A81&lt;=$B$10,IF($B$30="havi",$B$28,0)+IF($B$30="negyedéves",$B$28,0)+IF($B$30="féléves",$B$28,0)+IF($B$66="éves",$B$28,0),0)</f>
        <v>0</v>
      </c>
      <c r="R81" s="354">
        <f>+Hirdetmény!$AA$46</f>
        <v>0.13400000000000001</v>
      </c>
      <c r="S81" s="301">
        <f t="shared" ref="S81:S144" si="14">+S80-T81</f>
        <v>11980353.496645523</v>
      </c>
      <c r="T81" s="301">
        <f t="shared" si="4"/>
        <v>9878.5469029374908</v>
      </c>
      <c r="U81" s="301">
        <f t="shared" ref="U81:U144" si="15">+S80*R81/360*(365/12)</f>
        <v>135750.52065971188</v>
      </c>
      <c r="V81" s="301">
        <f t="shared" ref="V81:V144" si="16">+T81+U81</f>
        <v>145629.06756264938</v>
      </c>
      <c r="W81" s="301">
        <f t="shared" ref="W81:W144" si="17">+V81+IF($B$15="nem",$B$58,IF(A81&lt;$B$16+1,$B$57,$B$58))+IF(A81&lt;=$B$10,$B$54+$F$52+P81,0)</f>
        <v>145629.06756264938</v>
      </c>
      <c r="AA81" s="12">
        <f>+paraméterek!$B$346</f>
        <v>6.4600000000000005E-2</v>
      </c>
      <c r="AB81" s="301">
        <f t="shared" ref="AB81:AB144" si="18">+AB80-AC81</f>
        <v>11951220.891897501</v>
      </c>
      <c r="AC81" s="301">
        <f t="shared" si="5"/>
        <v>24455.933234145348</v>
      </c>
      <c r="AD81" s="301">
        <f t="shared" ref="AD81:AD144" si="19">+AB80*AA81/360*(365/12)</f>
        <v>65364.46385643036</v>
      </c>
      <c r="AE81" s="301">
        <f t="shared" ref="AE81:AE144" si="20">+AC81+AD81</f>
        <v>89820.397090575716</v>
      </c>
      <c r="AF81" s="477">
        <f t="shared" ref="AF81:AF144" si="21">+AE81+IF($B$15="nem",$B$58,IF(A81&lt;$B$16+1,$B$57,$B$58)+IF(A81&lt;=$B$10,$B$54+$F$52+P81,0))</f>
        <v>89820.397090575716</v>
      </c>
      <c r="AI81" s="543">
        <f t="shared" si="6"/>
        <v>0</v>
      </c>
      <c r="AJ81" s="543">
        <f t="shared" ref="AJ81:AJ144" si="22">+AK80*E81/360*(365/12)</f>
        <v>30416.666666666668</v>
      </c>
      <c r="AK81" s="300">
        <f t="shared" ref="AK81:AK144" si="23">AK80-AI81</f>
        <v>12000000</v>
      </c>
      <c r="AL81" s="543">
        <f t="shared" ref="AL81:AL144" si="24">AI81+AJ81</f>
        <v>30416.666666666668</v>
      </c>
      <c r="AM81" s="10">
        <f t="shared" ref="AM81:AM144" si="25">AL81+IF($B$15="nem",$B$58,IF(A81&lt;$B$16+1,$B$57,$B$58)+IF(A81&lt;=$B$10,$B$54+$F$52+P81,0))</f>
        <v>30416.666666666668</v>
      </c>
      <c r="AP81" s="437">
        <f t="shared" ref="AP81:AP144" si="26">+V81+IF($B$15="nem",$B$58,IF(A81&lt;$B$16+1,$B$57,$B$58)+O81)+IF(A81&gt;$B$10,0,IF($B$28=0,$F$58,$B$28)+I81)</f>
        <v>146437.06756264938</v>
      </c>
    </row>
    <row r="82" spans="1:42" s="11" customFormat="1" hidden="1" x14ac:dyDescent="0.3">
      <c r="A82" s="775">
        <v>3</v>
      </c>
      <c r="B82" s="775">
        <f t="shared" si="7"/>
        <v>1</v>
      </c>
      <c r="C82" s="891">
        <f t="shared" si="8"/>
        <v>0.14489675614077413</v>
      </c>
      <c r="D82" s="891"/>
      <c r="E82" s="891">
        <f t="shared" si="8"/>
        <v>0.03</v>
      </c>
      <c r="F82" s="891">
        <f t="shared" si="0"/>
        <v>0.03</v>
      </c>
      <c r="G82" s="893">
        <f t="shared" si="9"/>
        <v>11890566.220500251</v>
      </c>
      <c r="H82" s="436">
        <f t="shared" si="1"/>
        <v>36570.309789672196</v>
      </c>
      <c r="I82" s="302">
        <f t="shared" si="2"/>
        <v>0</v>
      </c>
      <c r="J82" s="301">
        <f t="shared" ref="J82:J145" si="27">+G81*F82/360*(365/12)</f>
        <v>30231.97801080432</v>
      </c>
      <c r="K82" s="301">
        <f t="shared" si="10"/>
        <v>66802.287800476508</v>
      </c>
      <c r="L82" s="10">
        <f t="shared" si="11"/>
        <v>66802.287800476508</v>
      </c>
      <c r="M82" s="302"/>
      <c r="N82" s="435">
        <f t="shared" si="12"/>
        <v>66802.287800476508</v>
      </c>
      <c r="O82" s="436">
        <f t="shared" si="3"/>
        <v>0</v>
      </c>
      <c r="P82" s="436">
        <f t="shared" si="13"/>
        <v>0</v>
      </c>
      <c r="R82" s="354">
        <f>+Hirdetmény!$AA$46</f>
        <v>0.13400000000000001</v>
      </c>
      <c r="S82" s="301">
        <f t="shared" si="14"/>
        <v>11970363.107212719</v>
      </c>
      <c r="T82" s="301">
        <f t="shared" si="4"/>
        <v>9990.3894328038477</v>
      </c>
      <c r="U82" s="301">
        <f t="shared" si="15"/>
        <v>135638.6781298455</v>
      </c>
      <c r="V82" s="301">
        <f t="shared" si="16"/>
        <v>145629.06756264935</v>
      </c>
      <c r="W82" s="301">
        <f t="shared" si="17"/>
        <v>145629.06756264935</v>
      </c>
      <c r="AA82" s="12">
        <f>+paraméterek!$B$346</f>
        <v>6.4600000000000005E-2</v>
      </c>
      <c r="AB82" s="301">
        <f t="shared" si="18"/>
        <v>11926631.475688882</v>
      </c>
      <c r="AC82" s="301">
        <f t="shared" si="5"/>
        <v>24589.416208619401</v>
      </c>
      <c r="AD82" s="301">
        <f t="shared" si="19"/>
        <v>65230.980881956297</v>
      </c>
      <c r="AE82" s="301">
        <f t="shared" si="20"/>
        <v>89820.397090575701</v>
      </c>
      <c r="AF82" s="477">
        <f t="shared" si="21"/>
        <v>89820.397090575701</v>
      </c>
      <c r="AI82" s="543">
        <f t="shared" si="6"/>
        <v>0</v>
      </c>
      <c r="AJ82" s="543">
        <f t="shared" si="22"/>
        <v>30416.666666666668</v>
      </c>
      <c r="AK82" s="300">
        <f t="shared" si="23"/>
        <v>12000000</v>
      </c>
      <c r="AL82" s="543">
        <f t="shared" si="24"/>
        <v>30416.666666666668</v>
      </c>
      <c r="AM82" s="10">
        <f t="shared" si="25"/>
        <v>30416.666666666668</v>
      </c>
      <c r="AP82" s="437">
        <f t="shared" si="26"/>
        <v>146437.06756264935</v>
      </c>
    </row>
    <row r="83" spans="1:42" s="11" customFormat="1" hidden="1" x14ac:dyDescent="0.3">
      <c r="A83" s="775">
        <v>4</v>
      </c>
      <c r="B83" s="775">
        <f t="shared" si="7"/>
        <v>1</v>
      </c>
      <c r="C83" s="891">
        <f t="shared" si="8"/>
        <v>0.14489675614077413</v>
      </c>
      <c r="D83" s="891"/>
      <c r="E83" s="891">
        <f t="shared" si="8"/>
        <v>0.03</v>
      </c>
      <c r="F83" s="891">
        <f t="shared" si="0"/>
        <v>0.03</v>
      </c>
      <c r="G83" s="893">
        <f t="shared" si="9"/>
        <v>11853903.215133682</v>
      </c>
      <c r="H83" s="436">
        <f t="shared" si="1"/>
        <v>36663.005366569625</v>
      </c>
      <c r="I83" s="302">
        <f t="shared" si="2"/>
        <v>0</v>
      </c>
      <c r="J83" s="301">
        <f t="shared" si="27"/>
        <v>30139.282433906887</v>
      </c>
      <c r="K83" s="301">
        <f t="shared" si="10"/>
        <v>66802.287800476508</v>
      </c>
      <c r="L83" s="10">
        <f t="shared" si="11"/>
        <v>66802.287800476508</v>
      </c>
      <c r="M83" s="302"/>
      <c r="N83" s="435">
        <f t="shared" si="12"/>
        <v>66802.287800476508</v>
      </c>
      <c r="O83" s="436">
        <f t="shared" si="3"/>
        <v>0</v>
      </c>
      <c r="P83" s="436">
        <f t="shared" si="13"/>
        <v>0</v>
      </c>
      <c r="R83" s="354">
        <f>+Hirdetmény!$AA$46</f>
        <v>0.13400000000000001</v>
      </c>
      <c r="S83" s="301">
        <f t="shared" si="14"/>
        <v>11960259.608995851</v>
      </c>
      <c r="T83" s="301">
        <f t="shared" si="4"/>
        <v>10103.498216868302</v>
      </c>
      <c r="U83" s="301">
        <f t="shared" si="15"/>
        <v>135525.56934578106</v>
      </c>
      <c r="V83" s="301">
        <f t="shared" si="16"/>
        <v>145629.06756264935</v>
      </c>
      <c r="W83" s="301">
        <f t="shared" si="17"/>
        <v>145629.06756264935</v>
      </c>
      <c r="AA83" s="12">
        <f>+paraméterek!$B$346</f>
        <v>6.4600000000000005E-2</v>
      </c>
      <c r="AB83" s="301">
        <f t="shared" si="18"/>
        <v>11901907.847942119</v>
      </c>
      <c r="AC83" s="301">
        <f t="shared" si="5"/>
        <v>24723.627746763621</v>
      </c>
      <c r="AD83" s="301">
        <f t="shared" si="19"/>
        <v>65096.769343812077</v>
      </c>
      <c r="AE83" s="301">
        <f t="shared" si="20"/>
        <v>89820.397090575701</v>
      </c>
      <c r="AF83" s="477">
        <f t="shared" si="21"/>
        <v>89820.397090575701</v>
      </c>
      <c r="AI83" s="543">
        <f t="shared" si="6"/>
        <v>0</v>
      </c>
      <c r="AJ83" s="543">
        <f t="shared" si="22"/>
        <v>30416.666666666668</v>
      </c>
      <c r="AK83" s="300">
        <f t="shared" si="23"/>
        <v>12000000</v>
      </c>
      <c r="AL83" s="543">
        <f t="shared" si="24"/>
        <v>30416.666666666668</v>
      </c>
      <c r="AM83" s="10">
        <f t="shared" si="25"/>
        <v>30416.666666666668</v>
      </c>
      <c r="AP83" s="437">
        <f t="shared" si="26"/>
        <v>146437.06756264935</v>
      </c>
    </row>
    <row r="84" spans="1:42" s="11" customFormat="1" hidden="1" x14ac:dyDescent="0.3">
      <c r="A84" s="775">
        <v>5</v>
      </c>
      <c r="B84" s="775">
        <f t="shared" si="7"/>
        <v>1</v>
      </c>
      <c r="C84" s="891">
        <f t="shared" si="8"/>
        <v>0.14489675614077413</v>
      </c>
      <c r="D84" s="891"/>
      <c r="E84" s="891">
        <f t="shared" si="8"/>
        <v>0.03</v>
      </c>
      <c r="F84" s="891">
        <f t="shared" si="0"/>
        <v>0.03</v>
      </c>
      <c r="G84" s="893">
        <f t="shared" si="9"/>
        <v>11817147.279232677</v>
      </c>
      <c r="H84" s="436">
        <f t="shared" si="1"/>
        <v>36755.935901005723</v>
      </c>
      <c r="I84" s="302">
        <f t="shared" si="2"/>
        <v>0</v>
      </c>
      <c r="J84" s="301">
        <f t="shared" si="27"/>
        <v>30046.351899470792</v>
      </c>
      <c r="K84" s="301">
        <f t="shared" si="10"/>
        <v>66802.287800476508</v>
      </c>
      <c r="L84" s="10">
        <f t="shared" si="11"/>
        <v>66802.287800476508</v>
      </c>
      <c r="M84" s="302"/>
      <c r="N84" s="435">
        <f t="shared" si="12"/>
        <v>66802.287800476508</v>
      </c>
      <c r="O84" s="436">
        <f t="shared" si="3"/>
        <v>0</v>
      </c>
      <c r="P84" s="436">
        <f t="shared" si="13"/>
        <v>0</v>
      </c>
      <c r="R84" s="354">
        <f>+Hirdetmény!$AA$46</f>
        <v>0.13400000000000001</v>
      </c>
      <c r="S84" s="301">
        <f t="shared" si="14"/>
        <v>11950041.721404495</v>
      </c>
      <c r="T84" s="301">
        <f t="shared" si="4"/>
        <v>10217.887591356042</v>
      </c>
      <c r="U84" s="301">
        <f t="shared" si="15"/>
        <v>135411.17997129331</v>
      </c>
      <c r="V84" s="301">
        <f t="shared" si="16"/>
        <v>145629.06756264935</v>
      </c>
      <c r="W84" s="301">
        <f t="shared" si="17"/>
        <v>145629.06756264935</v>
      </c>
      <c r="AA84" s="12">
        <f>+paraméterek!$B$346</f>
        <v>6.4600000000000005E-2</v>
      </c>
      <c r="AB84" s="301">
        <f t="shared" si="18"/>
        <v>11877049.276116967</v>
      </c>
      <c r="AC84" s="301">
        <f t="shared" si="5"/>
        <v>24858.571825152729</v>
      </c>
      <c r="AD84" s="301">
        <f t="shared" si="19"/>
        <v>64961.82526542298</v>
      </c>
      <c r="AE84" s="301">
        <f t="shared" si="20"/>
        <v>89820.397090575716</v>
      </c>
      <c r="AF84" s="477">
        <f t="shared" si="21"/>
        <v>89820.397090575716</v>
      </c>
      <c r="AI84" s="543">
        <f t="shared" si="6"/>
        <v>0</v>
      </c>
      <c r="AJ84" s="543">
        <f t="shared" si="22"/>
        <v>30416.666666666668</v>
      </c>
      <c r="AK84" s="300">
        <f t="shared" si="23"/>
        <v>12000000</v>
      </c>
      <c r="AL84" s="543">
        <f t="shared" si="24"/>
        <v>30416.666666666668</v>
      </c>
      <c r="AM84" s="10">
        <f t="shared" si="25"/>
        <v>30416.666666666668</v>
      </c>
      <c r="AP84" s="437">
        <f t="shared" si="26"/>
        <v>146437.06756264935</v>
      </c>
    </row>
    <row r="85" spans="1:42" s="11" customFormat="1" hidden="1" x14ac:dyDescent="0.3">
      <c r="A85" s="775">
        <v>6</v>
      </c>
      <c r="B85" s="775">
        <f t="shared" si="7"/>
        <v>1</v>
      </c>
      <c r="C85" s="891">
        <f t="shared" si="8"/>
        <v>0.14489675614077413</v>
      </c>
      <c r="D85" s="891"/>
      <c r="E85" s="891">
        <f t="shared" si="8"/>
        <v>0.03</v>
      </c>
      <c r="F85" s="891">
        <f t="shared" si="0"/>
        <v>0.03</v>
      </c>
      <c r="G85" s="893">
        <f t="shared" si="9"/>
        <v>11780298.177244145</v>
      </c>
      <c r="H85" s="436">
        <f t="shared" si="1"/>
        <v>36849.10198853258</v>
      </c>
      <c r="I85" s="302">
        <f t="shared" si="2"/>
        <v>0</v>
      </c>
      <c r="J85" s="301">
        <f>+G84*F85/360*(365/12)</f>
        <v>29953.185811943935</v>
      </c>
      <c r="K85" s="301">
        <f t="shared" si="10"/>
        <v>66802.287800476508</v>
      </c>
      <c r="L85" s="10">
        <f t="shared" si="11"/>
        <v>66802.287800476508</v>
      </c>
      <c r="M85" s="302"/>
      <c r="N85" s="435">
        <f t="shared" si="12"/>
        <v>66802.287800476508</v>
      </c>
      <c r="O85" s="436">
        <f t="shared" si="3"/>
        <v>0</v>
      </c>
      <c r="P85" s="436">
        <f t="shared" si="13"/>
        <v>0</v>
      </c>
      <c r="R85" s="354">
        <f>+Hirdetmény!$AA$46</f>
        <v>0.13400000000000001</v>
      </c>
      <c r="S85" s="301">
        <f t="shared" si="14"/>
        <v>11939708.149349691</v>
      </c>
      <c r="T85" s="301">
        <f t="shared" si="4"/>
        <v>10333.572054803546</v>
      </c>
      <c r="U85" s="301">
        <f t="shared" si="15"/>
        <v>135295.4955078458</v>
      </c>
      <c r="V85" s="301">
        <f t="shared" si="16"/>
        <v>145629.06756264935</v>
      </c>
      <c r="W85" s="301">
        <f t="shared" si="17"/>
        <v>145629.06756264935</v>
      </c>
      <c r="AA85" s="12">
        <f>+paraméterek!$B$346</f>
        <v>6.4600000000000005E-2</v>
      </c>
      <c r="AB85" s="301">
        <f t="shared" si="18"/>
        <v>11852055.023674902</v>
      </c>
      <c r="AC85" s="301">
        <f t="shared" si="5"/>
        <v>24994.252442065994</v>
      </c>
      <c r="AD85" s="301">
        <f t="shared" si="19"/>
        <v>64826.144648509711</v>
      </c>
      <c r="AE85" s="301">
        <f t="shared" si="20"/>
        <v>89820.397090575701</v>
      </c>
      <c r="AF85" s="477">
        <f t="shared" si="21"/>
        <v>89820.397090575701</v>
      </c>
      <c r="AI85" s="543">
        <f t="shared" si="6"/>
        <v>0</v>
      </c>
      <c r="AJ85" s="543">
        <f t="shared" si="22"/>
        <v>30416.666666666668</v>
      </c>
      <c r="AK85" s="300">
        <f t="shared" si="23"/>
        <v>12000000</v>
      </c>
      <c r="AL85" s="543">
        <f t="shared" si="24"/>
        <v>30416.666666666668</v>
      </c>
      <c r="AM85" s="10">
        <f t="shared" si="25"/>
        <v>30416.666666666668</v>
      </c>
      <c r="AP85" s="437">
        <f t="shared" si="26"/>
        <v>146437.06756264935</v>
      </c>
    </row>
    <row r="86" spans="1:42" s="11" customFormat="1" hidden="1" x14ac:dyDescent="0.3">
      <c r="A86" s="775">
        <v>7</v>
      </c>
      <c r="B86" s="775">
        <f t="shared" si="7"/>
        <v>1</v>
      </c>
      <c r="C86" s="891">
        <f t="shared" si="8"/>
        <v>0.14489675614077413</v>
      </c>
      <c r="D86" s="891"/>
      <c r="E86" s="891">
        <f t="shared" si="8"/>
        <v>0.03</v>
      </c>
      <c r="F86" s="891">
        <f t="shared" si="0"/>
        <v>0.03</v>
      </c>
      <c r="G86" s="893">
        <f>+G85-H86-I86</f>
        <v>11743355.673017934</v>
      </c>
      <c r="H86" s="436">
        <f t="shared" si="1"/>
        <v>36942.504226211844</v>
      </c>
      <c r="I86" s="302">
        <f t="shared" si="2"/>
        <v>0</v>
      </c>
      <c r="J86" s="301">
        <f>+G85*F86/360*(365/12)</f>
        <v>29859.783574264678</v>
      </c>
      <c r="K86" s="301">
        <f t="shared" si="10"/>
        <v>66802.287800476523</v>
      </c>
      <c r="L86" s="10">
        <f t="shared" si="11"/>
        <v>66802.287800476523</v>
      </c>
      <c r="M86" s="302"/>
      <c r="N86" s="435">
        <f t="shared" si="12"/>
        <v>66802.287800476508</v>
      </c>
      <c r="O86" s="436">
        <f t="shared" si="3"/>
        <v>0</v>
      </c>
      <c r="P86" s="436">
        <f t="shared" si="13"/>
        <v>0</v>
      </c>
      <c r="R86" s="354">
        <f>+Hirdetmény!$AA$46</f>
        <v>0.13400000000000001</v>
      </c>
      <c r="S86" s="301">
        <f t="shared" si="14"/>
        <v>11929257.583079794</v>
      </c>
      <c r="T86" s="301">
        <f t="shared" si="4"/>
        <v>10450.566269896242</v>
      </c>
      <c r="U86" s="301">
        <f t="shared" si="15"/>
        <v>135178.50129275309</v>
      </c>
      <c r="V86" s="301">
        <f t="shared" si="16"/>
        <v>145629.06756264935</v>
      </c>
      <c r="W86" s="301">
        <f t="shared" si="17"/>
        <v>145629.06756264935</v>
      </c>
      <c r="AA86" s="12">
        <f>+paraméterek!$B$346</f>
        <v>6.4600000000000005E-2</v>
      </c>
      <c r="AB86" s="301">
        <f t="shared" si="18"/>
        <v>11826924.350057296</v>
      </c>
      <c r="AC86" s="301">
        <f t="shared" si="5"/>
        <v>25130.67361760568</v>
      </c>
      <c r="AD86" s="301">
        <f t="shared" si="19"/>
        <v>64689.723472970036</v>
      </c>
      <c r="AE86" s="301">
        <f t="shared" si="20"/>
        <v>89820.397090575716</v>
      </c>
      <c r="AF86" s="477">
        <f t="shared" si="21"/>
        <v>89820.397090575716</v>
      </c>
      <c r="AI86" s="543">
        <f t="shared" si="6"/>
        <v>0</v>
      </c>
      <c r="AJ86" s="543">
        <f t="shared" si="22"/>
        <v>30416.666666666668</v>
      </c>
      <c r="AK86" s="300">
        <f t="shared" si="23"/>
        <v>12000000</v>
      </c>
      <c r="AL86" s="543">
        <f t="shared" si="24"/>
        <v>30416.666666666668</v>
      </c>
      <c r="AM86" s="10">
        <f t="shared" si="25"/>
        <v>30416.666666666668</v>
      </c>
      <c r="AP86" s="437">
        <f t="shared" si="26"/>
        <v>146437.06756264935</v>
      </c>
    </row>
    <row r="87" spans="1:42" s="11" customFormat="1" hidden="1" x14ac:dyDescent="0.3">
      <c r="A87" s="775">
        <v>8</v>
      </c>
      <c r="B87" s="775">
        <f t="shared" si="7"/>
        <v>1</v>
      </c>
      <c r="C87" s="891">
        <f t="shared" si="8"/>
        <v>0.14489675614077413</v>
      </c>
      <c r="D87" s="891"/>
      <c r="E87" s="891">
        <f t="shared" si="8"/>
        <v>0.03</v>
      </c>
      <c r="F87" s="891">
        <f t="shared" si="0"/>
        <v>0.03</v>
      </c>
      <c r="G87" s="893">
        <f t="shared" si="9"/>
        <v>11706319.529805316</v>
      </c>
      <c r="H87" s="436">
        <f t="shared" si="1"/>
        <v>37036.143212618561</v>
      </c>
      <c r="I87" s="302">
        <f t="shared" si="2"/>
        <v>0</v>
      </c>
      <c r="J87" s="301">
        <f t="shared" si="27"/>
        <v>29766.144587857958</v>
      </c>
      <c r="K87" s="301">
        <f t="shared" si="10"/>
        <v>66802.287800476523</v>
      </c>
      <c r="L87" s="10">
        <f t="shared" si="11"/>
        <v>66802.287800476523</v>
      </c>
      <c r="M87" s="302"/>
      <c r="N87" s="435">
        <f t="shared" si="12"/>
        <v>66802.287800476508</v>
      </c>
      <c r="O87" s="436">
        <f t="shared" si="3"/>
        <v>0</v>
      </c>
      <c r="P87" s="436">
        <f t="shared" si="13"/>
        <v>0</v>
      </c>
      <c r="R87" s="354">
        <f>+Hirdetmény!$AA$46</f>
        <v>0.13400000000000001</v>
      </c>
      <c r="S87" s="301">
        <f t="shared" si="14"/>
        <v>11918688.698014468</v>
      </c>
      <c r="T87" s="301">
        <f t="shared" si="4"/>
        <v>10568.885065326938</v>
      </c>
      <c r="U87" s="301">
        <f t="shared" si="15"/>
        <v>135060.18249732241</v>
      </c>
      <c r="V87" s="301">
        <f t="shared" si="16"/>
        <v>145629.06756264935</v>
      </c>
      <c r="W87" s="301">
        <f t="shared" si="17"/>
        <v>145629.06756264935</v>
      </c>
      <c r="AA87" s="12">
        <f>+paraméterek!$B$346</f>
        <v>6.4600000000000005E-2</v>
      </c>
      <c r="AB87" s="301">
        <f t="shared" si="18"/>
        <v>11801656.51066348</v>
      </c>
      <c r="AC87" s="301">
        <f t="shared" si="5"/>
        <v>25267.83939381623</v>
      </c>
      <c r="AD87" s="301">
        <f t="shared" si="19"/>
        <v>64552.557696759497</v>
      </c>
      <c r="AE87" s="301">
        <f t="shared" si="20"/>
        <v>89820.397090575731</v>
      </c>
      <c r="AF87" s="477">
        <f t="shared" si="21"/>
        <v>89820.397090575731</v>
      </c>
      <c r="AI87" s="543">
        <f t="shared" si="6"/>
        <v>0</v>
      </c>
      <c r="AJ87" s="543">
        <f t="shared" si="22"/>
        <v>30416.666666666668</v>
      </c>
      <c r="AK87" s="300">
        <f t="shared" si="23"/>
        <v>12000000</v>
      </c>
      <c r="AL87" s="543">
        <f t="shared" si="24"/>
        <v>30416.666666666668</v>
      </c>
      <c r="AM87" s="10">
        <f t="shared" si="25"/>
        <v>30416.666666666668</v>
      </c>
      <c r="AP87" s="437">
        <f t="shared" si="26"/>
        <v>146437.06756264935</v>
      </c>
    </row>
    <row r="88" spans="1:42" s="11" customFormat="1" hidden="1" x14ac:dyDescent="0.3">
      <c r="A88" s="775">
        <v>9</v>
      </c>
      <c r="B88" s="775">
        <f t="shared" si="7"/>
        <v>1</v>
      </c>
      <c r="C88" s="891">
        <f t="shared" si="8"/>
        <v>0.14489675614077413</v>
      </c>
      <c r="D88" s="891"/>
      <c r="E88" s="891">
        <f t="shared" si="8"/>
        <v>0.03</v>
      </c>
      <c r="F88" s="891">
        <f t="shared" si="0"/>
        <v>0.03</v>
      </c>
      <c r="G88" s="893">
        <f t="shared" si="9"/>
        <v>11669189.510257471</v>
      </c>
      <c r="H88" s="436">
        <f t="shared" si="1"/>
        <v>37130.01954784499</v>
      </c>
      <c r="I88" s="302">
        <f t="shared" si="2"/>
        <v>0</v>
      </c>
      <c r="J88" s="301">
        <f t="shared" si="27"/>
        <v>29672.268252631529</v>
      </c>
      <c r="K88" s="301">
        <f t="shared" si="10"/>
        <v>66802.287800476523</v>
      </c>
      <c r="L88" s="10">
        <f t="shared" si="11"/>
        <v>66802.287800476523</v>
      </c>
      <c r="M88" s="302"/>
      <c r="N88" s="435">
        <f t="shared" si="12"/>
        <v>66802.287800476508</v>
      </c>
      <c r="O88" s="436">
        <f t="shared" si="3"/>
        <v>0</v>
      </c>
      <c r="P88" s="436">
        <f t="shared" si="13"/>
        <v>0</v>
      </c>
      <c r="R88" s="354">
        <f>+Hirdetmény!$AA$46</f>
        <v>0.13400000000000001</v>
      </c>
      <c r="S88" s="301">
        <f t="shared" si="14"/>
        <v>11908000.154576793</v>
      </c>
      <c r="T88" s="301">
        <f t="shared" si="4"/>
        <v>10688.543437675353</v>
      </c>
      <c r="U88" s="301">
        <f t="shared" si="15"/>
        <v>134940.52412497401</v>
      </c>
      <c r="V88" s="301">
        <f t="shared" si="16"/>
        <v>145629.06756264935</v>
      </c>
      <c r="W88" s="301">
        <f t="shared" si="17"/>
        <v>145629.06756264935</v>
      </c>
      <c r="AA88" s="12">
        <f>+paraméterek!$B$346</f>
        <v>6.4600000000000005E-2</v>
      </c>
      <c r="AB88" s="301">
        <f t="shared" si="18"/>
        <v>11776250.756828675</v>
      </c>
      <c r="AC88" s="301">
        <f t="shared" si="5"/>
        <v>25405.753834803902</v>
      </c>
      <c r="AD88" s="301">
        <f t="shared" si="19"/>
        <v>64414.643255771807</v>
      </c>
      <c r="AE88" s="301">
        <f t="shared" si="20"/>
        <v>89820.397090575716</v>
      </c>
      <c r="AF88" s="477">
        <f t="shared" si="21"/>
        <v>89820.397090575716</v>
      </c>
      <c r="AI88" s="543">
        <f t="shared" si="6"/>
        <v>0</v>
      </c>
      <c r="AJ88" s="543">
        <f t="shared" si="22"/>
        <v>30416.666666666668</v>
      </c>
      <c r="AK88" s="300">
        <f t="shared" si="23"/>
        <v>12000000</v>
      </c>
      <c r="AL88" s="543">
        <f t="shared" si="24"/>
        <v>30416.666666666668</v>
      </c>
      <c r="AM88" s="10">
        <f t="shared" si="25"/>
        <v>30416.666666666668</v>
      </c>
      <c r="AP88" s="437">
        <f t="shared" si="26"/>
        <v>146437.06756264935</v>
      </c>
    </row>
    <row r="89" spans="1:42" s="11" customFormat="1" hidden="1" x14ac:dyDescent="0.3">
      <c r="A89" s="775">
        <v>10</v>
      </c>
      <c r="B89" s="775">
        <f t="shared" si="7"/>
        <v>1</v>
      </c>
      <c r="C89" s="891">
        <f t="shared" si="8"/>
        <v>0.14489675614077413</v>
      </c>
      <c r="D89" s="891"/>
      <c r="E89" s="891">
        <f t="shared" si="8"/>
        <v>0.03</v>
      </c>
      <c r="F89" s="891">
        <f t="shared" si="0"/>
        <v>0.03</v>
      </c>
      <c r="G89" s="893">
        <f t="shared" si="9"/>
        <v>11631965.376423966</v>
      </c>
      <c r="H89" s="436">
        <f t="shared" si="1"/>
        <v>37224.133833504464</v>
      </c>
      <c r="I89" s="302">
        <f t="shared" si="2"/>
        <v>0</v>
      </c>
      <c r="J89" s="301">
        <f t="shared" si="27"/>
        <v>29578.153966972059</v>
      </c>
      <c r="K89" s="301">
        <f t="shared" si="10"/>
        <v>66802.287800476523</v>
      </c>
      <c r="L89" s="10">
        <f t="shared" si="11"/>
        <v>66802.287800476523</v>
      </c>
      <c r="M89" s="302"/>
      <c r="N89" s="435">
        <f t="shared" si="12"/>
        <v>66802.287800476508</v>
      </c>
      <c r="O89" s="436">
        <f t="shared" si="3"/>
        <v>0</v>
      </c>
      <c r="P89" s="436">
        <f t="shared" si="13"/>
        <v>0</v>
      </c>
      <c r="R89" s="354">
        <f>+Hirdetmény!$AA$46</f>
        <v>0.13400000000000001</v>
      </c>
      <c r="S89" s="301">
        <f t="shared" si="14"/>
        <v>11897190.598023485</v>
      </c>
      <c r="T89" s="301">
        <f t="shared" si="4"/>
        <v>10809.556553308852</v>
      </c>
      <c r="U89" s="301">
        <f t="shared" si="15"/>
        <v>134819.51100934052</v>
      </c>
      <c r="V89" s="301">
        <f t="shared" si="16"/>
        <v>145629.06756264938</v>
      </c>
      <c r="W89" s="301">
        <f t="shared" si="17"/>
        <v>145629.06756264938</v>
      </c>
      <c r="AA89" s="12">
        <f>+paraméterek!$B$346</f>
        <v>6.4600000000000005E-2</v>
      </c>
      <c r="AB89" s="301">
        <f t="shared" si="18"/>
        <v>11750706.335801817</v>
      </c>
      <c r="AC89" s="301">
        <f t="shared" si="5"/>
        <v>25544.421026857333</v>
      </c>
      <c r="AD89" s="301">
        <f t="shared" si="19"/>
        <v>64275.976063718364</v>
      </c>
      <c r="AE89" s="301">
        <f t="shared" si="20"/>
        <v>89820.397090575701</v>
      </c>
      <c r="AF89" s="477">
        <f t="shared" si="21"/>
        <v>89820.397090575701</v>
      </c>
      <c r="AI89" s="543">
        <f t="shared" si="6"/>
        <v>0</v>
      </c>
      <c r="AJ89" s="543">
        <f t="shared" si="22"/>
        <v>30416.666666666668</v>
      </c>
      <c r="AK89" s="300">
        <f t="shared" si="23"/>
        <v>12000000</v>
      </c>
      <c r="AL89" s="543">
        <f t="shared" si="24"/>
        <v>30416.666666666668</v>
      </c>
      <c r="AM89" s="10">
        <f t="shared" si="25"/>
        <v>30416.666666666668</v>
      </c>
      <c r="AP89" s="437">
        <f t="shared" si="26"/>
        <v>146437.06756264938</v>
      </c>
    </row>
    <row r="90" spans="1:42" s="11" customFormat="1" hidden="1" x14ac:dyDescent="0.3">
      <c r="A90" s="775">
        <v>11</v>
      </c>
      <c r="B90" s="775">
        <f t="shared" si="7"/>
        <v>1</v>
      </c>
      <c r="C90" s="891">
        <f t="shared" si="8"/>
        <v>0.14489675614077413</v>
      </c>
      <c r="D90" s="891"/>
      <c r="E90" s="891">
        <f t="shared" si="8"/>
        <v>0.03</v>
      </c>
      <c r="F90" s="891">
        <f t="shared" si="0"/>
        <v>0.03</v>
      </c>
      <c r="G90" s="893">
        <f t="shared" si="9"/>
        <v>11594646.889751231</v>
      </c>
      <c r="H90" s="436">
        <f t="shared" si="1"/>
        <v>37318.48667273522</v>
      </c>
      <c r="I90" s="302">
        <f t="shared" si="2"/>
        <v>0</v>
      </c>
      <c r="J90" s="301">
        <f t="shared" si="27"/>
        <v>29483.801127741299</v>
      </c>
      <c r="K90" s="301">
        <f t="shared" si="10"/>
        <v>66802.287800476523</v>
      </c>
      <c r="L90" s="10">
        <f t="shared" si="11"/>
        <v>66802.287800476523</v>
      </c>
      <c r="M90" s="302"/>
      <c r="N90" s="435">
        <f t="shared" si="12"/>
        <v>66802.287800476508</v>
      </c>
      <c r="O90" s="436">
        <f t="shared" si="3"/>
        <v>0</v>
      </c>
      <c r="P90" s="436">
        <f t="shared" si="13"/>
        <v>0</v>
      </c>
      <c r="R90" s="354">
        <f>+Hirdetmény!$AA$46</f>
        <v>0.13400000000000001</v>
      </c>
      <c r="S90" s="301">
        <f t="shared" si="14"/>
        <v>11886258.658273181</v>
      </c>
      <c r="T90" s="301">
        <f t="shared" si="4"/>
        <v>10931.939750304762</v>
      </c>
      <c r="U90" s="301">
        <f t="shared" si="15"/>
        <v>134697.12781234461</v>
      </c>
      <c r="V90" s="301">
        <f t="shared" si="16"/>
        <v>145629.06756264938</v>
      </c>
      <c r="W90" s="301">
        <f t="shared" si="17"/>
        <v>145629.06756264938</v>
      </c>
      <c r="AA90" s="12">
        <f>+paraméterek!$B$346</f>
        <v>6.4600000000000005E-2</v>
      </c>
      <c r="AB90" s="301">
        <f t="shared" si="18"/>
        <v>11725022.490723249</v>
      </c>
      <c r="AC90" s="301">
        <f t="shared" si="5"/>
        <v>25683.845078568509</v>
      </c>
      <c r="AD90" s="301">
        <f t="shared" si="19"/>
        <v>64136.552012007196</v>
      </c>
      <c r="AE90" s="301">
        <f t="shared" si="20"/>
        <v>89820.397090575701</v>
      </c>
      <c r="AF90" s="477">
        <f t="shared" si="21"/>
        <v>89820.397090575701</v>
      </c>
      <c r="AI90" s="543">
        <f t="shared" si="6"/>
        <v>0</v>
      </c>
      <c r="AJ90" s="543">
        <f t="shared" si="22"/>
        <v>30416.666666666668</v>
      </c>
      <c r="AK90" s="300">
        <f t="shared" si="23"/>
        <v>12000000</v>
      </c>
      <c r="AL90" s="543">
        <f t="shared" si="24"/>
        <v>30416.666666666668</v>
      </c>
      <c r="AM90" s="10">
        <f t="shared" si="25"/>
        <v>30416.666666666668</v>
      </c>
      <c r="AP90" s="437">
        <f t="shared" si="26"/>
        <v>146437.06756264938</v>
      </c>
    </row>
    <row r="91" spans="1:42" s="11" customFormat="1" hidden="1" x14ac:dyDescent="0.3">
      <c r="A91" s="775">
        <v>12</v>
      </c>
      <c r="B91" s="775">
        <f t="shared" si="7"/>
        <v>1</v>
      </c>
      <c r="C91" s="891">
        <f t="shared" si="8"/>
        <v>0.14489675614077413</v>
      </c>
      <c r="D91" s="891"/>
      <c r="E91" s="891">
        <f t="shared" si="8"/>
        <v>0.03</v>
      </c>
      <c r="F91" s="891">
        <f t="shared" si="0"/>
        <v>0.03</v>
      </c>
      <c r="G91" s="893">
        <f t="shared" si="9"/>
        <v>11557233.811081028</v>
      </c>
      <c r="H91" s="436">
        <f t="shared" si="1"/>
        <v>37413.078670204304</v>
      </c>
      <c r="I91" s="302">
        <f t="shared" si="2"/>
        <v>0</v>
      </c>
      <c r="J91" s="301">
        <f t="shared" si="27"/>
        <v>29389.209130272218</v>
      </c>
      <c r="K91" s="301">
        <f t="shared" si="10"/>
        <v>66802.287800476523</v>
      </c>
      <c r="L91" s="10">
        <f t="shared" si="11"/>
        <v>66802.287800476523</v>
      </c>
      <c r="M91" s="302"/>
      <c r="N91" s="435">
        <f t="shared" si="12"/>
        <v>66802.287800476508</v>
      </c>
      <c r="O91" s="436">
        <f t="shared" si="3"/>
        <v>0</v>
      </c>
      <c r="P91" s="436">
        <f t="shared" si="13"/>
        <v>0</v>
      </c>
      <c r="R91" s="354">
        <f>+Hirdetmény!$AA$46</f>
        <v>0.13400000000000001</v>
      </c>
      <c r="S91" s="301">
        <f t="shared" si="14"/>
        <v>11875202.949732786</v>
      </c>
      <c r="T91" s="301">
        <f t="shared" si="4"/>
        <v>11055.70854039444</v>
      </c>
      <c r="U91" s="301">
        <f t="shared" si="15"/>
        <v>134573.35902225494</v>
      </c>
      <c r="V91" s="301">
        <f t="shared" si="16"/>
        <v>145629.06756264938</v>
      </c>
      <c r="W91" s="301">
        <f t="shared" si="17"/>
        <v>145629.06756264938</v>
      </c>
      <c r="AA91" s="12">
        <f>+paraméterek!$B$346</f>
        <v>6.4600000000000005E-2</v>
      </c>
      <c r="AB91" s="301">
        <f t="shared" si="18"/>
        <v>11699198.460602295</v>
      </c>
      <c r="AC91" s="301">
        <f t="shared" si="5"/>
        <v>25824.030120954518</v>
      </c>
      <c r="AD91" s="301">
        <f t="shared" si="19"/>
        <v>63996.366969621187</v>
      </c>
      <c r="AE91" s="301">
        <f t="shared" si="20"/>
        <v>89820.397090575701</v>
      </c>
      <c r="AF91" s="477">
        <f t="shared" si="21"/>
        <v>89820.397090575701</v>
      </c>
      <c r="AI91" s="543">
        <f t="shared" si="6"/>
        <v>0</v>
      </c>
      <c r="AJ91" s="543">
        <f t="shared" si="22"/>
        <v>30416.666666666668</v>
      </c>
      <c r="AK91" s="300">
        <f t="shared" si="23"/>
        <v>12000000</v>
      </c>
      <c r="AL91" s="543">
        <f t="shared" si="24"/>
        <v>30416.666666666668</v>
      </c>
      <c r="AM91" s="10">
        <f t="shared" si="25"/>
        <v>30416.666666666668</v>
      </c>
      <c r="AP91" s="437">
        <f t="shared" si="26"/>
        <v>146437.06756264938</v>
      </c>
    </row>
    <row r="92" spans="1:42" s="11" customFormat="1" hidden="1" x14ac:dyDescent="0.3">
      <c r="A92" s="775">
        <v>13</v>
      </c>
      <c r="B92" s="775">
        <f t="shared" si="7"/>
        <v>2</v>
      </c>
      <c r="C92" s="891">
        <f t="shared" si="8"/>
        <v>0.14489675614077413</v>
      </c>
      <c r="D92" s="891"/>
      <c r="E92" s="891">
        <f t="shared" si="8"/>
        <v>0.03</v>
      </c>
      <c r="F92" s="891">
        <f t="shared" si="0"/>
        <v>0.03</v>
      </c>
      <c r="G92" s="893">
        <f t="shared" si="9"/>
        <v>11519725.900648916</v>
      </c>
      <c r="H92" s="436">
        <f t="shared" si="1"/>
        <v>37507.910432111421</v>
      </c>
      <c r="I92" s="302">
        <f t="shared" si="2"/>
        <v>0</v>
      </c>
      <c r="J92" s="301">
        <f t="shared" si="27"/>
        <v>29294.377368365102</v>
      </c>
      <c r="K92" s="301">
        <f t="shared" si="10"/>
        <v>66802.287800476523</v>
      </c>
      <c r="L92" s="10">
        <f t="shared" si="11"/>
        <v>66802.287800476523</v>
      </c>
      <c r="M92" s="302"/>
      <c r="N92" s="435">
        <f t="shared" si="12"/>
        <v>66802.287800476508</v>
      </c>
      <c r="O92" s="436">
        <f t="shared" si="3"/>
        <v>0</v>
      </c>
      <c r="P92" s="436">
        <f t="shared" si="13"/>
        <v>0</v>
      </c>
      <c r="R92" s="354">
        <f>+Hirdetmény!$AA$46</f>
        <v>0.13400000000000001</v>
      </c>
      <c r="S92" s="301">
        <f t="shared" si="14"/>
        <v>11864022.071121857</v>
      </c>
      <c r="T92" s="301">
        <f t="shared" si="4"/>
        <v>11180.87861092932</v>
      </c>
      <c r="U92" s="301">
        <f t="shared" si="15"/>
        <v>134448.18895172005</v>
      </c>
      <c r="V92" s="301">
        <f t="shared" si="16"/>
        <v>145629.06756264938</v>
      </c>
      <c r="W92" s="301">
        <f t="shared" si="17"/>
        <v>145629.06756264938</v>
      </c>
      <c r="AA92" s="12">
        <f>+paraméterek!$B$346</f>
        <v>6.4600000000000005E-2</v>
      </c>
      <c r="AB92" s="301">
        <f t="shared" si="18"/>
        <v>11673233.480294714</v>
      </c>
      <c r="AC92" s="301">
        <f t="shared" si="5"/>
        <v>25964.980307579979</v>
      </c>
      <c r="AD92" s="301">
        <f t="shared" si="19"/>
        <v>63855.416782995722</v>
      </c>
      <c r="AE92" s="301">
        <f t="shared" si="20"/>
        <v>89820.397090575701</v>
      </c>
      <c r="AF92" s="477">
        <f t="shared" si="21"/>
        <v>89820.397090575701</v>
      </c>
      <c r="AI92" s="543">
        <f t="shared" si="6"/>
        <v>0</v>
      </c>
      <c r="AJ92" s="543">
        <f t="shared" si="22"/>
        <v>30416.666666666668</v>
      </c>
      <c r="AK92" s="300">
        <f t="shared" si="23"/>
        <v>12000000</v>
      </c>
      <c r="AL92" s="543">
        <f t="shared" si="24"/>
        <v>30416.666666666668</v>
      </c>
      <c r="AM92" s="10">
        <f t="shared" si="25"/>
        <v>30416.666666666668</v>
      </c>
      <c r="AP92" s="437">
        <f t="shared" si="26"/>
        <v>146437.06756264938</v>
      </c>
    </row>
    <row r="93" spans="1:42" s="11" customFormat="1" hidden="1" x14ac:dyDescent="0.3">
      <c r="A93" s="775">
        <v>14</v>
      </c>
      <c r="B93" s="775">
        <f t="shared" si="7"/>
        <v>2</v>
      </c>
      <c r="C93" s="891">
        <f t="shared" si="8"/>
        <v>0.14489675614077413</v>
      </c>
      <c r="D93" s="891"/>
      <c r="E93" s="891">
        <f t="shared" si="8"/>
        <v>0.03</v>
      </c>
      <c r="F93" s="891">
        <f t="shared" si="0"/>
        <v>0.03</v>
      </c>
      <c r="G93" s="893">
        <f t="shared" si="9"/>
        <v>11482122.918082723</v>
      </c>
      <c r="H93" s="436">
        <f t="shared" si="1"/>
        <v>37602.982566192812</v>
      </c>
      <c r="I93" s="302">
        <f t="shared" si="2"/>
        <v>0</v>
      </c>
      <c r="J93" s="301">
        <f t="shared" si="27"/>
        <v>29199.305234283715</v>
      </c>
      <c r="K93" s="301">
        <f t="shared" si="10"/>
        <v>66802.287800476523</v>
      </c>
      <c r="L93" s="10">
        <f t="shared" si="11"/>
        <v>66802.287800476523</v>
      </c>
      <c r="M93" s="302"/>
      <c r="N93" s="435">
        <f t="shared" si="12"/>
        <v>66802.287800476508</v>
      </c>
      <c r="O93" s="436">
        <f t="shared" si="3"/>
        <v>0</v>
      </c>
      <c r="P93" s="436">
        <f t="shared" si="13"/>
        <v>0</v>
      </c>
      <c r="R93" s="354">
        <f>+Hirdetmény!$AA$46</f>
        <v>0.13400000000000001</v>
      </c>
      <c r="S93" s="301">
        <f t="shared" si="14"/>
        <v>11852714.605294988</v>
      </c>
      <c r="T93" s="301">
        <f t="shared" si="4"/>
        <v>11307.465826869266</v>
      </c>
      <c r="U93" s="301">
        <f t="shared" si="15"/>
        <v>134321.6017357801</v>
      </c>
      <c r="V93" s="301">
        <f t="shared" si="16"/>
        <v>145629.06756264938</v>
      </c>
      <c r="W93" s="301">
        <f t="shared" si="17"/>
        <v>145629.06756264938</v>
      </c>
      <c r="AA93" s="12">
        <f>+paraméterek!$B$346</f>
        <v>6.4600000000000005E-2</v>
      </c>
      <c r="AB93" s="301">
        <f t="shared" si="18"/>
        <v>11647126.780480033</v>
      </c>
      <c r="AC93" s="301">
        <f t="shared" si="5"/>
        <v>26106.699814680083</v>
      </c>
      <c r="AD93" s="301">
        <f t="shared" si="19"/>
        <v>63713.697275895625</v>
      </c>
      <c r="AE93" s="301">
        <f t="shared" si="20"/>
        <v>89820.397090575716</v>
      </c>
      <c r="AF93" s="477">
        <f t="shared" si="21"/>
        <v>89820.397090575716</v>
      </c>
      <c r="AI93" s="543">
        <f t="shared" si="6"/>
        <v>0</v>
      </c>
      <c r="AJ93" s="543">
        <f t="shared" si="22"/>
        <v>30416.666666666668</v>
      </c>
      <c r="AK93" s="300">
        <f t="shared" si="23"/>
        <v>12000000</v>
      </c>
      <c r="AL93" s="543">
        <f t="shared" si="24"/>
        <v>30416.666666666668</v>
      </c>
      <c r="AM93" s="10">
        <f t="shared" si="25"/>
        <v>30416.666666666668</v>
      </c>
      <c r="AP93" s="437">
        <f t="shared" si="26"/>
        <v>146437.06756264938</v>
      </c>
    </row>
    <row r="94" spans="1:42" s="11" customFormat="1" hidden="1" x14ac:dyDescent="0.3">
      <c r="A94" s="775">
        <v>15</v>
      </c>
      <c r="B94" s="775">
        <f t="shared" si="7"/>
        <v>2</v>
      </c>
      <c r="C94" s="891">
        <f t="shared" si="8"/>
        <v>0.14489675614077413</v>
      </c>
      <c r="D94" s="891"/>
      <c r="E94" s="891">
        <f t="shared" si="8"/>
        <v>0.03</v>
      </c>
      <c r="F94" s="891">
        <f t="shared" si="0"/>
        <v>0.03</v>
      </c>
      <c r="G94" s="893">
        <f t="shared" si="9"/>
        <v>11444424.622400999</v>
      </c>
      <c r="H94" s="436">
        <f t="shared" si="1"/>
        <v>37698.295681725176</v>
      </c>
      <c r="I94" s="302">
        <f t="shared" si="2"/>
        <v>0</v>
      </c>
      <c r="J94" s="301">
        <f t="shared" si="27"/>
        <v>29103.992118751346</v>
      </c>
      <c r="K94" s="301">
        <f t="shared" si="10"/>
        <v>66802.287800476523</v>
      </c>
      <c r="L94" s="10">
        <f t="shared" si="11"/>
        <v>66802.287800476523</v>
      </c>
      <c r="M94" s="302"/>
      <c r="N94" s="435">
        <f t="shared" si="12"/>
        <v>66802.287800476508</v>
      </c>
      <c r="O94" s="436">
        <f t="shared" si="3"/>
        <v>0</v>
      </c>
      <c r="P94" s="436">
        <f t="shared" si="13"/>
        <v>0</v>
      </c>
      <c r="R94" s="354">
        <f>+Hirdetmény!$AA$46</f>
        <v>0.13400000000000001</v>
      </c>
      <c r="S94" s="301">
        <f t="shared" si="14"/>
        <v>11841279.119062195</v>
      </c>
      <c r="T94" s="301">
        <f t="shared" si="4"/>
        <v>11435.486232793375</v>
      </c>
      <c r="U94" s="301">
        <f t="shared" si="15"/>
        <v>134193.58132985598</v>
      </c>
      <c r="V94" s="301">
        <f t="shared" si="16"/>
        <v>145629.06756264935</v>
      </c>
      <c r="W94" s="301">
        <f t="shared" si="17"/>
        <v>145629.06756264935</v>
      </c>
      <c r="AA94" s="12">
        <f>+paraméterek!$B$346</f>
        <v>6.4600000000000005E-2</v>
      </c>
      <c r="AB94" s="301">
        <f t="shared" si="18"/>
        <v>11620877.587638749</v>
      </c>
      <c r="AC94" s="301">
        <f t="shared" si="5"/>
        <v>26249.192841284323</v>
      </c>
      <c r="AD94" s="301">
        <f t="shared" si="19"/>
        <v>63571.204249291375</v>
      </c>
      <c r="AE94" s="301">
        <f t="shared" si="20"/>
        <v>89820.397090575701</v>
      </c>
      <c r="AF94" s="477">
        <f t="shared" si="21"/>
        <v>89820.397090575701</v>
      </c>
      <c r="AI94" s="543">
        <f t="shared" si="6"/>
        <v>0</v>
      </c>
      <c r="AJ94" s="543">
        <f t="shared" si="22"/>
        <v>30416.666666666668</v>
      </c>
      <c r="AK94" s="300">
        <f t="shared" si="23"/>
        <v>12000000</v>
      </c>
      <c r="AL94" s="543">
        <f t="shared" si="24"/>
        <v>30416.666666666668</v>
      </c>
      <c r="AM94" s="10">
        <f t="shared" si="25"/>
        <v>30416.666666666668</v>
      </c>
      <c r="AP94" s="437">
        <f t="shared" si="26"/>
        <v>146437.06756264935</v>
      </c>
    </row>
    <row r="95" spans="1:42" s="11" customFormat="1" hidden="1" x14ac:dyDescent="0.3">
      <c r="A95" s="775">
        <v>16</v>
      </c>
      <c r="B95" s="775">
        <f t="shared" si="7"/>
        <v>2</v>
      </c>
      <c r="C95" s="891">
        <f t="shared" si="8"/>
        <v>0.14489675614077413</v>
      </c>
      <c r="D95" s="891"/>
      <c r="E95" s="891">
        <f t="shared" si="8"/>
        <v>0.03</v>
      </c>
      <c r="F95" s="891">
        <f t="shared" si="0"/>
        <v>0.03</v>
      </c>
      <c r="G95" s="893">
        <f t="shared" si="9"/>
        <v>11406630.77201147</v>
      </c>
      <c r="H95" s="436">
        <f t="shared" si="1"/>
        <v>37793.850389529536</v>
      </c>
      <c r="I95" s="302">
        <f t="shared" si="2"/>
        <v>0</v>
      </c>
      <c r="J95" s="301">
        <f t="shared" si="27"/>
        <v>29008.437410946979</v>
      </c>
      <c r="K95" s="301">
        <f t="shared" si="10"/>
        <v>66802.287800476508</v>
      </c>
      <c r="L95" s="10">
        <f t="shared" si="11"/>
        <v>66802.287800476508</v>
      </c>
      <c r="M95" s="302"/>
      <c r="N95" s="435">
        <f t="shared" si="12"/>
        <v>66802.287800476508</v>
      </c>
      <c r="O95" s="436">
        <f t="shared" si="3"/>
        <v>0</v>
      </c>
      <c r="P95" s="436">
        <f t="shared" si="13"/>
        <v>0</v>
      </c>
      <c r="R95" s="354">
        <f>+Hirdetmény!$AA$46</f>
        <v>0.13400000000000001</v>
      </c>
      <c r="S95" s="301">
        <f t="shared" si="14"/>
        <v>11829714.163007261</v>
      </c>
      <c r="T95" s="301">
        <f t="shared" si="4"/>
        <v>11564.95605493364</v>
      </c>
      <c r="U95" s="301">
        <f t="shared" si="15"/>
        <v>134064.11150771574</v>
      </c>
      <c r="V95" s="301">
        <f t="shared" si="16"/>
        <v>145629.06756264938</v>
      </c>
      <c r="W95" s="301">
        <f t="shared" si="17"/>
        <v>145629.06756264938</v>
      </c>
      <c r="AA95" s="12">
        <f>+paraméterek!$B$346</f>
        <v>6.4600000000000005E-2</v>
      </c>
      <c r="AB95" s="301">
        <f t="shared" si="18"/>
        <v>11594485.124029407</v>
      </c>
      <c r="AC95" s="301">
        <f t="shared" si="5"/>
        <v>26392.463609340954</v>
      </c>
      <c r="AD95" s="301">
        <f t="shared" si="19"/>
        <v>63427.933481234737</v>
      </c>
      <c r="AE95" s="301">
        <f t="shared" si="20"/>
        <v>89820.397090575687</v>
      </c>
      <c r="AF95" s="477">
        <f t="shared" si="21"/>
        <v>89820.397090575687</v>
      </c>
      <c r="AI95" s="543">
        <f t="shared" si="6"/>
        <v>0</v>
      </c>
      <c r="AJ95" s="543">
        <f t="shared" si="22"/>
        <v>30416.666666666668</v>
      </c>
      <c r="AK95" s="300">
        <f t="shared" si="23"/>
        <v>12000000</v>
      </c>
      <c r="AL95" s="543">
        <f t="shared" si="24"/>
        <v>30416.666666666668</v>
      </c>
      <c r="AM95" s="10">
        <f t="shared" si="25"/>
        <v>30416.666666666668</v>
      </c>
      <c r="AP95" s="437">
        <f t="shared" si="26"/>
        <v>146437.06756264938</v>
      </c>
    </row>
    <row r="96" spans="1:42" s="11" customFormat="1" hidden="1" x14ac:dyDescent="0.3">
      <c r="A96" s="775">
        <v>17</v>
      </c>
      <c r="B96" s="775">
        <f t="shared" si="7"/>
        <v>2</v>
      </c>
      <c r="C96" s="891">
        <f t="shared" si="8"/>
        <v>0.14489675614077413</v>
      </c>
      <c r="D96" s="891"/>
      <c r="E96" s="891">
        <f t="shared" si="8"/>
        <v>0.03</v>
      </c>
      <c r="F96" s="891">
        <f t="shared" si="0"/>
        <v>0.03</v>
      </c>
      <c r="G96" s="893">
        <f t="shared" si="9"/>
        <v>11368741.124709494</v>
      </c>
      <c r="H96" s="436">
        <f t="shared" si="1"/>
        <v>37889.64730197523</v>
      </c>
      <c r="I96" s="302">
        <f t="shared" si="2"/>
        <v>0</v>
      </c>
      <c r="J96" s="301">
        <f t="shared" si="27"/>
        <v>28912.640498501292</v>
      </c>
      <c r="K96" s="301">
        <f t="shared" si="10"/>
        <v>66802.287800476523</v>
      </c>
      <c r="L96" s="10">
        <f t="shared" si="11"/>
        <v>66802.287800476523</v>
      </c>
      <c r="M96" s="302"/>
      <c r="N96" s="435">
        <f t="shared" si="12"/>
        <v>66802.287800476508</v>
      </c>
      <c r="O96" s="436">
        <f t="shared" si="3"/>
        <v>0</v>
      </c>
      <c r="P96" s="436">
        <f t="shared" si="13"/>
        <v>0</v>
      </c>
      <c r="R96" s="354">
        <f>+Hirdetmény!$AA$46</f>
        <v>0.13400000000000001</v>
      </c>
      <c r="S96" s="301">
        <f t="shared" si="14"/>
        <v>11818018.27130403</v>
      </c>
      <c r="T96" s="301">
        <f t="shared" si="4"/>
        <v>11695.891703231513</v>
      </c>
      <c r="U96" s="301">
        <f t="shared" si="15"/>
        <v>133933.17585941785</v>
      </c>
      <c r="V96" s="301">
        <f t="shared" si="16"/>
        <v>145629.06756264938</v>
      </c>
      <c r="W96" s="301">
        <f t="shared" si="17"/>
        <v>145629.06756264938</v>
      </c>
      <c r="AA96" s="12">
        <f>+paraméterek!$B$346</f>
        <v>6.4600000000000005E-2</v>
      </c>
      <c r="AB96" s="301">
        <f t="shared" si="18"/>
        <v>11567948.607665565</v>
      </c>
      <c r="AC96" s="301">
        <f t="shared" si="5"/>
        <v>26536.516363842027</v>
      </c>
      <c r="AD96" s="301">
        <f t="shared" si="19"/>
        <v>63283.880726733667</v>
      </c>
      <c r="AE96" s="301">
        <f t="shared" si="20"/>
        <v>89820.397090575687</v>
      </c>
      <c r="AF96" s="477">
        <f t="shared" si="21"/>
        <v>89820.397090575687</v>
      </c>
      <c r="AI96" s="543">
        <f t="shared" si="6"/>
        <v>0</v>
      </c>
      <c r="AJ96" s="543">
        <f t="shared" si="22"/>
        <v>30416.666666666668</v>
      </c>
      <c r="AK96" s="300">
        <f t="shared" si="23"/>
        <v>12000000</v>
      </c>
      <c r="AL96" s="543">
        <f t="shared" si="24"/>
        <v>30416.666666666668</v>
      </c>
      <c r="AM96" s="10">
        <f t="shared" si="25"/>
        <v>30416.666666666668</v>
      </c>
      <c r="AP96" s="437">
        <f t="shared" si="26"/>
        <v>146437.06756264938</v>
      </c>
    </row>
    <row r="97" spans="1:42" s="11" customFormat="1" hidden="1" x14ac:dyDescent="0.3">
      <c r="A97" s="775">
        <v>18</v>
      </c>
      <c r="B97" s="775">
        <f t="shared" si="7"/>
        <v>2</v>
      </c>
      <c r="C97" s="891">
        <f t="shared" ref="C97:E112" si="28">+C96</f>
        <v>0.14489675614077413</v>
      </c>
      <c r="D97" s="891"/>
      <c r="E97" s="891">
        <f t="shared" si="28"/>
        <v>0.03</v>
      </c>
      <c r="F97" s="891">
        <f t="shared" si="0"/>
        <v>0.03</v>
      </c>
      <c r="G97" s="893">
        <f t="shared" si="9"/>
        <v>11330755.43767651</v>
      </c>
      <c r="H97" s="436">
        <f t="shared" si="1"/>
        <v>37985.687032983711</v>
      </c>
      <c r="I97" s="302">
        <f t="shared" si="2"/>
        <v>0</v>
      </c>
      <c r="J97" s="301">
        <f t="shared" si="27"/>
        <v>28816.600767492815</v>
      </c>
      <c r="K97" s="301">
        <f t="shared" si="10"/>
        <v>66802.287800476523</v>
      </c>
      <c r="L97" s="10">
        <f t="shared" si="11"/>
        <v>66802.287800476523</v>
      </c>
      <c r="M97" s="302"/>
      <c r="N97" s="435">
        <f t="shared" si="12"/>
        <v>66802.287800476508</v>
      </c>
      <c r="O97" s="436">
        <f t="shared" si="3"/>
        <v>0</v>
      </c>
      <c r="P97" s="436">
        <f t="shared" si="13"/>
        <v>0</v>
      </c>
      <c r="R97" s="354">
        <f>+Hirdetmény!$AA$46</f>
        <v>0.13400000000000001</v>
      </c>
      <c r="S97" s="301">
        <f t="shared" si="14"/>
        <v>11806189.961530613</v>
      </c>
      <c r="T97" s="301">
        <f t="shared" si="4"/>
        <v>11828.309773417866</v>
      </c>
      <c r="U97" s="301">
        <f t="shared" si="15"/>
        <v>133800.75778923155</v>
      </c>
      <c r="V97" s="301">
        <f t="shared" si="16"/>
        <v>145629.0675626494</v>
      </c>
      <c r="W97" s="301">
        <f t="shared" si="17"/>
        <v>145629.0675626494</v>
      </c>
      <c r="AA97" s="12">
        <f>+paraméterek!$B$346</f>
        <v>6.4600000000000005E-2</v>
      </c>
      <c r="AB97" s="301">
        <f t="shared" si="18"/>
        <v>11541267.252292616</v>
      </c>
      <c r="AC97" s="301">
        <f t="shared" si="5"/>
        <v>26681.355372949212</v>
      </c>
      <c r="AD97" s="301">
        <f t="shared" si="19"/>
        <v>63139.041717626475</v>
      </c>
      <c r="AE97" s="301">
        <f t="shared" si="20"/>
        <v>89820.397090575687</v>
      </c>
      <c r="AF97" s="477">
        <f t="shared" si="21"/>
        <v>89820.397090575687</v>
      </c>
      <c r="AI97" s="543">
        <f t="shared" si="6"/>
        <v>0</v>
      </c>
      <c r="AJ97" s="543">
        <f t="shared" si="22"/>
        <v>30416.666666666668</v>
      </c>
      <c r="AK97" s="300">
        <f t="shared" si="23"/>
        <v>12000000</v>
      </c>
      <c r="AL97" s="543">
        <f t="shared" si="24"/>
        <v>30416.666666666668</v>
      </c>
      <c r="AM97" s="10">
        <f t="shared" si="25"/>
        <v>30416.666666666668</v>
      </c>
      <c r="AP97" s="437">
        <f t="shared" si="26"/>
        <v>146437.0675626494</v>
      </c>
    </row>
    <row r="98" spans="1:42" s="11" customFormat="1" hidden="1" x14ac:dyDescent="0.3">
      <c r="A98" s="775">
        <v>19</v>
      </c>
      <c r="B98" s="775">
        <f t="shared" si="7"/>
        <v>2</v>
      </c>
      <c r="C98" s="891">
        <f t="shared" si="28"/>
        <v>0.14489675614077413</v>
      </c>
      <c r="D98" s="891"/>
      <c r="E98" s="891">
        <f t="shared" si="28"/>
        <v>0.03</v>
      </c>
      <c r="F98" s="891">
        <f t="shared" si="0"/>
        <v>0.03</v>
      </c>
      <c r="G98" s="893">
        <f t="shared" si="9"/>
        <v>11292673.467478476</v>
      </c>
      <c r="H98" s="436">
        <f t="shared" si="1"/>
        <v>38081.970198032584</v>
      </c>
      <c r="I98" s="302">
        <f t="shared" si="2"/>
        <v>0</v>
      </c>
      <c r="J98" s="301">
        <f t="shared" si="27"/>
        <v>28720.317602443931</v>
      </c>
      <c r="K98" s="301">
        <f t="shared" si="10"/>
        <v>66802.287800476508</v>
      </c>
      <c r="L98" s="10">
        <f t="shared" si="11"/>
        <v>66802.287800476508</v>
      </c>
      <c r="M98" s="302"/>
      <c r="N98" s="435">
        <f t="shared" si="12"/>
        <v>66802.287800476508</v>
      </c>
      <c r="O98" s="436">
        <f t="shared" si="3"/>
        <v>0</v>
      </c>
      <c r="P98" s="436">
        <f t="shared" si="13"/>
        <v>0</v>
      </c>
      <c r="R98" s="354">
        <f>+Hirdetmény!$AA$46</f>
        <v>0.13400000000000001</v>
      </c>
      <c r="S98" s="301">
        <f t="shared" si="14"/>
        <v>11794227.734481497</v>
      </c>
      <c r="T98" s="301">
        <f t="shared" si="4"/>
        <v>11962.227049116447</v>
      </c>
      <c r="U98" s="301">
        <f t="shared" si="15"/>
        <v>133666.84051353295</v>
      </c>
      <c r="V98" s="301">
        <f t="shared" si="16"/>
        <v>145629.0675626494</v>
      </c>
      <c r="W98" s="301">
        <f t="shared" si="17"/>
        <v>145629.0675626494</v>
      </c>
      <c r="AA98" s="12">
        <f>+paraméterek!$B$346</f>
        <v>6.4600000000000005E-2</v>
      </c>
      <c r="AB98" s="301">
        <f t="shared" si="18"/>
        <v>11514440.267364496</v>
      </c>
      <c r="AC98" s="301">
        <f t="shared" si="5"/>
        <v>26826.984928120226</v>
      </c>
      <c r="AD98" s="301">
        <f t="shared" si="19"/>
        <v>62993.412162455461</v>
      </c>
      <c r="AE98" s="301">
        <f t="shared" si="20"/>
        <v>89820.397090575687</v>
      </c>
      <c r="AF98" s="477">
        <f t="shared" si="21"/>
        <v>89820.397090575687</v>
      </c>
      <c r="AI98" s="543">
        <f t="shared" si="6"/>
        <v>0</v>
      </c>
      <c r="AJ98" s="543">
        <f t="shared" si="22"/>
        <v>30416.666666666668</v>
      </c>
      <c r="AK98" s="300">
        <f t="shared" si="23"/>
        <v>12000000</v>
      </c>
      <c r="AL98" s="543">
        <f t="shared" si="24"/>
        <v>30416.666666666668</v>
      </c>
      <c r="AM98" s="10">
        <f t="shared" si="25"/>
        <v>30416.666666666668</v>
      </c>
      <c r="AP98" s="437">
        <f t="shared" si="26"/>
        <v>146437.0675626494</v>
      </c>
    </row>
    <row r="99" spans="1:42" s="11" customFormat="1" hidden="1" x14ac:dyDescent="0.3">
      <c r="A99" s="775">
        <v>20</v>
      </c>
      <c r="B99" s="775">
        <f t="shared" si="7"/>
        <v>2</v>
      </c>
      <c r="C99" s="891">
        <f t="shared" si="28"/>
        <v>0.14489675614077413</v>
      </c>
      <c r="D99" s="891"/>
      <c r="E99" s="891">
        <f t="shared" si="28"/>
        <v>0.03</v>
      </c>
      <c r="F99" s="891">
        <f t="shared" si="0"/>
        <v>0.03</v>
      </c>
      <c r="G99" s="893">
        <f t="shared" si="9"/>
        <v>11254494.970064318</v>
      </c>
      <c r="H99" s="436">
        <f t="shared" si="1"/>
        <v>38178.497414159552</v>
      </c>
      <c r="I99" s="302">
        <f t="shared" si="2"/>
        <v>0</v>
      </c>
      <c r="J99" s="301">
        <f t="shared" si="27"/>
        <v>28623.79038631697</v>
      </c>
      <c r="K99" s="301">
        <f t="shared" si="10"/>
        <v>66802.287800476523</v>
      </c>
      <c r="L99" s="10">
        <f t="shared" si="11"/>
        <v>66802.287800476523</v>
      </c>
      <c r="M99" s="302"/>
      <c r="N99" s="435">
        <f t="shared" si="12"/>
        <v>66802.287800476508</v>
      </c>
      <c r="O99" s="436">
        <f t="shared" si="3"/>
        <v>0</v>
      </c>
      <c r="P99" s="436">
        <f t="shared" si="13"/>
        <v>0</v>
      </c>
      <c r="R99" s="354">
        <f>+Hirdetmény!$AA$46</f>
        <v>0.13400000000000001</v>
      </c>
      <c r="S99" s="301">
        <f t="shared" si="14"/>
        <v>11782130.073977526</v>
      </c>
      <c r="T99" s="301">
        <f t="shared" si="4"/>
        <v>12097.660503971141</v>
      </c>
      <c r="U99" s="301">
        <f t="shared" si="15"/>
        <v>133531.40705867825</v>
      </c>
      <c r="V99" s="301">
        <f t="shared" si="16"/>
        <v>145629.06756264938</v>
      </c>
      <c r="W99" s="301">
        <f t="shared" si="17"/>
        <v>145629.06756264938</v>
      </c>
      <c r="AA99" s="12">
        <f>+paraméterek!$B$346</f>
        <v>6.4600000000000005E-2</v>
      </c>
      <c r="AB99" s="301">
        <f t="shared" si="18"/>
        <v>11487466.858020261</v>
      </c>
      <c r="AC99" s="301">
        <f t="shared" si="5"/>
        <v>26973.409344235999</v>
      </c>
      <c r="AD99" s="301">
        <f t="shared" si="19"/>
        <v>62846.987746339692</v>
      </c>
      <c r="AE99" s="301">
        <f t="shared" si="20"/>
        <v>89820.397090575687</v>
      </c>
      <c r="AF99" s="477">
        <f t="shared" si="21"/>
        <v>89820.397090575687</v>
      </c>
      <c r="AI99" s="543">
        <f t="shared" si="6"/>
        <v>0</v>
      </c>
      <c r="AJ99" s="543">
        <f t="shared" si="22"/>
        <v>30416.666666666668</v>
      </c>
      <c r="AK99" s="300">
        <f t="shared" si="23"/>
        <v>12000000</v>
      </c>
      <c r="AL99" s="543">
        <f t="shared" si="24"/>
        <v>30416.666666666668</v>
      </c>
      <c r="AM99" s="10">
        <f t="shared" si="25"/>
        <v>30416.666666666668</v>
      </c>
      <c r="AP99" s="437">
        <f t="shared" si="26"/>
        <v>146437.06756264938</v>
      </c>
    </row>
    <row r="100" spans="1:42" s="11" customFormat="1" hidden="1" x14ac:dyDescent="0.3">
      <c r="A100" s="775">
        <v>21</v>
      </c>
      <c r="B100" s="775">
        <f t="shared" si="7"/>
        <v>2</v>
      </c>
      <c r="C100" s="891">
        <f t="shared" si="28"/>
        <v>0.14489675614077413</v>
      </c>
      <c r="D100" s="891"/>
      <c r="E100" s="891">
        <f t="shared" si="28"/>
        <v>0.03</v>
      </c>
      <c r="F100" s="891">
        <f t="shared" si="0"/>
        <v>0.03</v>
      </c>
      <c r="G100" s="893">
        <f t="shared" si="9"/>
        <v>11216219.700764352</v>
      </c>
      <c r="H100" s="436">
        <f t="shared" si="1"/>
        <v>38275.269299966269</v>
      </c>
      <c r="I100" s="302">
        <f t="shared" si="2"/>
        <v>0</v>
      </c>
      <c r="J100" s="301">
        <f t="shared" si="27"/>
        <v>28527.01850051025</v>
      </c>
      <c r="K100" s="301">
        <f t="shared" si="10"/>
        <v>66802.287800476523</v>
      </c>
      <c r="L100" s="10">
        <f t="shared" si="11"/>
        <v>66802.287800476523</v>
      </c>
      <c r="M100" s="302"/>
      <c r="N100" s="435">
        <f t="shared" si="12"/>
        <v>66802.287800476508</v>
      </c>
      <c r="O100" s="436">
        <f t="shared" si="3"/>
        <v>0</v>
      </c>
      <c r="P100" s="436">
        <f t="shared" si="13"/>
        <v>0</v>
      </c>
      <c r="R100" s="354">
        <f>+Hirdetmény!$AA$46</f>
        <v>0.13400000000000001</v>
      </c>
      <c r="S100" s="301">
        <f t="shared" si="14"/>
        <v>11769895.446673729</v>
      </c>
      <c r="T100" s="301">
        <f t="shared" si="4"/>
        <v>12234.627303797355</v>
      </c>
      <c r="U100" s="301">
        <f t="shared" si="15"/>
        <v>133394.44025885203</v>
      </c>
      <c r="V100" s="301">
        <f t="shared" si="16"/>
        <v>145629.06756264938</v>
      </c>
      <c r="W100" s="301">
        <f t="shared" si="17"/>
        <v>145629.06756264938</v>
      </c>
      <c r="AA100" s="12">
        <f>+paraméterek!$B$346</f>
        <v>6.4600000000000005E-2</v>
      </c>
      <c r="AB100" s="301">
        <f t="shared" si="18"/>
        <v>11460346.225060532</v>
      </c>
      <c r="AC100" s="301">
        <f t="shared" si="5"/>
        <v>27120.632959728533</v>
      </c>
      <c r="AD100" s="301">
        <f t="shared" si="19"/>
        <v>62699.764130847158</v>
      </c>
      <c r="AE100" s="301">
        <f t="shared" si="20"/>
        <v>89820.397090575687</v>
      </c>
      <c r="AF100" s="477">
        <f t="shared" si="21"/>
        <v>89820.397090575687</v>
      </c>
      <c r="AI100" s="543">
        <f t="shared" si="6"/>
        <v>0</v>
      </c>
      <c r="AJ100" s="543">
        <f t="shared" si="22"/>
        <v>30416.666666666668</v>
      </c>
      <c r="AK100" s="300">
        <f t="shared" si="23"/>
        <v>12000000</v>
      </c>
      <c r="AL100" s="543">
        <f t="shared" si="24"/>
        <v>30416.666666666668</v>
      </c>
      <c r="AM100" s="10">
        <f t="shared" si="25"/>
        <v>30416.666666666668</v>
      </c>
      <c r="AP100" s="437">
        <f t="shared" si="26"/>
        <v>146437.06756264938</v>
      </c>
    </row>
    <row r="101" spans="1:42" s="11" customFormat="1" hidden="1" x14ac:dyDescent="0.3">
      <c r="A101" s="775">
        <v>22</v>
      </c>
      <c r="B101" s="775">
        <f t="shared" si="7"/>
        <v>2</v>
      </c>
      <c r="C101" s="891">
        <f t="shared" si="28"/>
        <v>0.14489675614077413</v>
      </c>
      <c r="D101" s="891"/>
      <c r="E101" s="891">
        <f t="shared" si="28"/>
        <v>0.03</v>
      </c>
      <c r="F101" s="891">
        <f t="shared" si="0"/>
        <v>0.03</v>
      </c>
      <c r="G101" s="893">
        <f t="shared" si="9"/>
        <v>11177847.414288729</v>
      </c>
      <c r="H101" s="436">
        <f t="shared" si="1"/>
        <v>38372.28647562243</v>
      </c>
      <c r="I101" s="302">
        <f t="shared" si="2"/>
        <v>0</v>
      </c>
      <c r="J101" s="301">
        <f t="shared" si="27"/>
        <v>28430.001324854089</v>
      </c>
      <c r="K101" s="301">
        <f t="shared" si="10"/>
        <v>66802.287800476523</v>
      </c>
      <c r="L101" s="10">
        <f t="shared" si="11"/>
        <v>66802.287800476523</v>
      </c>
      <c r="M101" s="302"/>
      <c r="N101" s="435">
        <f t="shared" si="12"/>
        <v>66802.287800476508</v>
      </c>
      <c r="O101" s="436">
        <f t="shared" si="3"/>
        <v>0</v>
      </c>
      <c r="P101" s="436">
        <f t="shared" si="13"/>
        <v>0</v>
      </c>
      <c r="R101" s="354">
        <f>+Hirdetmény!$AA$46</f>
        <v>0.13400000000000001</v>
      </c>
      <c r="S101" s="301">
        <f t="shared" si="14"/>
        <v>11757522.30186497</v>
      </c>
      <c r="T101" s="301">
        <f t="shared" si="4"/>
        <v>12373.14480875771</v>
      </c>
      <c r="U101" s="301">
        <f t="shared" si="15"/>
        <v>133255.9227538917</v>
      </c>
      <c r="V101" s="301">
        <f t="shared" si="16"/>
        <v>145629.0675626494</v>
      </c>
      <c r="W101" s="301">
        <f t="shared" si="17"/>
        <v>145629.0675626494</v>
      </c>
      <c r="AA101" s="12">
        <f>+paraméterek!$B$346</f>
        <v>6.4600000000000005E-2</v>
      </c>
      <c r="AB101" s="301">
        <f t="shared" si="18"/>
        <v>11433077.564923823</v>
      </c>
      <c r="AC101" s="301">
        <f t="shared" si="5"/>
        <v>27268.660136709426</v>
      </c>
      <c r="AD101" s="301">
        <f t="shared" si="19"/>
        <v>62551.736953866275</v>
      </c>
      <c r="AE101" s="301">
        <f t="shared" si="20"/>
        <v>89820.397090575701</v>
      </c>
      <c r="AF101" s="477">
        <f t="shared" si="21"/>
        <v>89820.397090575701</v>
      </c>
      <c r="AI101" s="543">
        <f t="shared" si="6"/>
        <v>0</v>
      </c>
      <c r="AJ101" s="543">
        <f t="shared" si="22"/>
        <v>30416.666666666668</v>
      </c>
      <c r="AK101" s="300">
        <f t="shared" si="23"/>
        <v>12000000</v>
      </c>
      <c r="AL101" s="543">
        <f t="shared" si="24"/>
        <v>30416.666666666668</v>
      </c>
      <c r="AM101" s="10">
        <f t="shared" si="25"/>
        <v>30416.666666666668</v>
      </c>
      <c r="AP101" s="437">
        <f t="shared" si="26"/>
        <v>146437.0675626494</v>
      </c>
    </row>
    <row r="102" spans="1:42" s="11" customFormat="1" hidden="1" x14ac:dyDescent="0.3">
      <c r="A102" s="775">
        <v>23</v>
      </c>
      <c r="B102" s="775">
        <f t="shared" si="7"/>
        <v>2</v>
      </c>
      <c r="C102" s="891">
        <f t="shared" si="28"/>
        <v>0.14489675614077413</v>
      </c>
      <c r="D102" s="891"/>
      <c r="E102" s="891">
        <f t="shared" si="28"/>
        <v>0.03</v>
      </c>
      <c r="F102" s="891">
        <f t="shared" si="0"/>
        <v>0.03</v>
      </c>
      <c r="G102" s="893">
        <f t="shared" si="9"/>
        <v>11139377.86472586</v>
      </c>
      <c r="H102" s="436">
        <f t="shared" si="1"/>
        <v>38469.549562869674</v>
      </c>
      <c r="I102" s="302">
        <f t="shared" si="2"/>
        <v>0</v>
      </c>
      <c r="J102" s="301">
        <f t="shared" si="27"/>
        <v>28332.738237606849</v>
      </c>
      <c r="K102" s="301">
        <f t="shared" si="10"/>
        <v>66802.287800476523</v>
      </c>
      <c r="L102" s="10">
        <f t="shared" si="11"/>
        <v>66802.287800476523</v>
      </c>
      <c r="M102" s="302"/>
      <c r="N102" s="435">
        <f t="shared" si="12"/>
        <v>66802.287800476508</v>
      </c>
      <c r="O102" s="436">
        <f t="shared" si="3"/>
        <v>0</v>
      </c>
      <c r="P102" s="436">
        <f t="shared" si="13"/>
        <v>0</v>
      </c>
      <c r="R102" s="354">
        <f>+Hirdetmény!$AA$46</f>
        <v>0.13400000000000001</v>
      </c>
      <c r="S102" s="301">
        <f t="shared" si="14"/>
        <v>11745009.071289409</v>
      </c>
      <c r="T102" s="301">
        <f t="shared" si="4"/>
        <v>12513.230575562415</v>
      </c>
      <c r="U102" s="301">
        <f t="shared" si="15"/>
        <v>133115.83698708698</v>
      </c>
      <c r="V102" s="301">
        <f t="shared" si="16"/>
        <v>145629.0675626494</v>
      </c>
      <c r="W102" s="301">
        <f t="shared" si="17"/>
        <v>145629.0675626494</v>
      </c>
      <c r="AA102" s="12">
        <f>+paraméterek!$B$346</f>
        <v>6.4600000000000005E-2</v>
      </c>
      <c r="AB102" s="301">
        <f t="shared" si="18"/>
        <v>11405660.069662724</v>
      </c>
      <c r="AC102" s="301">
        <f t="shared" si="5"/>
        <v>27417.495261099113</v>
      </c>
      <c r="AD102" s="301">
        <f t="shared" si="19"/>
        <v>62402.901829476585</v>
      </c>
      <c r="AE102" s="301">
        <f t="shared" si="20"/>
        <v>89820.397090575701</v>
      </c>
      <c r="AF102" s="477">
        <f t="shared" si="21"/>
        <v>89820.397090575701</v>
      </c>
      <c r="AI102" s="543">
        <f t="shared" si="6"/>
        <v>0</v>
      </c>
      <c r="AJ102" s="543">
        <f t="shared" si="22"/>
        <v>30416.666666666668</v>
      </c>
      <c r="AK102" s="300">
        <f t="shared" si="23"/>
        <v>12000000</v>
      </c>
      <c r="AL102" s="543">
        <f t="shared" si="24"/>
        <v>30416.666666666668</v>
      </c>
      <c r="AM102" s="10">
        <f t="shared" si="25"/>
        <v>30416.666666666668</v>
      </c>
      <c r="AP102" s="437">
        <f t="shared" si="26"/>
        <v>146437.0675626494</v>
      </c>
    </row>
    <row r="103" spans="1:42" s="11" customFormat="1" hidden="1" x14ac:dyDescent="0.3">
      <c r="A103" s="775">
        <v>24</v>
      </c>
      <c r="B103" s="775">
        <f t="shared" si="7"/>
        <v>2</v>
      </c>
      <c r="C103" s="891">
        <f t="shared" si="28"/>
        <v>0.14489675614077413</v>
      </c>
      <c r="D103" s="891"/>
      <c r="E103" s="891">
        <f t="shared" si="28"/>
        <v>0.03</v>
      </c>
      <c r="F103" s="891">
        <f t="shared" si="0"/>
        <v>0.03</v>
      </c>
      <c r="G103" s="893">
        <f t="shared" si="9"/>
        <v>11100810.805540834</v>
      </c>
      <c r="H103" s="436">
        <f t="shared" si="1"/>
        <v>38567.059185025559</v>
      </c>
      <c r="I103" s="302">
        <f t="shared" si="2"/>
        <v>0</v>
      </c>
      <c r="J103" s="301">
        <f t="shared" si="27"/>
        <v>28235.22861545096</v>
      </c>
      <c r="K103" s="301">
        <f t="shared" si="10"/>
        <v>66802.287800476523</v>
      </c>
      <c r="L103" s="10">
        <f t="shared" si="11"/>
        <v>66802.287800476523</v>
      </c>
      <c r="M103" s="302"/>
      <c r="N103" s="435">
        <f t="shared" si="12"/>
        <v>66802.287800476508</v>
      </c>
      <c r="O103" s="436">
        <f t="shared" si="3"/>
        <v>0</v>
      </c>
      <c r="P103" s="436">
        <f t="shared" si="13"/>
        <v>0</v>
      </c>
      <c r="R103" s="354">
        <f>+Hirdetmény!$AA$46</f>
        <v>0.13400000000000001</v>
      </c>
      <c r="S103" s="301">
        <f t="shared" si="14"/>
        <v>11732354.168929715</v>
      </c>
      <c r="T103" s="301">
        <f t="shared" si="4"/>
        <v>12654.902359694537</v>
      </c>
      <c r="U103" s="301">
        <f t="shared" si="15"/>
        <v>132974.16520295484</v>
      </c>
      <c r="V103" s="301">
        <f t="shared" si="16"/>
        <v>145629.06756264938</v>
      </c>
      <c r="W103" s="301">
        <f t="shared" si="17"/>
        <v>145629.06756264938</v>
      </c>
      <c r="AA103" s="12">
        <f>+paraméterek!$B$346</f>
        <v>6.4600000000000005E-2</v>
      </c>
      <c r="AB103" s="301">
        <f t="shared" si="18"/>
        <v>11378092.926919967</v>
      </c>
      <c r="AC103" s="301">
        <f t="shared" si="5"/>
        <v>27567.14274275686</v>
      </c>
      <c r="AD103" s="301">
        <f t="shared" si="19"/>
        <v>62253.254347818838</v>
      </c>
      <c r="AE103" s="301">
        <f t="shared" si="20"/>
        <v>89820.397090575701</v>
      </c>
      <c r="AF103" s="477">
        <f t="shared" si="21"/>
        <v>89820.397090575701</v>
      </c>
      <c r="AI103" s="543">
        <f t="shared" si="6"/>
        <v>0</v>
      </c>
      <c r="AJ103" s="543">
        <f t="shared" si="22"/>
        <v>30416.666666666668</v>
      </c>
      <c r="AK103" s="300">
        <f t="shared" si="23"/>
        <v>12000000</v>
      </c>
      <c r="AL103" s="543">
        <f t="shared" si="24"/>
        <v>30416.666666666668</v>
      </c>
      <c r="AM103" s="10">
        <f t="shared" si="25"/>
        <v>30416.666666666668</v>
      </c>
      <c r="AP103" s="437">
        <f t="shared" si="26"/>
        <v>146437.06756264938</v>
      </c>
    </row>
    <row r="104" spans="1:42" s="11" customFormat="1" hidden="1" x14ac:dyDescent="0.3">
      <c r="A104" s="775">
        <v>25</v>
      </c>
      <c r="B104" s="775">
        <f t="shared" si="7"/>
        <v>3</v>
      </c>
      <c r="C104" s="891">
        <f t="shared" si="28"/>
        <v>0.14489675614077413</v>
      </c>
      <c r="D104" s="891"/>
      <c r="E104" s="891">
        <f t="shared" si="28"/>
        <v>0.03</v>
      </c>
      <c r="F104" s="891">
        <f t="shared" si="0"/>
        <v>0.03</v>
      </c>
      <c r="G104" s="893">
        <f t="shared" si="9"/>
        <v>11062145.989573846</v>
      </c>
      <c r="H104" s="436">
        <f t="shared" si="1"/>
        <v>38664.815966987604</v>
      </c>
      <c r="I104" s="302">
        <f t="shared" si="2"/>
        <v>0</v>
      </c>
      <c r="J104" s="301">
        <f t="shared" si="27"/>
        <v>28137.471833488918</v>
      </c>
      <c r="K104" s="301">
        <f t="shared" si="10"/>
        <v>66802.287800476523</v>
      </c>
      <c r="L104" s="10">
        <f t="shared" si="11"/>
        <v>66802.287800476523</v>
      </c>
      <c r="M104" s="302"/>
      <c r="N104" s="435">
        <f t="shared" si="12"/>
        <v>66802.287800476508</v>
      </c>
      <c r="O104" s="436">
        <f t="shared" si="3"/>
        <v>0</v>
      </c>
      <c r="P104" s="436">
        <f t="shared" si="13"/>
        <v>0</v>
      </c>
      <c r="R104" s="354">
        <f>+Hirdetmény!$AA$46</f>
        <v>0.13400000000000001</v>
      </c>
      <c r="S104" s="301">
        <f t="shared" si="14"/>
        <v>11719555.990812054</v>
      </c>
      <c r="T104" s="301">
        <f t="shared" si="4"/>
        <v>12798.178117660431</v>
      </c>
      <c r="U104" s="301">
        <f t="shared" si="15"/>
        <v>132830.88944498898</v>
      </c>
      <c r="V104" s="301">
        <f t="shared" si="16"/>
        <v>145629.0675626494</v>
      </c>
      <c r="W104" s="301">
        <f t="shared" si="17"/>
        <v>145629.0675626494</v>
      </c>
      <c r="AA104" s="12">
        <f>+paraméterek!$B$346</f>
        <v>6.4600000000000005E-2</v>
      </c>
      <c r="AB104" s="301">
        <f t="shared" si="18"/>
        <v>11350375.319904355</v>
      </c>
      <c r="AC104" s="301">
        <f t="shared" si="5"/>
        <v>27717.607015611364</v>
      </c>
      <c r="AD104" s="301">
        <f t="shared" si="19"/>
        <v>62102.790074964338</v>
      </c>
      <c r="AE104" s="301">
        <f t="shared" si="20"/>
        <v>89820.397090575701</v>
      </c>
      <c r="AF104" s="477">
        <f t="shared" si="21"/>
        <v>89820.397090575701</v>
      </c>
      <c r="AI104" s="543">
        <f t="shared" si="6"/>
        <v>41796.747979189298</v>
      </c>
      <c r="AJ104" s="543">
        <f t="shared" si="22"/>
        <v>30416.666666666668</v>
      </c>
      <c r="AK104" s="300">
        <f t="shared" si="23"/>
        <v>11958203.25202081</v>
      </c>
      <c r="AL104" s="543">
        <f t="shared" si="24"/>
        <v>72213.41464585597</v>
      </c>
      <c r="AM104" s="10">
        <f t="shared" si="25"/>
        <v>72213.41464585597</v>
      </c>
      <c r="AP104" s="437">
        <f t="shared" si="26"/>
        <v>146437.0675626494</v>
      </c>
    </row>
    <row r="105" spans="1:42" s="11" customFormat="1" hidden="1" x14ac:dyDescent="0.3">
      <c r="A105" s="775">
        <v>26</v>
      </c>
      <c r="B105" s="775">
        <f t="shared" si="7"/>
        <v>3</v>
      </c>
      <c r="C105" s="891">
        <f t="shared" si="28"/>
        <v>0.14489675614077413</v>
      </c>
      <c r="D105" s="891"/>
      <c r="E105" s="891">
        <f t="shared" si="28"/>
        <v>0.03</v>
      </c>
      <c r="F105" s="891">
        <f t="shared" si="0"/>
        <v>0.03</v>
      </c>
      <c r="G105" s="893">
        <f t="shared" si="9"/>
        <v>11023383.169038609</v>
      </c>
      <c r="H105" s="436">
        <f t="shared" si="1"/>
        <v>38762.820535237261</v>
      </c>
      <c r="I105" s="302">
        <f t="shared" si="2"/>
        <v>0</v>
      </c>
      <c r="J105" s="301">
        <f t="shared" si="27"/>
        <v>28039.467265239262</v>
      </c>
      <c r="K105" s="301">
        <f t="shared" si="10"/>
        <v>66802.287800476523</v>
      </c>
      <c r="L105" s="10">
        <f t="shared" si="11"/>
        <v>66802.287800476523</v>
      </c>
      <c r="M105" s="302"/>
      <c r="N105" s="435">
        <f t="shared" si="12"/>
        <v>66802.287800476508</v>
      </c>
      <c r="O105" s="436">
        <f t="shared" si="3"/>
        <v>0</v>
      </c>
      <c r="P105" s="436">
        <f t="shared" si="13"/>
        <v>0</v>
      </c>
      <c r="R105" s="354">
        <f>+Hirdetmény!$AA$46</f>
        <v>0.13400000000000001</v>
      </c>
      <c r="S105" s="301">
        <f t="shared" si="14"/>
        <v>11706612.914802788</v>
      </c>
      <c r="T105" s="301">
        <f t="shared" si="4"/>
        <v>12943.0760092657</v>
      </c>
      <c r="U105" s="301">
        <f t="shared" si="15"/>
        <v>132685.9915533837</v>
      </c>
      <c r="V105" s="301">
        <f t="shared" si="16"/>
        <v>145629.0675626494</v>
      </c>
      <c r="W105" s="301">
        <f t="shared" si="17"/>
        <v>145629.0675626494</v>
      </c>
      <c r="AA105" s="12">
        <f>+paraméterek!$B$346</f>
        <v>6.4600000000000005E-2</v>
      </c>
      <c r="AB105" s="301">
        <f t="shared" si="18"/>
        <v>11322506.427366564</v>
      </c>
      <c r="AC105" s="301">
        <f t="shared" si="5"/>
        <v>27868.892537792181</v>
      </c>
      <c r="AD105" s="301">
        <f t="shared" si="19"/>
        <v>61951.504552783517</v>
      </c>
      <c r="AE105" s="301">
        <f t="shared" si="20"/>
        <v>89820.397090575701</v>
      </c>
      <c r="AF105" s="477">
        <f t="shared" si="21"/>
        <v>89820.397090575701</v>
      </c>
      <c r="AI105" s="543">
        <f t="shared" si="6"/>
        <v>41902.691125108759</v>
      </c>
      <c r="AJ105" s="543">
        <f t="shared" si="22"/>
        <v>30310.723520747193</v>
      </c>
      <c r="AK105" s="300">
        <f t="shared" si="23"/>
        <v>11916300.560895702</v>
      </c>
      <c r="AL105" s="543">
        <f t="shared" si="24"/>
        <v>72213.414645855955</v>
      </c>
      <c r="AM105" s="10">
        <f t="shared" si="25"/>
        <v>72213.414645855955</v>
      </c>
      <c r="AP105" s="437">
        <f t="shared" si="26"/>
        <v>146437.0675626494</v>
      </c>
    </row>
    <row r="106" spans="1:42" s="11" customFormat="1" hidden="1" x14ac:dyDescent="0.3">
      <c r="A106" s="775">
        <v>27</v>
      </c>
      <c r="B106" s="775">
        <f t="shared" si="7"/>
        <v>3</v>
      </c>
      <c r="C106" s="891">
        <f t="shared" si="28"/>
        <v>0.14489675614077413</v>
      </c>
      <c r="D106" s="891"/>
      <c r="E106" s="891">
        <f t="shared" si="28"/>
        <v>0.03</v>
      </c>
      <c r="F106" s="891">
        <f t="shared" si="0"/>
        <v>0.03</v>
      </c>
      <c r="G106" s="893">
        <f t="shared" si="9"/>
        <v>10984522.095520765</v>
      </c>
      <c r="H106" s="436">
        <f t="shared" si="1"/>
        <v>38861.073517843935</v>
      </c>
      <c r="I106" s="302">
        <f t="shared" si="2"/>
        <v>0</v>
      </c>
      <c r="J106" s="301">
        <f t="shared" si="27"/>
        <v>27941.214282632583</v>
      </c>
      <c r="K106" s="301">
        <f t="shared" si="10"/>
        <v>66802.287800476523</v>
      </c>
      <c r="L106" s="10">
        <f t="shared" si="11"/>
        <v>66802.287800476523</v>
      </c>
      <c r="M106" s="302"/>
      <c r="N106" s="435">
        <f t="shared" si="12"/>
        <v>66802.287800476508</v>
      </c>
      <c r="O106" s="436">
        <f t="shared" si="3"/>
        <v>0</v>
      </c>
      <c r="P106" s="436">
        <f t="shared" si="13"/>
        <v>0</v>
      </c>
      <c r="R106" s="354">
        <f>+Hirdetmény!$AA$46</f>
        <v>0.13400000000000001</v>
      </c>
      <c r="S106" s="301">
        <f t="shared" si="14"/>
        <v>11693523.30040287</v>
      </c>
      <c r="T106" s="301">
        <f t="shared" si="4"/>
        <v>13089.614399916898</v>
      </c>
      <c r="U106" s="301">
        <f t="shared" si="15"/>
        <v>132539.45316273251</v>
      </c>
      <c r="V106" s="301">
        <f t="shared" si="16"/>
        <v>145629.0675626494</v>
      </c>
      <c r="W106" s="301">
        <f t="shared" si="17"/>
        <v>145629.0675626494</v>
      </c>
      <c r="AA106" s="12">
        <f>+paraméterek!$B$346</f>
        <v>6.4600000000000005E-2</v>
      </c>
      <c r="AB106" s="301">
        <f t="shared" si="18"/>
        <v>11294485.423574802</v>
      </c>
      <c r="AC106" s="301">
        <f t="shared" si="5"/>
        <v>28021.003791761748</v>
      </c>
      <c r="AD106" s="301">
        <f t="shared" si="19"/>
        <v>61799.39329881395</v>
      </c>
      <c r="AE106" s="301">
        <f t="shared" si="20"/>
        <v>89820.397090575701</v>
      </c>
      <c r="AF106" s="477">
        <f t="shared" si="21"/>
        <v>89820.397090575701</v>
      </c>
      <c r="AI106" s="543">
        <f t="shared" si="6"/>
        <v>42008.902807474486</v>
      </c>
      <c r="AJ106" s="543">
        <f t="shared" si="22"/>
        <v>30204.511838381466</v>
      </c>
      <c r="AK106" s="300">
        <f t="shared" si="23"/>
        <v>11874291.658088228</v>
      </c>
      <c r="AL106" s="543">
        <f t="shared" si="24"/>
        <v>72213.414645855955</v>
      </c>
      <c r="AM106" s="10">
        <f t="shared" si="25"/>
        <v>72213.414645855955</v>
      </c>
      <c r="AP106" s="437">
        <f t="shared" si="26"/>
        <v>146437.0675626494</v>
      </c>
    </row>
    <row r="107" spans="1:42" s="11" customFormat="1" hidden="1" x14ac:dyDescent="0.3">
      <c r="A107" s="775">
        <v>28</v>
      </c>
      <c r="B107" s="775">
        <f t="shared" si="7"/>
        <v>3</v>
      </c>
      <c r="C107" s="891">
        <f t="shared" si="28"/>
        <v>0.14489675614077413</v>
      </c>
      <c r="D107" s="891"/>
      <c r="E107" s="891">
        <f t="shared" si="28"/>
        <v>0.03</v>
      </c>
      <c r="F107" s="891">
        <f t="shared" si="0"/>
        <v>0.03</v>
      </c>
      <c r="G107" s="893">
        <f t="shared" si="9"/>
        <v>10945562.519976296</v>
      </c>
      <c r="H107" s="436">
        <f t="shared" si="1"/>
        <v>38959.575544469029</v>
      </c>
      <c r="I107" s="302">
        <f t="shared" si="2"/>
        <v>0</v>
      </c>
      <c r="J107" s="301">
        <f t="shared" si="27"/>
        <v>27842.712256007493</v>
      </c>
      <c r="K107" s="301">
        <f t="shared" si="10"/>
        <v>66802.287800476523</v>
      </c>
      <c r="L107" s="10">
        <f t="shared" si="11"/>
        <v>66802.287800476523</v>
      </c>
      <c r="M107" s="302"/>
      <c r="N107" s="435">
        <f t="shared" si="12"/>
        <v>66802.287800476508</v>
      </c>
      <c r="O107" s="436">
        <f t="shared" si="3"/>
        <v>0</v>
      </c>
      <c r="P107" s="436">
        <f t="shared" si="13"/>
        <v>0</v>
      </c>
      <c r="R107" s="354">
        <f>+Hirdetmény!$AA$46</f>
        <v>0.13400000000000001</v>
      </c>
      <c r="S107" s="301">
        <f t="shared" si="14"/>
        <v>11680285.488539921</v>
      </c>
      <c r="T107" s="301">
        <f t="shared" si="4"/>
        <v>13237.811862949296</v>
      </c>
      <c r="U107" s="301">
        <f t="shared" si="15"/>
        <v>132391.25569970009</v>
      </c>
      <c r="V107" s="301">
        <f t="shared" si="16"/>
        <v>145629.06756264938</v>
      </c>
      <c r="W107" s="301">
        <f t="shared" si="17"/>
        <v>145629.06756264938</v>
      </c>
      <c r="AA107" s="12">
        <f>+paraméterek!$B$346</f>
        <v>6.4600000000000005E-2</v>
      </c>
      <c r="AB107" s="301">
        <f t="shared" si="18"/>
        <v>11266311.478290353</v>
      </c>
      <c r="AC107" s="301">
        <f t="shared" si="5"/>
        <v>28173.94528444832</v>
      </c>
      <c r="AD107" s="301">
        <f t="shared" si="19"/>
        <v>61646.451806127377</v>
      </c>
      <c r="AE107" s="301">
        <f t="shared" si="20"/>
        <v>89820.397090575701</v>
      </c>
      <c r="AF107" s="477">
        <f t="shared" si="21"/>
        <v>89820.397090575701</v>
      </c>
      <c r="AI107" s="543">
        <f t="shared" si="6"/>
        <v>42115.383706951776</v>
      </c>
      <c r="AJ107" s="543">
        <f t="shared" si="22"/>
        <v>30098.03093890419</v>
      </c>
      <c r="AK107" s="300">
        <f t="shared" si="23"/>
        <v>11832176.274381276</v>
      </c>
      <c r="AL107" s="543">
        <f t="shared" si="24"/>
        <v>72213.41464585597</v>
      </c>
      <c r="AM107" s="10">
        <f t="shared" si="25"/>
        <v>72213.41464585597</v>
      </c>
      <c r="AP107" s="437">
        <f t="shared" si="26"/>
        <v>146437.06756264938</v>
      </c>
    </row>
    <row r="108" spans="1:42" s="11" customFormat="1" hidden="1" x14ac:dyDescent="0.3">
      <c r="A108" s="775">
        <v>29</v>
      </c>
      <c r="B108" s="775">
        <f t="shared" si="7"/>
        <v>3</v>
      </c>
      <c r="C108" s="891">
        <f t="shared" si="28"/>
        <v>0.14489675614077413</v>
      </c>
      <c r="D108" s="891"/>
      <c r="E108" s="891">
        <f t="shared" si="28"/>
        <v>0.03</v>
      </c>
      <c r="F108" s="891">
        <f t="shared" si="0"/>
        <v>0.03</v>
      </c>
      <c r="G108" s="893">
        <f t="shared" si="9"/>
        <v>10906504.192729926</v>
      </c>
      <c r="H108" s="436">
        <f t="shared" si="1"/>
        <v>39058.32724636994</v>
      </c>
      <c r="I108" s="302">
        <f t="shared" si="2"/>
        <v>0</v>
      </c>
      <c r="J108" s="301">
        <f t="shared" si="27"/>
        <v>27743.960554106583</v>
      </c>
      <c r="K108" s="301">
        <f t="shared" si="10"/>
        <v>66802.287800476523</v>
      </c>
      <c r="L108" s="10">
        <f t="shared" si="11"/>
        <v>66802.287800476523</v>
      </c>
      <c r="M108" s="302"/>
      <c r="N108" s="435">
        <f t="shared" si="12"/>
        <v>66802.287800476508</v>
      </c>
      <c r="O108" s="436">
        <f t="shared" si="3"/>
        <v>0</v>
      </c>
      <c r="P108" s="436">
        <f t="shared" si="13"/>
        <v>0</v>
      </c>
      <c r="R108" s="354">
        <f>+Hirdetmény!$AA$46</f>
        <v>0.13400000000000001</v>
      </c>
      <c r="S108" s="301">
        <f t="shared" si="14"/>
        <v>11666897.80135794</v>
      </c>
      <c r="T108" s="301">
        <f t="shared" si="4"/>
        <v>13387.687181980977</v>
      </c>
      <c r="U108" s="301">
        <f t="shared" si="15"/>
        <v>132241.38038066842</v>
      </c>
      <c r="V108" s="301">
        <f t="shared" si="16"/>
        <v>145629.0675626494</v>
      </c>
      <c r="W108" s="301">
        <f t="shared" si="17"/>
        <v>145629.0675626494</v>
      </c>
      <c r="AA108" s="12">
        <f>+paraméterek!$B$346</f>
        <v>6.4600000000000005E-2</v>
      </c>
      <c r="AB108" s="301">
        <f t="shared" si="18"/>
        <v>11237983.756742973</v>
      </c>
      <c r="AC108" s="301">
        <f t="shared" si="5"/>
        <v>28327.721547379344</v>
      </c>
      <c r="AD108" s="301">
        <f t="shared" si="19"/>
        <v>61492.675543196361</v>
      </c>
      <c r="AE108" s="301">
        <f t="shared" si="20"/>
        <v>89820.397090575701</v>
      </c>
      <c r="AF108" s="477">
        <f t="shared" si="21"/>
        <v>89820.397090575701</v>
      </c>
      <c r="AI108" s="543">
        <f t="shared" si="6"/>
        <v>42222.134505931201</v>
      </c>
      <c r="AJ108" s="543">
        <f t="shared" si="22"/>
        <v>29991.280139924758</v>
      </c>
      <c r="AK108" s="300">
        <f t="shared" si="23"/>
        <v>11789954.139875345</v>
      </c>
      <c r="AL108" s="543">
        <f t="shared" si="24"/>
        <v>72213.414645855955</v>
      </c>
      <c r="AM108" s="10">
        <f t="shared" si="25"/>
        <v>72213.414645855955</v>
      </c>
      <c r="AP108" s="437">
        <f t="shared" si="26"/>
        <v>146437.0675626494</v>
      </c>
    </row>
    <row r="109" spans="1:42" s="11" customFormat="1" hidden="1" x14ac:dyDescent="0.3">
      <c r="A109" s="775">
        <v>30</v>
      </c>
      <c r="B109" s="775">
        <f t="shared" si="7"/>
        <v>3</v>
      </c>
      <c r="C109" s="891">
        <f t="shared" si="28"/>
        <v>0.14489675614077413</v>
      </c>
      <c r="D109" s="891"/>
      <c r="E109" s="891">
        <f t="shared" si="28"/>
        <v>0.03</v>
      </c>
      <c r="F109" s="891">
        <f t="shared" si="0"/>
        <v>0.03</v>
      </c>
      <c r="G109" s="893">
        <f t="shared" si="9"/>
        <v>10867346.863473522</v>
      </c>
      <c r="H109" s="436">
        <f t="shared" si="1"/>
        <v>39157.32925640414</v>
      </c>
      <c r="I109" s="302">
        <f t="shared" si="2"/>
        <v>0</v>
      </c>
      <c r="J109" s="301">
        <f t="shared" si="27"/>
        <v>27644.958544072379</v>
      </c>
      <c r="K109" s="301">
        <f t="shared" si="10"/>
        <v>66802.287800476523</v>
      </c>
      <c r="L109" s="10">
        <f t="shared" si="11"/>
        <v>66802.287800476523</v>
      </c>
      <c r="M109" s="302"/>
      <c r="N109" s="435">
        <f t="shared" si="12"/>
        <v>66802.287800476508</v>
      </c>
      <c r="O109" s="436">
        <f t="shared" si="3"/>
        <v>0</v>
      </c>
      <c r="P109" s="436">
        <f t="shared" si="13"/>
        <v>0</v>
      </c>
      <c r="R109" s="354">
        <f>+Hirdetmény!$AA$46</f>
        <v>0.13400000000000001</v>
      </c>
      <c r="S109" s="301">
        <f t="shared" si="14"/>
        <v>11653358.542004647</v>
      </c>
      <c r="T109" s="301">
        <f t="shared" si="4"/>
        <v>13539.25935329363</v>
      </c>
      <c r="U109" s="301">
        <f t="shared" si="15"/>
        <v>132089.80820935575</v>
      </c>
      <c r="V109" s="301">
        <f t="shared" si="16"/>
        <v>145629.06756264938</v>
      </c>
      <c r="W109" s="301">
        <f t="shared" si="17"/>
        <v>145629.06756264938</v>
      </c>
      <c r="AA109" s="12">
        <f>+paraméterek!$B$346</f>
        <v>6.4600000000000005E-2</v>
      </c>
      <c r="AB109" s="301">
        <f t="shared" si="18"/>
        <v>11209501.419606157</v>
      </c>
      <c r="AC109" s="301">
        <f t="shared" si="5"/>
        <v>28482.337136815837</v>
      </c>
      <c r="AD109" s="301">
        <f t="shared" si="19"/>
        <v>61338.059953759861</v>
      </c>
      <c r="AE109" s="301">
        <f t="shared" si="20"/>
        <v>89820.397090575701</v>
      </c>
      <c r="AF109" s="477">
        <f t="shared" si="21"/>
        <v>89820.397090575701</v>
      </c>
      <c r="AI109" s="543">
        <f t="shared" si="6"/>
        <v>42329.155888533031</v>
      </c>
      <c r="AJ109" s="543">
        <f t="shared" si="22"/>
        <v>29884.258757322925</v>
      </c>
      <c r="AK109" s="300">
        <f t="shared" si="23"/>
        <v>11747624.983986812</v>
      </c>
      <c r="AL109" s="543">
        <f t="shared" si="24"/>
        <v>72213.414645855955</v>
      </c>
      <c r="AM109" s="10">
        <f t="shared" si="25"/>
        <v>72213.414645855955</v>
      </c>
      <c r="AP109" s="437">
        <f t="shared" si="26"/>
        <v>146437.06756264938</v>
      </c>
    </row>
    <row r="110" spans="1:42" s="11" customFormat="1" hidden="1" x14ac:dyDescent="0.3">
      <c r="A110" s="775">
        <v>31</v>
      </c>
      <c r="B110" s="775">
        <f t="shared" si="7"/>
        <v>3</v>
      </c>
      <c r="C110" s="891">
        <f t="shared" si="28"/>
        <v>0.14489675614077413</v>
      </c>
      <c r="D110" s="891"/>
      <c r="E110" s="891">
        <f t="shared" si="28"/>
        <v>0.03</v>
      </c>
      <c r="F110" s="891">
        <f t="shared" si="0"/>
        <v>0.03</v>
      </c>
      <c r="G110" s="893">
        <f t="shared" si="9"/>
        <v>10828090.281264488</v>
      </c>
      <c r="H110" s="436">
        <f t="shared" si="1"/>
        <v>39256.582209033215</v>
      </c>
      <c r="I110" s="302">
        <f t="shared" si="2"/>
        <v>0</v>
      </c>
      <c r="J110" s="301">
        <f t="shared" si="27"/>
        <v>27545.7055914433</v>
      </c>
      <c r="K110" s="301">
        <f t="shared" si="10"/>
        <v>66802.287800476508</v>
      </c>
      <c r="L110" s="10">
        <f t="shared" si="11"/>
        <v>66802.287800476508</v>
      </c>
      <c r="M110" s="302"/>
      <c r="N110" s="435">
        <f t="shared" si="12"/>
        <v>66802.287800476508</v>
      </c>
      <c r="O110" s="436">
        <f t="shared" si="3"/>
        <v>0</v>
      </c>
      <c r="P110" s="436">
        <f t="shared" si="13"/>
        <v>0</v>
      </c>
      <c r="R110" s="354">
        <f>+Hirdetmény!$AA$46</f>
        <v>0.13400000000000001</v>
      </c>
      <c r="S110" s="301">
        <f t="shared" si="14"/>
        <v>11639665.994416406</v>
      </c>
      <c r="T110" s="301">
        <f t="shared" si="4"/>
        <v>13692.547588240299</v>
      </c>
      <c r="U110" s="301">
        <f t="shared" si="15"/>
        <v>131936.51997440911</v>
      </c>
      <c r="V110" s="301">
        <f t="shared" si="16"/>
        <v>145629.0675626494</v>
      </c>
      <c r="W110" s="301">
        <f t="shared" si="17"/>
        <v>145629.0675626494</v>
      </c>
      <c r="AA110" s="12">
        <f>+paraméterek!$B$346</f>
        <v>6.4600000000000005E-2</v>
      </c>
      <c r="AB110" s="301">
        <f t="shared" si="18"/>
        <v>11180863.622972269</v>
      </c>
      <c r="AC110" s="301">
        <f t="shared" si="5"/>
        <v>28637.796633887356</v>
      </c>
      <c r="AD110" s="301">
        <f t="shared" si="19"/>
        <v>61182.600456688328</v>
      </c>
      <c r="AE110" s="301">
        <f t="shared" si="20"/>
        <v>89820.397090575687</v>
      </c>
      <c r="AF110" s="477">
        <f t="shared" si="21"/>
        <v>89820.397090575687</v>
      </c>
      <c r="AI110" s="543">
        <f t="shared" si="6"/>
        <v>42436.448540611593</v>
      </c>
      <c r="AJ110" s="543">
        <f t="shared" si="22"/>
        <v>29776.966105244348</v>
      </c>
      <c r="AK110" s="300">
        <f t="shared" si="23"/>
        <v>11705188.535446201</v>
      </c>
      <c r="AL110" s="543">
        <f t="shared" si="24"/>
        <v>72213.414645855941</v>
      </c>
      <c r="AM110" s="10">
        <f t="shared" si="25"/>
        <v>72213.414645855941</v>
      </c>
      <c r="AP110" s="437">
        <f t="shared" si="26"/>
        <v>146437.0675626494</v>
      </c>
    </row>
    <row r="111" spans="1:42" s="11" customFormat="1" hidden="1" x14ac:dyDescent="0.3">
      <c r="A111" s="775">
        <v>32</v>
      </c>
      <c r="B111" s="775">
        <f t="shared" si="7"/>
        <v>3</v>
      </c>
      <c r="C111" s="891">
        <f t="shared" si="28"/>
        <v>0.14489675614077413</v>
      </c>
      <c r="D111" s="891"/>
      <c r="E111" s="891">
        <f t="shared" si="28"/>
        <v>0.03</v>
      </c>
      <c r="F111" s="891">
        <f t="shared" si="0"/>
        <v>0.03</v>
      </c>
      <c r="G111" s="893">
        <f t="shared" si="9"/>
        <v>10788734.194524162</v>
      </c>
      <c r="H111" s="436">
        <f t="shared" si="1"/>
        <v>39356.086740326951</v>
      </c>
      <c r="I111" s="302">
        <f t="shared" si="2"/>
        <v>0</v>
      </c>
      <c r="J111" s="301">
        <f t="shared" si="27"/>
        <v>27446.201060149571</v>
      </c>
      <c r="K111" s="301">
        <f t="shared" si="10"/>
        <v>66802.287800476523</v>
      </c>
      <c r="L111" s="10">
        <f t="shared" si="11"/>
        <v>66802.287800476523</v>
      </c>
      <c r="M111" s="302"/>
      <c r="N111" s="435">
        <f t="shared" si="12"/>
        <v>66802.287800476508</v>
      </c>
      <c r="O111" s="436">
        <f t="shared" si="3"/>
        <v>0</v>
      </c>
      <c r="P111" s="436">
        <f t="shared" si="13"/>
        <v>0</v>
      </c>
      <c r="R111" s="354">
        <f>+Hirdetmény!$AA$46</f>
        <v>0.13400000000000001</v>
      </c>
      <c r="S111" s="301">
        <f t="shared" si="14"/>
        <v>11625818.423100727</v>
      </c>
      <c r="T111" s="301">
        <f t="shared" si="4"/>
        <v>13847.571315680305</v>
      </c>
      <c r="U111" s="301">
        <f t="shared" si="15"/>
        <v>131781.49624696909</v>
      </c>
      <c r="V111" s="301">
        <f t="shared" si="16"/>
        <v>145629.0675626494</v>
      </c>
      <c r="W111" s="301">
        <f t="shared" si="17"/>
        <v>145629.0675626494</v>
      </c>
      <c r="AA111" s="12">
        <f>+paraméterek!$B$346</f>
        <v>6.4600000000000005E-2</v>
      </c>
      <c r="AB111" s="301">
        <f t="shared" si="18"/>
        <v>11152069.518327542</v>
      </c>
      <c r="AC111" s="301">
        <f t="shared" si="5"/>
        <v>28794.104644727729</v>
      </c>
      <c r="AD111" s="301">
        <f t="shared" si="19"/>
        <v>61026.292445847954</v>
      </c>
      <c r="AE111" s="301">
        <f t="shared" si="20"/>
        <v>89820.397090575687</v>
      </c>
      <c r="AF111" s="477">
        <f t="shared" si="21"/>
        <v>89820.397090575687</v>
      </c>
      <c r="AI111" s="543">
        <f t="shared" si="6"/>
        <v>42544.013149759689</v>
      </c>
      <c r="AJ111" s="543">
        <f t="shared" si="22"/>
        <v>29669.401496096274</v>
      </c>
      <c r="AK111" s="300">
        <f t="shared" si="23"/>
        <v>11662644.522296442</v>
      </c>
      <c r="AL111" s="543">
        <f t="shared" si="24"/>
        <v>72213.414645855955</v>
      </c>
      <c r="AM111" s="10">
        <f t="shared" si="25"/>
        <v>72213.414645855955</v>
      </c>
      <c r="AP111" s="437">
        <f t="shared" si="26"/>
        <v>146437.0675626494</v>
      </c>
    </row>
    <row r="112" spans="1:42" s="11" customFormat="1" hidden="1" x14ac:dyDescent="0.3">
      <c r="A112" s="775">
        <v>33</v>
      </c>
      <c r="B112" s="775">
        <f t="shared" si="7"/>
        <v>3</v>
      </c>
      <c r="C112" s="891">
        <f t="shared" si="28"/>
        <v>0.14489675614077413</v>
      </c>
      <c r="D112" s="891"/>
      <c r="E112" s="891">
        <f t="shared" si="28"/>
        <v>0.03</v>
      </c>
      <c r="F112" s="891">
        <f t="shared" si="0"/>
        <v>0.03</v>
      </c>
      <c r="G112" s="893">
        <f t="shared" si="9"/>
        <v>10749278.351036195</v>
      </c>
      <c r="H112" s="436">
        <f t="shared" si="1"/>
        <v>39455.843487967366</v>
      </c>
      <c r="I112" s="302">
        <f t="shared" si="2"/>
        <v>0</v>
      </c>
      <c r="J112" s="301">
        <f t="shared" si="27"/>
        <v>27346.44431250916</v>
      </c>
      <c r="K112" s="301">
        <f t="shared" si="10"/>
        <v>66802.287800476523</v>
      </c>
      <c r="L112" s="10">
        <f t="shared" si="11"/>
        <v>66802.287800476523</v>
      </c>
      <c r="M112" s="302"/>
      <c r="N112" s="435">
        <f t="shared" si="12"/>
        <v>66802.287800476508</v>
      </c>
      <c r="O112" s="436">
        <f t="shared" si="3"/>
        <v>0</v>
      </c>
      <c r="P112" s="436">
        <f t="shared" si="13"/>
        <v>0</v>
      </c>
      <c r="R112" s="354">
        <f>+Hirdetmény!$AA$46</f>
        <v>0.13400000000000001</v>
      </c>
      <c r="S112" s="301">
        <f t="shared" si="14"/>
        <v>11611814.072916284</v>
      </c>
      <c r="T112" s="301">
        <f t="shared" si="4"/>
        <v>14004.350184441862</v>
      </c>
      <c r="U112" s="301">
        <f t="shared" si="15"/>
        <v>131624.71737820754</v>
      </c>
      <c r="V112" s="301">
        <f t="shared" si="16"/>
        <v>145629.0675626494</v>
      </c>
      <c r="W112" s="301">
        <f t="shared" si="17"/>
        <v>145629.0675626494</v>
      </c>
      <c r="AA112" s="12">
        <f>+paraméterek!$B$346</f>
        <v>6.4600000000000005E-2</v>
      </c>
      <c r="AB112" s="301">
        <f t="shared" si="18"/>
        <v>11123118.25252693</v>
      </c>
      <c r="AC112" s="301">
        <f t="shared" si="5"/>
        <v>28951.265800611534</v>
      </c>
      <c r="AD112" s="301">
        <f t="shared" si="19"/>
        <v>60869.131289964156</v>
      </c>
      <c r="AE112" s="301">
        <f t="shared" si="20"/>
        <v>89820.397090575687</v>
      </c>
      <c r="AF112" s="477">
        <f t="shared" si="21"/>
        <v>89820.397090575687</v>
      </c>
      <c r="AI112" s="543">
        <f t="shared" si="6"/>
        <v>42651.850405312893</v>
      </c>
      <c r="AJ112" s="543">
        <f t="shared" si="22"/>
        <v>29561.564240543066</v>
      </c>
      <c r="AK112" s="300">
        <f t="shared" si="23"/>
        <v>11619992.671891129</v>
      </c>
      <c r="AL112" s="543">
        <f t="shared" si="24"/>
        <v>72213.414645855955</v>
      </c>
      <c r="AM112" s="10">
        <f t="shared" si="25"/>
        <v>72213.414645855955</v>
      </c>
      <c r="AP112" s="437">
        <f t="shared" si="26"/>
        <v>146437.0675626494</v>
      </c>
    </row>
    <row r="113" spans="1:42" s="11" customFormat="1" hidden="1" x14ac:dyDescent="0.3">
      <c r="A113" s="775">
        <v>34</v>
      </c>
      <c r="B113" s="775">
        <f t="shared" si="7"/>
        <v>3</v>
      </c>
      <c r="C113" s="891">
        <f t="shared" ref="C113:E128" si="29">+C112</f>
        <v>0.14489675614077413</v>
      </c>
      <c r="D113" s="891"/>
      <c r="E113" s="891">
        <f t="shared" si="29"/>
        <v>0.03</v>
      </c>
      <c r="F113" s="891">
        <f t="shared" si="0"/>
        <v>0.03</v>
      </c>
      <c r="G113" s="893">
        <f t="shared" si="9"/>
        <v>10709722.497944942</v>
      </c>
      <c r="H113" s="436">
        <f t="shared" si="1"/>
        <v>39555.853091252829</v>
      </c>
      <c r="I113" s="302">
        <f t="shared" si="2"/>
        <v>0</v>
      </c>
      <c r="J113" s="301">
        <f t="shared" si="27"/>
        <v>27246.434709223686</v>
      </c>
      <c r="K113" s="301">
        <f t="shared" si="10"/>
        <v>66802.287800476508</v>
      </c>
      <c r="L113" s="10">
        <f t="shared" si="11"/>
        <v>66802.287800476508</v>
      </c>
      <c r="M113" s="302"/>
      <c r="N113" s="435">
        <f t="shared" si="12"/>
        <v>66802.287800476508</v>
      </c>
      <c r="O113" s="436">
        <f t="shared" si="3"/>
        <v>0</v>
      </c>
      <c r="P113" s="436">
        <f t="shared" si="13"/>
        <v>0</v>
      </c>
      <c r="R113" s="354">
        <f>+Hirdetmény!$AA$46</f>
        <v>0.13400000000000001</v>
      </c>
      <c r="S113" s="301">
        <f t="shared" si="14"/>
        <v>11597651.168850472</v>
      </c>
      <c r="T113" s="301">
        <f t="shared" si="4"/>
        <v>14162.904065812478</v>
      </c>
      <c r="U113" s="301">
        <f t="shared" si="15"/>
        <v>131466.16349683693</v>
      </c>
      <c r="V113" s="301">
        <f t="shared" si="16"/>
        <v>145629.0675626494</v>
      </c>
      <c r="W113" s="301">
        <f t="shared" si="17"/>
        <v>145629.0675626494</v>
      </c>
      <c r="AA113" s="12">
        <f>+paraméterek!$B$346</f>
        <v>6.4600000000000005E-2</v>
      </c>
      <c r="AB113" s="301">
        <f t="shared" si="18"/>
        <v>11094008.967768839</v>
      </c>
      <c r="AC113" s="301">
        <f t="shared" si="5"/>
        <v>29109.284758091304</v>
      </c>
      <c r="AD113" s="301">
        <f t="shared" si="19"/>
        <v>60711.112332484379</v>
      </c>
      <c r="AE113" s="301">
        <f t="shared" si="20"/>
        <v>89820.397090575687</v>
      </c>
      <c r="AF113" s="477">
        <f t="shared" si="21"/>
        <v>89820.397090575687</v>
      </c>
      <c r="AI113" s="543">
        <f t="shared" si="6"/>
        <v>42759.960998354138</v>
      </c>
      <c r="AJ113" s="543">
        <f t="shared" si="22"/>
        <v>29453.453647501818</v>
      </c>
      <c r="AK113" s="300">
        <f t="shared" si="23"/>
        <v>11577232.710892774</v>
      </c>
      <c r="AL113" s="543">
        <f t="shared" si="24"/>
        <v>72213.414645855955</v>
      </c>
      <c r="AM113" s="10">
        <f t="shared" si="25"/>
        <v>72213.414645855955</v>
      </c>
      <c r="AP113" s="437">
        <f t="shared" si="26"/>
        <v>146437.0675626494</v>
      </c>
    </row>
    <row r="114" spans="1:42" s="11" customFormat="1" hidden="1" x14ac:dyDescent="0.3">
      <c r="A114" s="775">
        <v>35</v>
      </c>
      <c r="B114" s="775">
        <f t="shared" si="7"/>
        <v>3</v>
      </c>
      <c r="C114" s="891">
        <f t="shared" si="29"/>
        <v>0.14489675614077413</v>
      </c>
      <c r="D114" s="891"/>
      <c r="E114" s="891">
        <f t="shared" si="29"/>
        <v>0.03</v>
      </c>
      <c r="F114" s="891">
        <f t="shared" si="0"/>
        <v>0.03</v>
      </c>
      <c r="G114" s="893">
        <f t="shared" si="9"/>
        <v>10670066.38175384</v>
      </c>
      <c r="H114" s="436">
        <f t="shared" si="1"/>
        <v>39656.116191102185</v>
      </c>
      <c r="I114" s="302">
        <f t="shared" si="2"/>
        <v>0</v>
      </c>
      <c r="J114" s="301">
        <f t="shared" si="27"/>
        <v>27146.171609374331</v>
      </c>
      <c r="K114" s="301">
        <f t="shared" si="10"/>
        <v>66802.287800476508</v>
      </c>
      <c r="L114" s="10">
        <f t="shared" si="11"/>
        <v>66802.287800476508</v>
      </c>
      <c r="M114" s="302"/>
      <c r="N114" s="435">
        <f t="shared" si="12"/>
        <v>66802.287800476508</v>
      </c>
      <c r="O114" s="436">
        <f t="shared" si="3"/>
        <v>0</v>
      </c>
      <c r="P114" s="436">
        <f t="shared" si="13"/>
        <v>0</v>
      </c>
      <c r="R114" s="354">
        <f>+Hirdetmény!$AA$46</f>
        <v>0.13400000000000001</v>
      </c>
      <c r="S114" s="301">
        <f t="shared" si="14"/>
        <v>11583327.915794415</v>
      </c>
      <c r="T114" s="301">
        <f t="shared" si="4"/>
        <v>14323.253056057587</v>
      </c>
      <c r="U114" s="301">
        <f t="shared" si="15"/>
        <v>131305.81450659179</v>
      </c>
      <c r="V114" s="301">
        <f t="shared" si="16"/>
        <v>145629.06756264938</v>
      </c>
      <c r="W114" s="301">
        <f t="shared" si="17"/>
        <v>145629.06756264938</v>
      </c>
      <c r="AA114" s="12">
        <f>+paraméterek!$B$346</f>
        <v>6.4600000000000005E-2</v>
      </c>
      <c r="AB114" s="301">
        <f t="shared" si="18"/>
        <v>11064740.801569704</v>
      </c>
      <c r="AC114" s="301">
        <f t="shared" si="5"/>
        <v>29268.166199135532</v>
      </c>
      <c r="AD114" s="301">
        <f t="shared" si="19"/>
        <v>60552.230891440166</v>
      </c>
      <c r="AE114" s="301">
        <f t="shared" si="20"/>
        <v>89820.397090575701</v>
      </c>
      <c r="AF114" s="477">
        <f t="shared" si="21"/>
        <v>89820.397090575701</v>
      </c>
      <c r="AI114" s="543">
        <f t="shared" si="6"/>
        <v>42868.345621718021</v>
      </c>
      <c r="AJ114" s="543">
        <f t="shared" si="22"/>
        <v>29345.069024137934</v>
      </c>
      <c r="AK114" s="300">
        <f t="shared" si="23"/>
        <v>11534364.365271056</v>
      </c>
      <c r="AL114" s="543">
        <f t="shared" si="24"/>
        <v>72213.414645855955</v>
      </c>
      <c r="AM114" s="10">
        <f t="shared" si="25"/>
        <v>72213.414645855955</v>
      </c>
      <c r="AP114" s="437">
        <f t="shared" si="26"/>
        <v>146437.06756264938</v>
      </c>
    </row>
    <row r="115" spans="1:42" s="11" customFormat="1" hidden="1" x14ac:dyDescent="0.3">
      <c r="A115" s="775">
        <v>36</v>
      </c>
      <c r="B115" s="775">
        <f t="shared" si="7"/>
        <v>3</v>
      </c>
      <c r="C115" s="891">
        <f t="shared" si="29"/>
        <v>0.14489675614077413</v>
      </c>
      <c r="D115" s="891"/>
      <c r="E115" s="891">
        <f t="shared" si="29"/>
        <v>0.03</v>
      </c>
      <c r="F115" s="891">
        <f t="shared" si="0"/>
        <v>0.03</v>
      </c>
      <c r="G115" s="893">
        <f t="shared" si="9"/>
        <v>10630309.748323781</v>
      </c>
      <c r="H115" s="436">
        <f t="shared" si="1"/>
        <v>39756.633430058806</v>
      </c>
      <c r="I115" s="302">
        <f t="shared" si="2"/>
        <v>0</v>
      </c>
      <c r="J115" s="301">
        <f t="shared" si="27"/>
        <v>27045.65437041772</v>
      </c>
      <c r="K115" s="301">
        <f t="shared" si="10"/>
        <v>66802.287800476523</v>
      </c>
      <c r="L115" s="10">
        <f t="shared" si="11"/>
        <v>66802.287800476523</v>
      </c>
      <c r="M115" s="302"/>
      <c r="N115" s="435">
        <f t="shared" si="12"/>
        <v>66802.287800476508</v>
      </c>
      <c r="O115" s="436">
        <f t="shared" si="3"/>
        <v>0</v>
      </c>
      <c r="P115" s="436">
        <f t="shared" si="13"/>
        <v>0</v>
      </c>
      <c r="R115" s="354">
        <f>+Hirdetmény!$AA$46</f>
        <v>0.13400000000000001</v>
      </c>
      <c r="S115" s="301">
        <f t="shared" si="14"/>
        <v>11568842.498315448</v>
      </c>
      <c r="T115" s="301">
        <f t="shared" si="4"/>
        <v>14485.417478967725</v>
      </c>
      <c r="U115" s="301">
        <f t="shared" si="15"/>
        <v>131143.65008368168</v>
      </c>
      <c r="V115" s="301">
        <f t="shared" si="16"/>
        <v>145629.0675626494</v>
      </c>
      <c r="W115" s="301">
        <f t="shared" si="17"/>
        <v>145629.0675626494</v>
      </c>
      <c r="AA115" s="12">
        <f>+paraméterek!$B$346</f>
        <v>6.4600000000000005E-2</v>
      </c>
      <c r="AB115" s="301">
        <f t="shared" si="18"/>
        <v>11035312.886738436</v>
      </c>
      <c r="AC115" s="301">
        <f t="shared" si="5"/>
        <v>29427.914831267339</v>
      </c>
      <c r="AD115" s="301">
        <f t="shared" si="19"/>
        <v>60392.482259308352</v>
      </c>
      <c r="AE115" s="301">
        <f t="shared" si="20"/>
        <v>89820.397090575687</v>
      </c>
      <c r="AF115" s="477">
        <f t="shared" si="21"/>
        <v>89820.397090575687</v>
      </c>
      <c r="AI115" s="543">
        <f t="shared" si="6"/>
        <v>42977.004969995302</v>
      </c>
      <c r="AJ115" s="543">
        <f t="shared" si="22"/>
        <v>29236.409675860661</v>
      </c>
      <c r="AK115" s="300">
        <f t="shared" si="23"/>
        <v>11491387.360301061</v>
      </c>
      <c r="AL115" s="543">
        <f t="shared" si="24"/>
        <v>72213.414645855955</v>
      </c>
      <c r="AM115" s="10">
        <f t="shared" si="25"/>
        <v>72213.414645855955</v>
      </c>
      <c r="AP115" s="437">
        <f t="shared" si="26"/>
        <v>146437.0675626494</v>
      </c>
    </row>
    <row r="116" spans="1:42" s="11" customFormat="1" hidden="1" x14ac:dyDescent="0.3">
      <c r="A116" s="775">
        <v>37</v>
      </c>
      <c r="B116" s="775">
        <f t="shared" si="7"/>
        <v>4</v>
      </c>
      <c r="C116" s="891">
        <f t="shared" si="29"/>
        <v>0.14489675614077413</v>
      </c>
      <c r="D116" s="891"/>
      <c r="E116" s="891">
        <f t="shared" si="29"/>
        <v>0.03</v>
      </c>
      <c r="F116" s="891">
        <f t="shared" si="0"/>
        <v>0.03</v>
      </c>
      <c r="G116" s="893">
        <f t="shared" si="9"/>
        <v>10590452.342871487</v>
      </c>
      <c r="H116" s="436">
        <f t="shared" si="1"/>
        <v>39857.405452294719</v>
      </c>
      <c r="I116" s="302">
        <f t="shared" si="2"/>
        <v>0</v>
      </c>
      <c r="J116" s="301">
        <f t="shared" si="27"/>
        <v>26944.882348181807</v>
      </c>
      <c r="K116" s="301">
        <f t="shared" si="10"/>
        <v>66802.287800476523</v>
      </c>
      <c r="L116" s="10">
        <f t="shared" si="11"/>
        <v>66802.287800476523</v>
      </c>
      <c r="M116" s="302"/>
      <c r="N116" s="435">
        <f t="shared" si="12"/>
        <v>66802.287800476508</v>
      </c>
      <c r="O116" s="436">
        <f t="shared" si="3"/>
        <v>0</v>
      </c>
      <c r="P116" s="436">
        <f t="shared" si="13"/>
        <v>0</v>
      </c>
      <c r="R116" s="354">
        <f>+Hirdetmény!$AA$46</f>
        <v>0.13400000000000001</v>
      </c>
      <c r="S116" s="301">
        <f t="shared" si="14"/>
        <v>11554193.080427013</v>
      </c>
      <c r="T116" s="301">
        <f t="shared" si="4"/>
        <v>14649.417888434458</v>
      </c>
      <c r="U116" s="301">
        <f t="shared" si="15"/>
        <v>130979.64967421495</v>
      </c>
      <c r="V116" s="301">
        <f t="shared" si="16"/>
        <v>145629.0675626494</v>
      </c>
      <c r="W116" s="301">
        <f t="shared" si="17"/>
        <v>145629.0675626494</v>
      </c>
      <c r="AA116" s="12">
        <f>+paraméterek!$B$346</f>
        <v>6.4600000000000005E-2</v>
      </c>
      <c r="AB116" s="301">
        <f t="shared" si="18"/>
        <v>11005724.351350732</v>
      </c>
      <c r="AC116" s="301">
        <f t="shared" si="5"/>
        <v>29588.535387704025</v>
      </c>
      <c r="AD116" s="301">
        <f t="shared" si="19"/>
        <v>60231.861702871669</v>
      </c>
      <c r="AE116" s="301">
        <f t="shared" si="20"/>
        <v>89820.397090575687</v>
      </c>
      <c r="AF116" s="477">
        <f t="shared" si="21"/>
        <v>89820.397090575687</v>
      </c>
      <c r="AI116" s="543">
        <f t="shared" si="6"/>
        <v>43085.939739537309</v>
      </c>
      <c r="AJ116" s="543">
        <f t="shared" si="22"/>
        <v>29127.474906318661</v>
      </c>
      <c r="AK116" s="300">
        <f t="shared" si="23"/>
        <v>11448301.420561524</v>
      </c>
      <c r="AL116" s="543">
        <f t="shared" si="24"/>
        <v>72213.41464585597</v>
      </c>
      <c r="AM116" s="10">
        <f t="shared" si="25"/>
        <v>72213.41464585597</v>
      </c>
      <c r="AP116" s="437">
        <f t="shared" si="26"/>
        <v>146437.0675626494</v>
      </c>
    </row>
    <row r="117" spans="1:42" s="11" customFormat="1" hidden="1" x14ac:dyDescent="0.3">
      <c r="A117" s="775">
        <v>38</v>
      </c>
      <c r="B117" s="775">
        <f t="shared" si="7"/>
        <v>4</v>
      </c>
      <c r="C117" s="891">
        <f t="shared" si="29"/>
        <v>0.14489675614077413</v>
      </c>
      <c r="D117" s="891"/>
      <c r="E117" s="891">
        <f t="shared" si="29"/>
        <v>0.03</v>
      </c>
      <c r="F117" s="891">
        <f t="shared" si="0"/>
        <v>0.03</v>
      </c>
      <c r="G117" s="893">
        <f t="shared" si="9"/>
        <v>10550493.909967873</v>
      </c>
      <c r="H117" s="436">
        <f t="shared" si="1"/>
        <v>39958.432903614768</v>
      </c>
      <c r="I117" s="302">
        <f t="shared" si="2"/>
        <v>0</v>
      </c>
      <c r="J117" s="301">
        <f t="shared" si="27"/>
        <v>26843.854896861758</v>
      </c>
      <c r="K117" s="301">
        <f t="shared" si="10"/>
        <v>66802.287800476523</v>
      </c>
      <c r="L117" s="10">
        <f t="shared" si="11"/>
        <v>66802.287800476523</v>
      </c>
      <c r="M117" s="302"/>
      <c r="N117" s="435">
        <f t="shared" si="12"/>
        <v>66802.287800476508</v>
      </c>
      <c r="O117" s="436">
        <f t="shared" si="3"/>
        <v>0</v>
      </c>
      <c r="P117" s="436">
        <f t="shared" si="13"/>
        <v>0</v>
      </c>
      <c r="R117" s="354">
        <f>+Hirdetmény!$AA$46</f>
        <v>0.13400000000000001</v>
      </c>
      <c r="S117" s="301">
        <f t="shared" si="14"/>
        <v>11539377.805355959</v>
      </c>
      <c r="T117" s="301">
        <f t="shared" si="4"/>
        <v>14815.275071055607</v>
      </c>
      <c r="U117" s="301">
        <f t="shared" si="15"/>
        <v>130813.79249159381</v>
      </c>
      <c r="V117" s="301">
        <f t="shared" si="16"/>
        <v>145629.0675626494</v>
      </c>
      <c r="W117" s="301">
        <f t="shared" si="17"/>
        <v>145629.0675626494</v>
      </c>
      <c r="AA117" s="12">
        <f>+paraméterek!$B$346</f>
        <v>6.4600000000000005E-2</v>
      </c>
      <c r="AB117" s="301">
        <f t="shared" si="18"/>
        <v>10975974.318723235</v>
      </c>
      <c r="AC117" s="301">
        <f t="shared" si="5"/>
        <v>29750.032627497232</v>
      </c>
      <c r="AD117" s="301">
        <f t="shared" si="19"/>
        <v>60070.364463078462</v>
      </c>
      <c r="AE117" s="301">
        <f t="shared" si="20"/>
        <v>89820.397090575687</v>
      </c>
      <c r="AF117" s="477">
        <f t="shared" si="21"/>
        <v>89820.397090575687</v>
      </c>
      <c r="AI117" s="543">
        <f t="shared" si="6"/>
        <v>43195.15062846044</v>
      </c>
      <c r="AJ117" s="543">
        <f t="shared" si="22"/>
        <v>29018.26401739553</v>
      </c>
      <c r="AK117" s="300">
        <f t="shared" si="23"/>
        <v>11405106.269933064</v>
      </c>
      <c r="AL117" s="543">
        <f t="shared" si="24"/>
        <v>72213.41464585597</v>
      </c>
      <c r="AM117" s="10">
        <f t="shared" si="25"/>
        <v>72213.41464585597</v>
      </c>
      <c r="AP117" s="437">
        <f t="shared" si="26"/>
        <v>146437.0675626494</v>
      </c>
    </row>
    <row r="118" spans="1:42" s="11" customFormat="1" hidden="1" x14ac:dyDescent="0.3">
      <c r="A118" s="775">
        <v>39</v>
      </c>
      <c r="B118" s="775">
        <f t="shared" si="7"/>
        <v>4</v>
      </c>
      <c r="C118" s="891">
        <f t="shared" si="29"/>
        <v>0.14489675614077413</v>
      </c>
      <c r="D118" s="891"/>
      <c r="E118" s="891">
        <f t="shared" si="29"/>
        <v>0.03</v>
      </c>
      <c r="F118" s="891">
        <f t="shared" si="0"/>
        <v>0.03</v>
      </c>
      <c r="G118" s="893">
        <f t="shared" si="9"/>
        <v>10510434.193536412</v>
      </c>
      <c r="H118" s="436">
        <f t="shared" si="1"/>
        <v>40059.716431460743</v>
      </c>
      <c r="I118" s="302">
        <f t="shared" si="2"/>
        <v>0</v>
      </c>
      <c r="J118" s="301">
        <f t="shared" si="27"/>
        <v>26742.57136901579</v>
      </c>
      <c r="K118" s="301">
        <f t="shared" si="10"/>
        <v>66802.287800476537</v>
      </c>
      <c r="L118" s="10">
        <f t="shared" si="11"/>
        <v>66802.287800476537</v>
      </c>
      <c r="M118" s="302"/>
      <c r="N118" s="435">
        <f t="shared" si="12"/>
        <v>66802.287800476508</v>
      </c>
      <c r="O118" s="436">
        <f t="shared" si="3"/>
        <v>0</v>
      </c>
      <c r="P118" s="436">
        <f t="shared" si="13"/>
        <v>0</v>
      </c>
      <c r="R118" s="354">
        <f>+Hirdetmény!$AA$46</f>
        <v>0.13400000000000001</v>
      </c>
      <c r="S118" s="301">
        <f t="shared" si="14"/>
        <v>11524394.795307189</v>
      </c>
      <c r="T118" s="301">
        <f t="shared" si="4"/>
        <v>14983.010048769798</v>
      </c>
      <c r="U118" s="301">
        <f t="shared" si="15"/>
        <v>130646.05751387963</v>
      </c>
      <c r="V118" s="301">
        <f t="shared" si="16"/>
        <v>145629.06756264943</v>
      </c>
      <c r="W118" s="301">
        <f t="shared" si="17"/>
        <v>145629.06756264943</v>
      </c>
      <c r="AA118" s="12">
        <f>+paraméterek!$B$346</f>
        <v>6.4600000000000005E-2</v>
      </c>
      <c r="AB118" s="301">
        <f t="shared" si="18"/>
        <v>10946061.907387562</v>
      </c>
      <c r="AC118" s="301">
        <f t="shared" si="5"/>
        <v>29912.411335674031</v>
      </c>
      <c r="AD118" s="301">
        <f t="shared" si="19"/>
        <v>59907.985754901667</v>
      </c>
      <c r="AE118" s="301">
        <f t="shared" si="20"/>
        <v>89820.397090575701</v>
      </c>
      <c r="AF118" s="477">
        <f t="shared" si="21"/>
        <v>89820.397090575701</v>
      </c>
      <c r="AI118" s="543">
        <f t="shared" si="6"/>
        <v>43304.638336650634</v>
      </c>
      <c r="AJ118" s="543">
        <f t="shared" si="22"/>
        <v>28908.776309205336</v>
      </c>
      <c r="AK118" s="300">
        <f t="shared" si="23"/>
        <v>11361801.631596413</v>
      </c>
      <c r="AL118" s="543">
        <f t="shared" si="24"/>
        <v>72213.41464585597</v>
      </c>
      <c r="AM118" s="10">
        <f t="shared" si="25"/>
        <v>72213.41464585597</v>
      </c>
      <c r="AP118" s="437">
        <f t="shared" si="26"/>
        <v>146437.06756264943</v>
      </c>
    </row>
    <row r="119" spans="1:42" s="11" customFormat="1" hidden="1" x14ac:dyDescent="0.3">
      <c r="A119" s="775">
        <v>40</v>
      </c>
      <c r="B119" s="775">
        <f t="shared" si="7"/>
        <v>4</v>
      </c>
      <c r="C119" s="891">
        <f t="shared" si="29"/>
        <v>0.14489675614077413</v>
      </c>
      <c r="D119" s="891"/>
      <c r="E119" s="891">
        <f t="shared" si="29"/>
        <v>0.03</v>
      </c>
      <c r="F119" s="891">
        <f t="shared" si="0"/>
        <v>0.03</v>
      </c>
      <c r="G119" s="893">
        <f t="shared" si="9"/>
        <v>10470272.936851496</v>
      </c>
      <c r="H119" s="436">
        <f t="shared" si="1"/>
        <v>40161.256684915483</v>
      </c>
      <c r="I119" s="302">
        <f t="shared" si="2"/>
        <v>0</v>
      </c>
      <c r="J119" s="301">
        <f t="shared" si="27"/>
        <v>26641.031115561043</v>
      </c>
      <c r="K119" s="301">
        <f t="shared" si="10"/>
        <v>66802.287800476523</v>
      </c>
      <c r="L119" s="10">
        <f t="shared" si="11"/>
        <v>66802.287800476523</v>
      </c>
      <c r="M119" s="302"/>
      <c r="N119" s="435">
        <f t="shared" si="12"/>
        <v>66802.287800476508</v>
      </c>
      <c r="O119" s="436">
        <f t="shared" si="3"/>
        <v>0</v>
      </c>
      <c r="P119" s="436">
        <f t="shared" si="13"/>
        <v>0</v>
      </c>
      <c r="R119" s="354">
        <f>+Hirdetmény!$AA$46</f>
        <v>0.13400000000000001</v>
      </c>
      <c r="S119" s="301">
        <f t="shared" si="14"/>
        <v>11509242.151225667</v>
      </c>
      <c r="T119" s="301">
        <f t="shared" si="4"/>
        <v>15152.644081521035</v>
      </c>
      <c r="U119" s="301">
        <f t="shared" si="15"/>
        <v>130476.42348112838</v>
      </c>
      <c r="V119" s="301">
        <f t="shared" si="16"/>
        <v>145629.0675626494</v>
      </c>
      <c r="W119" s="301">
        <f t="shared" si="17"/>
        <v>145629.0675626494</v>
      </c>
      <c r="AA119" s="12">
        <f>+paraméterek!$B$346</f>
        <v>6.4600000000000005E-2</v>
      </c>
      <c r="AB119" s="301">
        <f t="shared" si="18"/>
        <v>10915986.231064184</v>
      </c>
      <c r="AC119" s="301">
        <f t="shared" si="5"/>
        <v>30075.676323378626</v>
      </c>
      <c r="AD119" s="301">
        <f t="shared" si="19"/>
        <v>59744.720767197068</v>
      </c>
      <c r="AE119" s="301">
        <f t="shared" si="20"/>
        <v>89820.397090575687</v>
      </c>
      <c r="AF119" s="477">
        <f t="shared" si="21"/>
        <v>89820.397090575687</v>
      </c>
      <c r="AI119" s="543">
        <f t="shared" si="6"/>
        <v>43414.403565767832</v>
      </c>
      <c r="AJ119" s="543">
        <f t="shared" si="22"/>
        <v>28799.01108008813</v>
      </c>
      <c r="AK119" s="300">
        <f t="shared" si="23"/>
        <v>11318387.228030644</v>
      </c>
      <c r="AL119" s="543">
        <f t="shared" si="24"/>
        <v>72213.414645855955</v>
      </c>
      <c r="AM119" s="10">
        <f t="shared" si="25"/>
        <v>72213.414645855955</v>
      </c>
      <c r="AP119" s="437">
        <f t="shared" si="26"/>
        <v>146437.0675626494</v>
      </c>
    </row>
    <row r="120" spans="1:42" s="11" customFormat="1" hidden="1" x14ac:dyDescent="0.3">
      <c r="A120" s="775">
        <v>41</v>
      </c>
      <c r="B120" s="775">
        <f t="shared" si="7"/>
        <v>4</v>
      </c>
      <c r="C120" s="891">
        <f t="shared" si="29"/>
        <v>0.14489675614077413</v>
      </c>
      <c r="D120" s="891"/>
      <c r="E120" s="891">
        <f t="shared" si="29"/>
        <v>0.03</v>
      </c>
      <c r="F120" s="891">
        <f t="shared" si="0"/>
        <v>0.03</v>
      </c>
      <c r="G120" s="893">
        <f t="shared" si="9"/>
        <v>10430009.882536789</v>
      </c>
      <c r="H120" s="436">
        <f t="shared" si="1"/>
        <v>40263.054314707108</v>
      </c>
      <c r="I120" s="302">
        <f t="shared" si="2"/>
        <v>0</v>
      </c>
      <c r="J120" s="301">
        <f t="shared" si="27"/>
        <v>26539.233485769422</v>
      </c>
      <c r="K120" s="301">
        <f t="shared" si="10"/>
        <v>66802.287800476537</v>
      </c>
      <c r="L120" s="10">
        <f t="shared" si="11"/>
        <v>66802.287800476537</v>
      </c>
      <c r="M120" s="302"/>
      <c r="N120" s="435">
        <f t="shared" si="12"/>
        <v>66802.287800476508</v>
      </c>
      <c r="O120" s="436">
        <f t="shared" si="3"/>
        <v>0</v>
      </c>
      <c r="P120" s="436">
        <f t="shared" si="13"/>
        <v>0</v>
      </c>
      <c r="R120" s="354">
        <f>+Hirdetmény!$AA$46</f>
        <v>0.13400000000000001</v>
      </c>
      <c r="S120" s="301">
        <f t="shared" si="14"/>
        <v>11493917.952555714</v>
      </c>
      <c r="T120" s="301">
        <f t="shared" si="4"/>
        <v>15324.198669953257</v>
      </c>
      <c r="U120" s="301">
        <f t="shared" si="15"/>
        <v>130304.86889269618</v>
      </c>
      <c r="V120" s="301">
        <f t="shared" si="16"/>
        <v>145629.06756264943</v>
      </c>
      <c r="W120" s="301">
        <f t="shared" si="17"/>
        <v>145629.06756264943</v>
      </c>
      <c r="AA120" s="12">
        <f>+paraméterek!$B$346</f>
        <v>6.4600000000000005E-2</v>
      </c>
      <c r="AB120" s="301">
        <f t="shared" si="18"/>
        <v>10885746.398636168</v>
      </c>
      <c r="AC120" s="301">
        <f t="shared" si="5"/>
        <v>30239.832428014957</v>
      </c>
      <c r="AD120" s="301">
        <f t="shared" si="19"/>
        <v>59580.564662560748</v>
      </c>
      <c r="AE120" s="301">
        <f t="shared" si="20"/>
        <v>89820.397090575701</v>
      </c>
      <c r="AF120" s="477">
        <f t="shared" si="21"/>
        <v>89820.397090575701</v>
      </c>
      <c r="AI120" s="543">
        <f t="shared" si="6"/>
        <v>43524.44701925051</v>
      </c>
      <c r="AJ120" s="543">
        <f t="shared" si="22"/>
        <v>28688.967626605452</v>
      </c>
      <c r="AK120" s="300">
        <f t="shared" si="23"/>
        <v>11274862.781011393</v>
      </c>
      <c r="AL120" s="543">
        <f t="shared" si="24"/>
        <v>72213.414645855955</v>
      </c>
      <c r="AM120" s="10">
        <f t="shared" si="25"/>
        <v>72213.414645855955</v>
      </c>
      <c r="AP120" s="437">
        <f t="shared" si="26"/>
        <v>146437.06756264943</v>
      </c>
    </row>
    <row r="121" spans="1:42" s="11" customFormat="1" hidden="1" x14ac:dyDescent="0.3">
      <c r="A121" s="775">
        <v>42</v>
      </c>
      <c r="B121" s="775">
        <f t="shared" si="7"/>
        <v>4</v>
      </c>
      <c r="C121" s="891">
        <f t="shared" si="29"/>
        <v>0.14489675614077413</v>
      </c>
      <c r="D121" s="891"/>
      <c r="E121" s="891">
        <f t="shared" si="29"/>
        <v>0.03</v>
      </c>
      <c r="F121" s="891">
        <f t="shared" si="0"/>
        <v>0.03</v>
      </c>
      <c r="G121" s="893">
        <f t="shared" si="9"/>
        <v>10389644.772563577</v>
      </c>
      <c r="H121" s="436">
        <f t="shared" si="1"/>
        <v>40365.109973213133</v>
      </c>
      <c r="I121" s="302">
        <f t="shared" si="2"/>
        <v>0</v>
      </c>
      <c r="J121" s="301">
        <f t="shared" si="27"/>
        <v>26437.177827263389</v>
      </c>
      <c r="K121" s="301">
        <f t="shared" si="10"/>
        <v>66802.287800476523</v>
      </c>
      <c r="L121" s="10">
        <f t="shared" si="11"/>
        <v>66802.287800476523</v>
      </c>
      <c r="M121" s="302"/>
      <c r="N121" s="435">
        <f t="shared" si="12"/>
        <v>66802.287800476508</v>
      </c>
      <c r="O121" s="436">
        <f t="shared" si="3"/>
        <v>0</v>
      </c>
      <c r="P121" s="436">
        <f t="shared" si="13"/>
        <v>0</v>
      </c>
      <c r="R121" s="354">
        <f>+Hirdetmény!$AA$46</f>
        <v>0.13400000000000001</v>
      </c>
      <c r="S121" s="301">
        <f t="shared" si="14"/>
        <v>11478420.256997578</v>
      </c>
      <c r="T121" s="301">
        <f t="shared" si="4"/>
        <v>15497.695558135527</v>
      </c>
      <c r="U121" s="301">
        <f t="shared" si="15"/>
        <v>130131.37200451391</v>
      </c>
      <c r="V121" s="301">
        <f t="shared" si="16"/>
        <v>145629.06756264943</v>
      </c>
      <c r="W121" s="301">
        <f t="shared" si="17"/>
        <v>145629.06756264943</v>
      </c>
      <c r="AA121" s="12">
        <f>+paraméterek!$B$346</f>
        <v>6.4600000000000005E-2</v>
      </c>
      <c r="AB121" s="301">
        <f t="shared" si="18"/>
        <v>10855341.514122779</v>
      </c>
      <c r="AC121" s="301">
        <f t="shared" si="5"/>
        <v>30404.884513389999</v>
      </c>
      <c r="AD121" s="301">
        <f t="shared" si="19"/>
        <v>59415.512577185698</v>
      </c>
      <c r="AE121" s="301">
        <f t="shared" si="20"/>
        <v>89820.397090575701</v>
      </c>
      <c r="AF121" s="477">
        <f t="shared" si="21"/>
        <v>89820.397090575701</v>
      </c>
      <c r="AI121" s="543">
        <f t="shared" si="6"/>
        <v>43634.769402320133</v>
      </c>
      <c r="AJ121" s="543">
        <f t="shared" si="22"/>
        <v>28578.645243535822</v>
      </c>
      <c r="AK121" s="300">
        <f t="shared" si="23"/>
        <v>11231228.011609074</v>
      </c>
      <c r="AL121" s="543">
        <f t="shared" si="24"/>
        <v>72213.414645855955</v>
      </c>
      <c r="AM121" s="10">
        <f t="shared" si="25"/>
        <v>72213.414645855955</v>
      </c>
      <c r="AP121" s="437">
        <f t="shared" si="26"/>
        <v>146437.06756264943</v>
      </c>
    </row>
    <row r="122" spans="1:42" s="11" customFormat="1" hidden="1" x14ac:dyDescent="0.3">
      <c r="A122" s="775">
        <v>43</v>
      </c>
      <c r="B122" s="775">
        <f t="shared" si="7"/>
        <v>4</v>
      </c>
      <c r="C122" s="891">
        <f t="shared" si="29"/>
        <v>0.14489675614077413</v>
      </c>
      <c r="D122" s="891"/>
      <c r="E122" s="891">
        <f t="shared" si="29"/>
        <v>0.03</v>
      </c>
      <c r="F122" s="891">
        <f t="shared" si="0"/>
        <v>0.03</v>
      </c>
      <c r="G122" s="893">
        <f t="shared" si="9"/>
        <v>10349177.348249111</v>
      </c>
      <c r="H122" s="436">
        <f t="shared" si="1"/>
        <v>40467.42431446469</v>
      </c>
      <c r="I122" s="302">
        <f t="shared" si="2"/>
        <v>0</v>
      </c>
      <c r="J122" s="301">
        <f t="shared" si="27"/>
        <v>26334.863486011844</v>
      </c>
      <c r="K122" s="301">
        <f t="shared" si="10"/>
        <v>66802.287800476537</v>
      </c>
      <c r="L122" s="10">
        <f t="shared" si="11"/>
        <v>66802.287800476537</v>
      </c>
      <c r="M122" s="302"/>
      <c r="N122" s="435">
        <f t="shared" si="12"/>
        <v>66802.287800476508</v>
      </c>
      <c r="O122" s="436">
        <f t="shared" si="3"/>
        <v>0</v>
      </c>
      <c r="P122" s="436">
        <f t="shared" si="13"/>
        <v>0</v>
      </c>
      <c r="R122" s="354">
        <f>+Hirdetmény!$AA$46</f>
        <v>0.13400000000000001</v>
      </c>
      <c r="S122" s="301">
        <f t="shared" si="14"/>
        <v>11462747.10026126</v>
      </c>
      <c r="T122" s="301">
        <f t="shared" si="4"/>
        <v>15673.156736318033</v>
      </c>
      <c r="U122" s="301">
        <f t="shared" si="15"/>
        <v>129955.9108263314</v>
      </c>
      <c r="V122" s="301">
        <f t="shared" si="16"/>
        <v>145629.06756264943</v>
      </c>
      <c r="W122" s="301">
        <f t="shared" si="17"/>
        <v>145629.06756264943</v>
      </c>
      <c r="AA122" s="12">
        <f>+paraméterek!$B$346</f>
        <v>6.4600000000000005E-2</v>
      </c>
      <c r="AB122" s="301">
        <f t="shared" si="18"/>
        <v>10824770.676652921</v>
      </c>
      <c r="AC122" s="301">
        <f t="shared" si="5"/>
        <v>30570.837469857874</v>
      </c>
      <c r="AD122" s="301">
        <f t="shared" si="19"/>
        <v>59249.559620717831</v>
      </c>
      <c r="AE122" s="301">
        <f t="shared" si="20"/>
        <v>89820.397090575701</v>
      </c>
      <c r="AF122" s="477">
        <f t="shared" si="21"/>
        <v>89820.397090575701</v>
      </c>
      <c r="AI122" s="543">
        <f t="shared" si="6"/>
        <v>43745.37142198575</v>
      </c>
      <c r="AJ122" s="543">
        <f t="shared" si="22"/>
        <v>28468.04322387022</v>
      </c>
      <c r="AK122" s="300">
        <f t="shared" si="23"/>
        <v>11187482.640187088</v>
      </c>
      <c r="AL122" s="543">
        <f t="shared" si="24"/>
        <v>72213.41464585597</v>
      </c>
      <c r="AM122" s="10">
        <f t="shared" si="25"/>
        <v>72213.41464585597</v>
      </c>
      <c r="AP122" s="437">
        <f t="shared" si="26"/>
        <v>146437.06756264943</v>
      </c>
    </row>
    <row r="123" spans="1:42" s="11" customFormat="1" hidden="1" x14ac:dyDescent="0.3">
      <c r="A123" s="775">
        <v>44</v>
      </c>
      <c r="B123" s="775">
        <f t="shared" si="7"/>
        <v>4</v>
      </c>
      <c r="C123" s="891">
        <f t="shared" si="29"/>
        <v>0.14489675614077413</v>
      </c>
      <c r="D123" s="891"/>
      <c r="E123" s="891">
        <f t="shared" si="29"/>
        <v>0.03</v>
      </c>
      <c r="F123" s="891">
        <f t="shared" si="0"/>
        <v>0.03</v>
      </c>
      <c r="G123" s="893">
        <f t="shared" si="9"/>
        <v>10308607.35025496</v>
      </c>
      <c r="H123" s="436">
        <f t="shared" si="1"/>
        <v>40569.997994150646</v>
      </c>
      <c r="I123" s="302">
        <f t="shared" si="2"/>
        <v>0</v>
      </c>
      <c r="J123" s="301">
        <f t="shared" si="27"/>
        <v>26232.289806325873</v>
      </c>
      <c r="K123" s="301">
        <f t="shared" si="10"/>
        <v>66802.287800476523</v>
      </c>
      <c r="L123" s="10">
        <f t="shared" si="11"/>
        <v>66802.287800476523</v>
      </c>
      <c r="M123" s="302"/>
      <c r="N123" s="435">
        <f t="shared" si="12"/>
        <v>66802.287800476508</v>
      </c>
      <c r="O123" s="436">
        <f t="shared" si="3"/>
        <v>0</v>
      </c>
      <c r="P123" s="436">
        <f t="shared" si="13"/>
        <v>0</v>
      </c>
      <c r="R123" s="354">
        <f>+Hirdetmény!$AA$46</f>
        <v>0.13400000000000001</v>
      </c>
      <c r="S123" s="301">
        <f t="shared" si="14"/>
        <v>11446896.49581754</v>
      </c>
      <c r="T123" s="301">
        <f t="shared" si="4"/>
        <v>15850.604443719258</v>
      </c>
      <c r="U123" s="301">
        <f t="shared" si="15"/>
        <v>129778.46311893016</v>
      </c>
      <c r="V123" s="301">
        <f t="shared" si="16"/>
        <v>145629.0675626494</v>
      </c>
      <c r="W123" s="301">
        <f t="shared" si="17"/>
        <v>145629.0675626494</v>
      </c>
      <c r="AA123" s="12">
        <f>+paraméterek!$B$346</f>
        <v>6.4600000000000005E-2</v>
      </c>
      <c r="AB123" s="301">
        <f t="shared" si="18"/>
        <v>10794032.980438456</v>
      </c>
      <c r="AC123" s="301">
        <f t="shared" si="5"/>
        <v>30737.696214464766</v>
      </c>
      <c r="AD123" s="301">
        <f t="shared" si="19"/>
        <v>59082.700876110946</v>
      </c>
      <c r="AE123" s="301">
        <f t="shared" si="20"/>
        <v>89820.397090575716</v>
      </c>
      <c r="AF123" s="477">
        <f t="shared" si="21"/>
        <v>89820.397090575716</v>
      </c>
      <c r="AI123" s="543">
        <f t="shared" si="6"/>
        <v>43856.253787048408</v>
      </c>
      <c r="AJ123" s="543">
        <f t="shared" si="22"/>
        <v>28357.160858807551</v>
      </c>
      <c r="AK123" s="300">
        <f t="shared" si="23"/>
        <v>11143626.38640004</v>
      </c>
      <c r="AL123" s="543">
        <f t="shared" si="24"/>
        <v>72213.414645855955</v>
      </c>
      <c r="AM123" s="10">
        <f t="shared" si="25"/>
        <v>72213.414645855955</v>
      </c>
      <c r="AP123" s="437">
        <f t="shared" si="26"/>
        <v>146437.0675626494</v>
      </c>
    </row>
    <row r="124" spans="1:42" s="11" customFormat="1" hidden="1" x14ac:dyDescent="0.3">
      <c r="A124" s="775">
        <v>45</v>
      </c>
      <c r="B124" s="775">
        <f t="shared" si="7"/>
        <v>4</v>
      </c>
      <c r="C124" s="891">
        <f t="shared" si="29"/>
        <v>0.14489675614077413</v>
      </c>
      <c r="D124" s="891"/>
      <c r="E124" s="891">
        <f t="shared" si="29"/>
        <v>0.03</v>
      </c>
      <c r="F124" s="891">
        <f t="shared" si="0"/>
        <v>0.03</v>
      </c>
      <c r="G124" s="893">
        <f t="shared" si="9"/>
        <v>10267934.518585339</v>
      </c>
      <c r="H124" s="436">
        <f t="shared" si="1"/>
        <v>40672.831669621941</v>
      </c>
      <c r="I124" s="302">
        <f t="shared" si="2"/>
        <v>0</v>
      </c>
      <c r="J124" s="301">
        <f t="shared" si="27"/>
        <v>26129.456130854585</v>
      </c>
      <c r="K124" s="301">
        <f t="shared" si="10"/>
        <v>66802.287800476523</v>
      </c>
      <c r="L124" s="10">
        <f t="shared" si="11"/>
        <v>66802.287800476523</v>
      </c>
      <c r="M124" s="302"/>
      <c r="N124" s="435">
        <f t="shared" si="12"/>
        <v>66802.287800476508</v>
      </c>
      <c r="O124" s="436">
        <f t="shared" si="3"/>
        <v>0</v>
      </c>
      <c r="P124" s="436">
        <f t="shared" si="13"/>
        <v>0</v>
      </c>
      <c r="R124" s="354">
        <f>+Hirdetmény!$AA$46</f>
        <v>0.13400000000000001</v>
      </c>
      <c r="S124" s="301">
        <f t="shared" si="14"/>
        <v>11430866.434646195</v>
      </c>
      <c r="T124" s="301">
        <f t="shared" si="4"/>
        <v>16030.061171344792</v>
      </c>
      <c r="U124" s="301">
        <f t="shared" si="15"/>
        <v>129599.00639130462</v>
      </c>
      <c r="V124" s="301">
        <f t="shared" si="16"/>
        <v>145629.0675626494</v>
      </c>
      <c r="W124" s="301">
        <f t="shared" si="17"/>
        <v>145629.0675626494</v>
      </c>
      <c r="AA124" s="12">
        <f>+paraméterek!$B$346</f>
        <v>6.4600000000000005E-2</v>
      </c>
      <c r="AB124" s="301">
        <f t="shared" si="18"/>
        <v>10763127.514747361</v>
      </c>
      <c r="AC124" s="301">
        <f t="shared" si="5"/>
        <v>30905.465691094592</v>
      </c>
      <c r="AD124" s="301">
        <f t="shared" si="19"/>
        <v>58914.931399481102</v>
      </c>
      <c r="AE124" s="301">
        <f t="shared" si="20"/>
        <v>89820.397090575687</v>
      </c>
      <c r="AF124" s="477">
        <f t="shared" si="21"/>
        <v>89820.397090575687</v>
      </c>
      <c r="AI124" s="543">
        <f t="shared" si="6"/>
        <v>43967.417208105857</v>
      </c>
      <c r="AJ124" s="543">
        <f t="shared" si="22"/>
        <v>28245.997437750102</v>
      </c>
      <c r="AK124" s="300">
        <f t="shared" si="23"/>
        <v>11099658.969191935</v>
      </c>
      <c r="AL124" s="543">
        <f t="shared" si="24"/>
        <v>72213.414645855955</v>
      </c>
      <c r="AM124" s="10">
        <f t="shared" si="25"/>
        <v>72213.414645855955</v>
      </c>
      <c r="AP124" s="437">
        <f t="shared" si="26"/>
        <v>146437.0675626494</v>
      </c>
    </row>
    <row r="125" spans="1:42" s="11" customFormat="1" hidden="1" x14ac:dyDescent="0.3">
      <c r="A125" s="775">
        <v>46</v>
      </c>
      <c r="B125" s="775">
        <f t="shared" si="7"/>
        <v>4</v>
      </c>
      <c r="C125" s="891">
        <f t="shared" si="29"/>
        <v>0.14489675614077413</v>
      </c>
      <c r="D125" s="891"/>
      <c r="E125" s="891">
        <f t="shared" si="29"/>
        <v>0.03</v>
      </c>
      <c r="F125" s="891">
        <f t="shared" si="0"/>
        <v>0.03</v>
      </c>
      <c r="G125" s="893">
        <f t="shared" si="9"/>
        <v>10227158.592585444</v>
      </c>
      <c r="H125" s="436">
        <f t="shared" si="1"/>
        <v>40775.925999895633</v>
      </c>
      <c r="I125" s="302">
        <f t="shared" si="2"/>
        <v>0</v>
      </c>
      <c r="J125" s="301">
        <f t="shared" si="27"/>
        <v>26026.361800580893</v>
      </c>
      <c r="K125" s="301">
        <f t="shared" si="10"/>
        <v>66802.287800476523</v>
      </c>
      <c r="L125" s="10">
        <f t="shared" si="11"/>
        <v>66802.287800476523</v>
      </c>
      <c r="M125" s="302"/>
      <c r="N125" s="435">
        <f t="shared" si="12"/>
        <v>66802.287800476508</v>
      </c>
      <c r="O125" s="436">
        <f t="shared" si="3"/>
        <v>0</v>
      </c>
      <c r="P125" s="436">
        <f t="shared" si="13"/>
        <v>0</v>
      </c>
      <c r="R125" s="354">
        <f>+Hirdetmény!$AA$46</f>
        <v>0.13400000000000001</v>
      </c>
      <c r="S125" s="301">
        <f t="shared" si="14"/>
        <v>11414654.884981357</v>
      </c>
      <c r="T125" s="301">
        <f t="shared" si="4"/>
        <v>16211.549664837963</v>
      </c>
      <c r="U125" s="301">
        <f t="shared" si="15"/>
        <v>129417.51789781143</v>
      </c>
      <c r="V125" s="301">
        <f t="shared" si="16"/>
        <v>145629.06756264938</v>
      </c>
      <c r="W125" s="301">
        <f t="shared" si="17"/>
        <v>145629.06756264938</v>
      </c>
      <c r="AA125" s="12">
        <f>+paraméterek!$B$346</f>
        <v>6.4600000000000005E-2</v>
      </c>
      <c r="AB125" s="301">
        <f t="shared" si="18"/>
        <v>10732053.363876745</v>
      </c>
      <c r="AC125" s="301">
        <f t="shared" si="5"/>
        <v>31074.150870615504</v>
      </c>
      <c r="AD125" s="301">
        <f t="shared" si="19"/>
        <v>58746.246219960201</v>
      </c>
      <c r="AE125" s="301">
        <f t="shared" si="20"/>
        <v>89820.397090575701</v>
      </c>
      <c r="AF125" s="477">
        <f t="shared" si="21"/>
        <v>89820.397090575701</v>
      </c>
      <c r="AI125" s="543">
        <f t="shared" si="6"/>
        <v>44078.862397556972</v>
      </c>
      <c r="AJ125" s="543">
        <f t="shared" si="22"/>
        <v>28134.552248299005</v>
      </c>
      <c r="AK125" s="300">
        <f t="shared" si="23"/>
        <v>11055580.106794378</v>
      </c>
      <c r="AL125" s="543">
        <f t="shared" si="24"/>
        <v>72213.414645855984</v>
      </c>
      <c r="AM125" s="10">
        <f t="shared" si="25"/>
        <v>72213.414645855984</v>
      </c>
      <c r="AP125" s="437">
        <f t="shared" si="26"/>
        <v>146437.06756264938</v>
      </c>
    </row>
    <row r="126" spans="1:42" s="11" customFormat="1" hidden="1" x14ac:dyDescent="0.3">
      <c r="A126" s="775">
        <v>47</v>
      </c>
      <c r="B126" s="775">
        <f t="shared" si="7"/>
        <v>4</v>
      </c>
      <c r="C126" s="891">
        <f t="shared" si="29"/>
        <v>0.14489675614077413</v>
      </c>
      <c r="D126" s="891"/>
      <c r="E126" s="891">
        <f t="shared" si="29"/>
        <v>0.03</v>
      </c>
      <c r="F126" s="891">
        <f t="shared" si="0"/>
        <v>0.03</v>
      </c>
      <c r="G126" s="893">
        <f t="shared" si="9"/>
        <v>10186279.310939785</v>
      </c>
      <c r="H126" s="436">
        <f t="shared" si="1"/>
        <v>40879.281645659255</v>
      </c>
      <c r="I126" s="302">
        <f t="shared" si="2"/>
        <v>0</v>
      </c>
      <c r="J126" s="301">
        <f t="shared" si="27"/>
        <v>25923.006154817271</v>
      </c>
      <c r="K126" s="301">
        <f t="shared" si="10"/>
        <v>66802.287800476523</v>
      </c>
      <c r="L126" s="10">
        <f t="shared" si="11"/>
        <v>66802.287800476523</v>
      </c>
      <c r="M126" s="302"/>
      <c r="N126" s="435">
        <f t="shared" si="12"/>
        <v>66802.287800476508</v>
      </c>
      <c r="O126" s="436">
        <f t="shared" si="3"/>
        <v>0</v>
      </c>
      <c r="P126" s="436">
        <f t="shared" si="13"/>
        <v>0</v>
      </c>
      <c r="R126" s="354">
        <f>+Hirdetmény!$AA$46</f>
        <v>0.13400000000000001</v>
      </c>
      <c r="S126" s="301">
        <f t="shared" si="14"/>
        <v>11398259.792053994</v>
      </c>
      <c r="T126" s="301">
        <f t="shared" si="4"/>
        <v>16395.092927362777</v>
      </c>
      <c r="U126" s="301">
        <f t="shared" si="15"/>
        <v>129233.97463528664</v>
      </c>
      <c r="V126" s="301">
        <f t="shared" si="16"/>
        <v>145629.0675626494</v>
      </c>
      <c r="W126" s="301">
        <f t="shared" si="17"/>
        <v>145629.0675626494</v>
      </c>
      <c r="AA126" s="12">
        <f>+paraméterek!$B$346</f>
        <v>6.4600000000000005E-2</v>
      </c>
      <c r="AB126" s="301">
        <f t="shared" si="18"/>
        <v>10700809.607125718</v>
      </c>
      <c r="AC126" s="301">
        <f t="shared" si="5"/>
        <v>31243.756751027126</v>
      </c>
      <c r="AD126" s="301">
        <f t="shared" si="19"/>
        <v>58576.640339548569</v>
      </c>
      <c r="AE126" s="301">
        <f t="shared" si="20"/>
        <v>89820.397090575687</v>
      </c>
      <c r="AF126" s="477">
        <f t="shared" si="21"/>
        <v>89820.397090575687</v>
      </c>
      <c r="AI126" s="543">
        <f t="shared" si="6"/>
        <v>44190.590069606325</v>
      </c>
      <c r="AJ126" s="543">
        <f t="shared" si="22"/>
        <v>28022.824576249637</v>
      </c>
      <c r="AK126" s="300">
        <f t="shared" si="23"/>
        <v>11011389.516724771</v>
      </c>
      <c r="AL126" s="543">
        <f t="shared" si="24"/>
        <v>72213.414645855955</v>
      </c>
      <c r="AM126" s="10">
        <f t="shared" si="25"/>
        <v>72213.414645855955</v>
      </c>
      <c r="AP126" s="437">
        <f t="shared" si="26"/>
        <v>146437.0675626494</v>
      </c>
    </row>
    <row r="127" spans="1:42" s="11" customFormat="1" hidden="1" x14ac:dyDescent="0.3">
      <c r="A127" s="775">
        <v>48</v>
      </c>
      <c r="B127" s="775">
        <f t="shared" si="7"/>
        <v>4</v>
      </c>
      <c r="C127" s="891">
        <f t="shared" si="29"/>
        <v>0.14489675614077413</v>
      </c>
      <c r="D127" s="891"/>
      <c r="E127" s="891">
        <f t="shared" si="29"/>
        <v>0.03</v>
      </c>
      <c r="F127" s="891">
        <f t="shared" si="0"/>
        <v>0.03</v>
      </c>
      <c r="G127" s="893">
        <f t="shared" si="9"/>
        <v>10145296.41167051</v>
      </c>
      <c r="H127" s="436">
        <f t="shared" si="1"/>
        <v>40982.899269274989</v>
      </c>
      <c r="I127" s="302">
        <f t="shared" si="2"/>
        <v>0</v>
      </c>
      <c r="J127" s="301">
        <f t="shared" si="27"/>
        <v>25819.388531201541</v>
      </c>
      <c r="K127" s="301">
        <f t="shared" si="10"/>
        <v>66802.287800476537</v>
      </c>
      <c r="L127" s="10">
        <f t="shared" si="11"/>
        <v>66802.287800476537</v>
      </c>
      <c r="M127" s="302"/>
      <c r="N127" s="435">
        <f t="shared" si="12"/>
        <v>66802.287800476508</v>
      </c>
      <c r="O127" s="436">
        <f t="shared" si="3"/>
        <v>0</v>
      </c>
      <c r="P127" s="436">
        <f t="shared" si="13"/>
        <v>0</v>
      </c>
      <c r="R127" s="354">
        <f>+Hirdetmény!$AA$46</f>
        <v>0.13400000000000001</v>
      </c>
      <c r="S127" s="301">
        <f t="shared" si="14"/>
        <v>11381679.077831475</v>
      </c>
      <c r="T127" s="301">
        <f t="shared" si="4"/>
        <v>16580.714222519568</v>
      </c>
      <c r="U127" s="301">
        <f t="shared" si="15"/>
        <v>129048.35334012982</v>
      </c>
      <c r="V127" s="301">
        <f t="shared" si="16"/>
        <v>145629.06756264938</v>
      </c>
      <c r="W127" s="301">
        <f t="shared" si="17"/>
        <v>145629.06756264938</v>
      </c>
      <c r="AA127" s="12">
        <f>+paraméterek!$B$346</f>
        <v>6.4600000000000005E-2</v>
      </c>
      <c r="AB127" s="301">
        <f t="shared" si="18"/>
        <v>10669395.31876811</v>
      </c>
      <c r="AC127" s="301">
        <f t="shared" si="5"/>
        <v>31414.28835760873</v>
      </c>
      <c r="AD127" s="301">
        <f t="shared" si="19"/>
        <v>58406.108732966975</v>
      </c>
      <c r="AE127" s="301">
        <f t="shared" si="20"/>
        <v>89820.397090575701</v>
      </c>
      <c r="AF127" s="477">
        <f t="shared" si="21"/>
        <v>89820.397090575701</v>
      </c>
      <c r="AI127" s="543">
        <f t="shared" si="6"/>
        <v>44302.600940268872</v>
      </c>
      <c r="AJ127" s="543">
        <f t="shared" si="22"/>
        <v>27910.813705587094</v>
      </c>
      <c r="AK127" s="300">
        <f t="shared" si="23"/>
        <v>10967086.915784502</v>
      </c>
      <c r="AL127" s="543">
        <f t="shared" si="24"/>
        <v>72213.41464585597</v>
      </c>
      <c r="AM127" s="10">
        <f t="shared" si="25"/>
        <v>72213.41464585597</v>
      </c>
      <c r="AP127" s="437">
        <f t="shared" si="26"/>
        <v>146437.06756264938</v>
      </c>
    </row>
    <row r="128" spans="1:42" s="11" customFormat="1" hidden="1" x14ac:dyDescent="0.3">
      <c r="A128" s="775">
        <v>49</v>
      </c>
      <c r="B128" s="775">
        <f t="shared" si="7"/>
        <v>5</v>
      </c>
      <c r="C128" s="891">
        <f t="shared" si="29"/>
        <v>0.14489675614077413</v>
      </c>
      <c r="D128" s="891"/>
      <c r="E128" s="891">
        <f t="shared" si="29"/>
        <v>0.03</v>
      </c>
      <c r="F128" s="891">
        <f t="shared" si="0"/>
        <v>0.03</v>
      </c>
      <c r="G128" s="893">
        <f t="shared" si="9"/>
        <v>10104209.632135727</v>
      </c>
      <c r="H128" s="436">
        <f t="shared" si="1"/>
        <v>41086.779534783913</v>
      </c>
      <c r="I128" s="302">
        <f t="shared" si="2"/>
        <v>0</v>
      </c>
      <c r="J128" s="301">
        <f t="shared" si="27"/>
        <v>25715.508265692613</v>
      </c>
      <c r="K128" s="301">
        <f t="shared" si="10"/>
        <v>66802.287800476523</v>
      </c>
      <c r="L128" s="10">
        <f t="shared" si="11"/>
        <v>66802.287800476523</v>
      </c>
      <c r="M128" s="302"/>
      <c r="N128" s="435">
        <f t="shared" si="12"/>
        <v>66802.287800476508</v>
      </c>
      <c r="O128" s="436">
        <f t="shared" si="3"/>
        <v>0</v>
      </c>
      <c r="P128" s="436">
        <f t="shared" si="13"/>
        <v>0</v>
      </c>
      <c r="R128" s="354">
        <f>+Hirdetmény!$AA$46</f>
        <v>0.13400000000000001</v>
      </c>
      <c r="S128" s="301">
        <f t="shared" si="14"/>
        <v>11364910.640754182</v>
      </c>
      <c r="T128" s="301">
        <f t="shared" si="4"/>
        <v>16768.437077293507</v>
      </c>
      <c r="U128" s="301">
        <f t="shared" si="15"/>
        <v>128860.63048535591</v>
      </c>
      <c r="V128" s="301">
        <f t="shared" si="16"/>
        <v>145629.06756264943</v>
      </c>
      <c r="W128" s="301">
        <f t="shared" si="17"/>
        <v>145629.06756264943</v>
      </c>
      <c r="AA128" s="12">
        <f>+paraméterek!$B$346</f>
        <v>6.4600000000000005E-2</v>
      </c>
      <c r="AB128" s="301">
        <f t="shared" si="18"/>
        <v>10637809.568025041</v>
      </c>
      <c r="AC128" s="301">
        <f t="shared" si="5"/>
        <v>31585.750743067998</v>
      </c>
      <c r="AD128" s="301">
        <f t="shared" si="19"/>
        <v>58234.646347507703</v>
      </c>
      <c r="AE128" s="301">
        <f t="shared" si="20"/>
        <v>89820.397090575701</v>
      </c>
      <c r="AF128" s="477">
        <f t="shared" si="21"/>
        <v>89820.397090575701</v>
      </c>
      <c r="AI128" s="543">
        <f t="shared" si="6"/>
        <v>44414.895727374409</v>
      </c>
      <c r="AJ128" s="543">
        <f t="shared" si="22"/>
        <v>27798.51891848155</v>
      </c>
      <c r="AK128" s="300">
        <f t="shared" si="23"/>
        <v>10922672.020057129</v>
      </c>
      <c r="AL128" s="543">
        <f t="shared" si="24"/>
        <v>72213.414645855955</v>
      </c>
      <c r="AM128" s="10">
        <f t="shared" si="25"/>
        <v>72213.414645855955</v>
      </c>
      <c r="AP128" s="437">
        <f t="shared" si="26"/>
        <v>146437.06756264943</v>
      </c>
    </row>
    <row r="129" spans="1:42" s="11" customFormat="1" hidden="1" x14ac:dyDescent="0.3">
      <c r="A129" s="775">
        <v>50</v>
      </c>
      <c r="B129" s="775">
        <f t="shared" si="7"/>
        <v>5</v>
      </c>
      <c r="C129" s="891">
        <f t="shared" ref="C129:E144" si="30">+C128</f>
        <v>0.14489675614077413</v>
      </c>
      <c r="D129" s="891"/>
      <c r="E129" s="891">
        <f t="shared" si="30"/>
        <v>0.03</v>
      </c>
      <c r="F129" s="891">
        <f t="shared" si="0"/>
        <v>0.03</v>
      </c>
      <c r="G129" s="893">
        <f t="shared" si="9"/>
        <v>10063018.709027816</v>
      </c>
      <c r="H129" s="436">
        <f t="shared" si="1"/>
        <v>41190.923107910276</v>
      </c>
      <c r="I129" s="302">
        <f t="shared" si="2"/>
        <v>0</v>
      </c>
      <c r="J129" s="301">
        <f t="shared" si="27"/>
        <v>25611.364692566251</v>
      </c>
      <c r="K129" s="301">
        <f t="shared" si="10"/>
        <v>66802.287800476523</v>
      </c>
      <c r="L129" s="10">
        <f t="shared" si="11"/>
        <v>66802.287800476523</v>
      </c>
      <c r="M129" s="302"/>
      <c r="N129" s="435">
        <f t="shared" si="12"/>
        <v>66802.287800476508</v>
      </c>
      <c r="O129" s="436">
        <f t="shared" si="3"/>
        <v>0</v>
      </c>
      <c r="P129" s="436">
        <f t="shared" si="13"/>
        <v>0</v>
      </c>
      <c r="R129" s="354">
        <f>+Hirdetmény!$AA$46</f>
        <v>0.13400000000000001</v>
      </c>
      <c r="S129" s="301">
        <f t="shared" si="14"/>
        <v>11347952.355469145</v>
      </c>
      <c r="T129" s="301">
        <f t="shared" si="4"/>
        <v>16958.285285036665</v>
      </c>
      <c r="U129" s="301">
        <f t="shared" si="15"/>
        <v>128670.78227761277</v>
      </c>
      <c r="V129" s="301">
        <f t="shared" si="16"/>
        <v>145629.06756264943</v>
      </c>
      <c r="W129" s="301">
        <f t="shared" si="17"/>
        <v>145629.06756264943</v>
      </c>
      <c r="AA129" s="12">
        <f>+paraméterek!$B$346</f>
        <v>6.4600000000000005E-2</v>
      </c>
      <c r="AB129" s="301">
        <f t="shared" si="18"/>
        <v>10606051.419037351</v>
      </c>
      <c r="AC129" s="301">
        <f t="shared" si="5"/>
        <v>31758.148987690871</v>
      </c>
      <c r="AD129" s="301">
        <f t="shared" si="19"/>
        <v>58062.248102884834</v>
      </c>
      <c r="AE129" s="301">
        <f t="shared" si="20"/>
        <v>89820.397090575701</v>
      </c>
      <c r="AF129" s="477">
        <f t="shared" si="21"/>
        <v>89820.397090575701</v>
      </c>
      <c r="AI129" s="543">
        <f t="shared" si="6"/>
        <v>44527.475150572274</v>
      </c>
      <c r="AJ129" s="543">
        <f t="shared" si="22"/>
        <v>27685.939495283696</v>
      </c>
      <c r="AK129" s="300">
        <f t="shared" si="23"/>
        <v>10878144.544906557</v>
      </c>
      <c r="AL129" s="543">
        <f t="shared" si="24"/>
        <v>72213.41464585597</v>
      </c>
      <c r="AM129" s="10">
        <f t="shared" si="25"/>
        <v>72213.41464585597</v>
      </c>
      <c r="AP129" s="437">
        <f t="shared" si="26"/>
        <v>146437.06756264943</v>
      </c>
    </row>
    <row r="130" spans="1:42" s="11" customFormat="1" hidden="1" x14ac:dyDescent="0.3">
      <c r="A130" s="775">
        <v>51</v>
      </c>
      <c r="B130" s="775">
        <f t="shared" si="7"/>
        <v>5</v>
      </c>
      <c r="C130" s="891">
        <f t="shared" si="30"/>
        <v>0.14489675614077413</v>
      </c>
      <c r="D130" s="891"/>
      <c r="E130" s="891">
        <f t="shared" si="30"/>
        <v>0.03</v>
      </c>
      <c r="F130" s="891">
        <f t="shared" si="0"/>
        <v>0.03</v>
      </c>
      <c r="G130" s="893">
        <f t="shared" si="9"/>
        <v>10021723.378371749</v>
      </c>
      <c r="H130" s="436">
        <f t="shared" si="1"/>
        <v>41295.330656065751</v>
      </c>
      <c r="I130" s="302">
        <f t="shared" si="2"/>
        <v>0</v>
      </c>
      <c r="J130" s="301">
        <f t="shared" si="27"/>
        <v>25506.957144410782</v>
      </c>
      <c r="K130" s="301">
        <f t="shared" si="10"/>
        <v>66802.287800476537</v>
      </c>
      <c r="L130" s="10">
        <f t="shared" si="11"/>
        <v>66802.287800476537</v>
      </c>
      <c r="M130" s="302"/>
      <c r="N130" s="435">
        <f t="shared" si="12"/>
        <v>66802.287800476508</v>
      </c>
      <c r="O130" s="436">
        <f t="shared" si="3"/>
        <v>0</v>
      </c>
      <c r="P130" s="436">
        <f t="shared" si="13"/>
        <v>0</v>
      </c>
      <c r="R130" s="354">
        <f>+Hirdetmény!$AA$46</f>
        <v>0.13400000000000001</v>
      </c>
      <c r="S130" s="301">
        <f t="shared" si="14"/>
        <v>11330802.072560661</v>
      </c>
      <c r="T130" s="301">
        <f t="shared" si="4"/>
        <v>17150.282908483681</v>
      </c>
      <c r="U130" s="301">
        <f t="shared" si="15"/>
        <v>128478.78465416573</v>
      </c>
      <c r="V130" s="301">
        <f t="shared" si="16"/>
        <v>145629.0675626494</v>
      </c>
      <c r="W130" s="301">
        <f t="shared" si="17"/>
        <v>145629.0675626494</v>
      </c>
      <c r="AA130" s="12">
        <f>+paraméterek!$B$346</f>
        <v>6.4600000000000005E-2</v>
      </c>
      <c r="AB130" s="301">
        <f t="shared" si="18"/>
        <v>10574119.93083786</v>
      </c>
      <c r="AC130" s="301">
        <f t="shared" si="5"/>
        <v>31931.488199491963</v>
      </c>
      <c r="AD130" s="301">
        <f t="shared" si="19"/>
        <v>57888.908891083738</v>
      </c>
      <c r="AE130" s="301">
        <f t="shared" si="20"/>
        <v>89820.397090575701</v>
      </c>
      <c r="AF130" s="477">
        <f t="shared" si="21"/>
        <v>89820.397090575701</v>
      </c>
      <c r="AI130" s="543">
        <f t="shared" si="6"/>
        <v>44640.33993133589</v>
      </c>
      <c r="AJ130" s="543">
        <f t="shared" si="22"/>
        <v>27573.074714520091</v>
      </c>
      <c r="AK130" s="300">
        <f t="shared" si="23"/>
        <v>10833504.204975221</v>
      </c>
      <c r="AL130" s="543">
        <f t="shared" si="24"/>
        <v>72213.414645855984</v>
      </c>
      <c r="AM130" s="10">
        <f t="shared" si="25"/>
        <v>72213.414645855984</v>
      </c>
      <c r="AP130" s="437">
        <f t="shared" si="26"/>
        <v>146437.0675626494</v>
      </c>
    </row>
    <row r="131" spans="1:42" s="11" customFormat="1" hidden="1" x14ac:dyDescent="0.3">
      <c r="A131" s="775">
        <v>52</v>
      </c>
      <c r="B131" s="775">
        <f t="shared" si="7"/>
        <v>5</v>
      </c>
      <c r="C131" s="891">
        <f t="shared" si="30"/>
        <v>0.14489675614077413</v>
      </c>
      <c r="D131" s="891"/>
      <c r="E131" s="891">
        <f t="shared" si="30"/>
        <v>0.03</v>
      </c>
      <c r="F131" s="891">
        <f t="shared" si="0"/>
        <v>0.03</v>
      </c>
      <c r="G131" s="893">
        <f t="shared" si="9"/>
        <v>9980323.3755233958</v>
      </c>
      <c r="H131" s="436">
        <f t="shared" si="1"/>
        <v>41400.002848353688</v>
      </c>
      <c r="I131" s="302">
        <f t="shared" si="2"/>
        <v>0</v>
      </c>
      <c r="J131" s="301">
        <f t="shared" si="27"/>
        <v>25402.284952122835</v>
      </c>
      <c r="K131" s="301">
        <f t="shared" si="10"/>
        <v>66802.287800476523</v>
      </c>
      <c r="L131" s="10">
        <f t="shared" si="11"/>
        <v>66802.287800476523</v>
      </c>
      <c r="M131" s="302"/>
      <c r="N131" s="435">
        <f t="shared" si="12"/>
        <v>66802.287800476508</v>
      </c>
      <c r="O131" s="436">
        <f t="shared" si="3"/>
        <v>0</v>
      </c>
      <c r="P131" s="436">
        <f t="shared" si="13"/>
        <v>0</v>
      </c>
      <c r="R131" s="354">
        <f>+Hirdetmény!$AA$46</f>
        <v>0.13400000000000001</v>
      </c>
      <c r="S131" s="301">
        <f t="shared" si="14"/>
        <v>11313457.618277859</v>
      </c>
      <c r="T131" s="301">
        <f t="shared" si="4"/>
        <v>17344.454282801726</v>
      </c>
      <c r="U131" s="301">
        <f t="shared" si="15"/>
        <v>128284.61327984769</v>
      </c>
      <c r="V131" s="301">
        <f t="shared" si="16"/>
        <v>145629.0675626494</v>
      </c>
      <c r="W131" s="301">
        <f t="shared" si="17"/>
        <v>145629.0675626494</v>
      </c>
      <c r="AA131" s="12">
        <f>+paraméterek!$B$346</f>
        <v>6.4600000000000005E-2</v>
      </c>
      <c r="AB131" s="301">
        <f t="shared" si="18"/>
        <v>10542014.157323495</v>
      </c>
      <c r="AC131" s="301">
        <f t="shared" si="5"/>
        <v>32105.773514366007</v>
      </c>
      <c r="AD131" s="301">
        <f t="shared" si="19"/>
        <v>57714.623576209706</v>
      </c>
      <c r="AE131" s="301">
        <f t="shared" si="20"/>
        <v>89820.397090575716</v>
      </c>
      <c r="AF131" s="477">
        <f t="shared" si="21"/>
        <v>89820.397090575716</v>
      </c>
      <c r="AI131" s="543">
        <f t="shared" si="6"/>
        <v>44753.490792967401</v>
      </c>
      <c r="AJ131" s="543">
        <f t="shared" si="22"/>
        <v>27459.923852888583</v>
      </c>
      <c r="AK131" s="300">
        <f t="shared" si="23"/>
        <v>10788750.714182254</v>
      </c>
      <c r="AL131" s="543">
        <f t="shared" si="24"/>
        <v>72213.414645855984</v>
      </c>
      <c r="AM131" s="10">
        <f t="shared" si="25"/>
        <v>72213.414645855984</v>
      </c>
      <c r="AP131" s="437">
        <f t="shared" si="26"/>
        <v>146437.0675626494</v>
      </c>
    </row>
    <row r="132" spans="1:42" s="11" customFormat="1" hidden="1" x14ac:dyDescent="0.3">
      <c r="A132" s="775">
        <v>53</v>
      </c>
      <c r="B132" s="775">
        <f t="shared" si="7"/>
        <v>5</v>
      </c>
      <c r="C132" s="891">
        <f t="shared" si="30"/>
        <v>0.14489675614077413</v>
      </c>
      <c r="D132" s="891"/>
      <c r="E132" s="891">
        <f t="shared" si="30"/>
        <v>0.03</v>
      </c>
      <c r="F132" s="891">
        <f t="shared" si="0"/>
        <v>0.03</v>
      </c>
      <c r="G132" s="893">
        <f t="shared" si="9"/>
        <v>9938818.435167823</v>
      </c>
      <c r="H132" s="436">
        <f t="shared" si="1"/>
        <v>41504.940355573475</v>
      </c>
      <c r="I132" s="302">
        <f t="shared" si="2"/>
        <v>0</v>
      </c>
      <c r="J132" s="301">
        <f t="shared" si="27"/>
        <v>25297.347444903051</v>
      </c>
      <c r="K132" s="301">
        <f t="shared" si="10"/>
        <v>66802.287800476523</v>
      </c>
      <c r="L132" s="10">
        <f t="shared" si="11"/>
        <v>66802.287800476523</v>
      </c>
      <c r="M132" s="302"/>
      <c r="N132" s="435">
        <f t="shared" si="12"/>
        <v>66802.287800476508</v>
      </c>
      <c r="O132" s="436">
        <f t="shared" si="3"/>
        <v>0</v>
      </c>
      <c r="P132" s="436">
        <f t="shared" si="13"/>
        <v>0</v>
      </c>
      <c r="R132" s="354">
        <f>+Hirdetmény!$AA$46</f>
        <v>0.13400000000000001</v>
      </c>
      <c r="S132" s="301">
        <f t="shared" si="14"/>
        <v>11295916.794259185</v>
      </c>
      <c r="T132" s="301">
        <f t="shared" si="4"/>
        <v>17540.824018674841</v>
      </c>
      <c r="U132" s="301">
        <f t="shared" si="15"/>
        <v>128088.24354397456</v>
      </c>
      <c r="V132" s="301">
        <f t="shared" si="16"/>
        <v>145629.0675626494</v>
      </c>
      <c r="W132" s="301">
        <f t="shared" si="17"/>
        <v>145629.0675626494</v>
      </c>
      <c r="AA132" s="12">
        <f>+paraméterek!$B$346</f>
        <v>6.4600000000000005E-2</v>
      </c>
      <c r="AB132" s="301">
        <f t="shared" si="18"/>
        <v>10509733.147227254</v>
      </c>
      <c r="AC132" s="301">
        <f t="shared" si="5"/>
        <v>32281.010096239897</v>
      </c>
      <c r="AD132" s="301">
        <f t="shared" si="19"/>
        <v>57539.386994335815</v>
      </c>
      <c r="AE132" s="301">
        <f t="shared" si="20"/>
        <v>89820.397090575716</v>
      </c>
      <c r="AF132" s="477">
        <f t="shared" si="21"/>
        <v>89820.397090575716</v>
      </c>
      <c r="AI132" s="543">
        <f t="shared" si="6"/>
        <v>44866.928460602358</v>
      </c>
      <c r="AJ132" s="543">
        <f t="shared" si="22"/>
        <v>27346.486185253634</v>
      </c>
      <c r="AK132" s="300">
        <f t="shared" si="23"/>
        <v>10743883.785721652</v>
      </c>
      <c r="AL132" s="543">
        <f t="shared" si="24"/>
        <v>72213.414645855984</v>
      </c>
      <c r="AM132" s="10">
        <f t="shared" si="25"/>
        <v>72213.414645855984</v>
      </c>
      <c r="AP132" s="437">
        <f t="shared" si="26"/>
        <v>146437.0675626494</v>
      </c>
    </row>
    <row r="133" spans="1:42" s="11" customFormat="1" hidden="1" x14ac:dyDescent="0.3">
      <c r="A133" s="775">
        <v>54</v>
      </c>
      <c r="B133" s="775">
        <f t="shared" si="7"/>
        <v>5</v>
      </c>
      <c r="C133" s="891">
        <f t="shared" si="30"/>
        <v>0.14489675614077413</v>
      </c>
      <c r="D133" s="891"/>
      <c r="E133" s="891">
        <f t="shared" si="30"/>
        <v>0.03</v>
      </c>
      <c r="F133" s="891">
        <f t="shared" si="0"/>
        <v>0.03</v>
      </c>
      <c r="G133" s="893">
        <f t="shared" si="9"/>
        <v>9897208.2913175989</v>
      </c>
      <c r="H133" s="436">
        <f t="shared" si="1"/>
        <v>41610.143850224755</v>
      </c>
      <c r="I133" s="302">
        <f t="shared" si="2"/>
        <v>0</v>
      </c>
      <c r="J133" s="301">
        <f t="shared" si="27"/>
        <v>25192.143950251771</v>
      </c>
      <c r="K133" s="301">
        <f t="shared" si="10"/>
        <v>66802.287800476523</v>
      </c>
      <c r="L133" s="10">
        <f t="shared" si="11"/>
        <v>66802.287800476523</v>
      </c>
      <c r="M133" s="302"/>
      <c r="N133" s="435">
        <f t="shared" si="12"/>
        <v>66802.287800476508</v>
      </c>
      <c r="O133" s="436">
        <f t="shared" si="3"/>
        <v>0</v>
      </c>
      <c r="P133" s="436">
        <f t="shared" si="13"/>
        <v>0</v>
      </c>
      <c r="R133" s="354">
        <f>+Hirdetmény!$AA$46</f>
        <v>0.13400000000000001</v>
      </c>
      <c r="S133" s="301">
        <f t="shared" si="14"/>
        <v>11278177.377253762</v>
      </c>
      <c r="T133" s="301">
        <f t="shared" si="4"/>
        <v>17739.417005423304</v>
      </c>
      <c r="U133" s="301">
        <f t="shared" si="15"/>
        <v>127889.65055722612</v>
      </c>
      <c r="V133" s="301">
        <f t="shared" si="16"/>
        <v>145629.06756264943</v>
      </c>
      <c r="W133" s="301">
        <f t="shared" si="17"/>
        <v>145629.06756264943</v>
      </c>
      <c r="AA133" s="12">
        <f>+paraméterek!$B$346</f>
        <v>6.4600000000000005E-2</v>
      </c>
      <c r="AB133" s="301">
        <f t="shared" si="18"/>
        <v>10477275.944090027</v>
      </c>
      <c r="AC133" s="301">
        <f t="shared" si="5"/>
        <v>32457.203137225843</v>
      </c>
      <c r="AD133" s="301">
        <f t="shared" si="19"/>
        <v>57363.193953349866</v>
      </c>
      <c r="AE133" s="301">
        <f t="shared" si="20"/>
        <v>89820.397090575716</v>
      </c>
      <c r="AF133" s="477">
        <f t="shared" si="21"/>
        <v>89820.397090575716</v>
      </c>
      <c r="AI133" s="543">
        <f t="shared" si="6"/>
        <v>44980.653661214295</v>
      </c>
      <c r="AJ133" s="543">
        <f t="shared" si="22"/>
        <v>27232.760984641689</v>
      </c>
      <c r="AK133" s="300">
        <f t="shared" si="23"/>
        <v>10698903.132060438</v>
      </c>
      <c r="AL133" s="543">
        <f t="shared" si="24"/>
        <v>72213.414645855984</v>
      </c>
      <c r="AM133" s="10">
        <f t="shared" si="25"/>
        <v>72213.414645855984</v>
      </c>
      <c r="AP133" s="437">
        <f t="shared" si="26"/>
        <v>146437.06756264943</v>
      </c>
    </row>
    <row r="134" spans="1:42" s="11" customFormat="1" hidden="1" x14ac:dyDescent="0.3">
      <c r="A134" s="775">
        <v>55</v>
      </c>
      <c r="B134" s="775">
        <f t="shared" si="7"/>
        <v>5</v>
      </c>
      <c r="C134" s="891">
        <f t="shared" si="30"/>
        <v>0.14489675614077413</v>
      </c>
      <c r="D134" s="891"/>
      <c r="E134" s="891">
        <f t="shared" si="30"/>
        <v>0.03</v>
      </c>
      <c r="F134" s="891">
        <f t="shared" si="0"/>
        <v>0.03</v>
      </c>
      <c r="G134" s="893">
        <f t="shared" si="9"/>
        <v>9855492.677311087</v>
      </c>
      <c r="H134" s="436">
        <f t="shared" si="1"/>
        <v>41715.61400651178</v>
      </c>
      <c r="I134" s="302">
        <f t="shared" si="2"/>
        <v>0</v>
      </c>
      <c r="J134" s="301">
        <f t="shared" si="27"/>
        <v>25086.673793964746</v>
      </c>
      <c r="K134" s="301">
        <f t="shared" si="10"/>
        <v>66802.287800476523</v>
      </c>
      <c r="L134" s="10">
        <f t="shared" si="11"/>
        <v>66802.287800476523</v>
      </c>
      <c r="M134" s="302"/>
      <c r="N134" s="435">
        <f t="shared" si="12"/>
        <v>66802.287800476508</v>
      </c>
      <c r="O134" s="436">
        <f t="shared" si="3"/>
        <v>0</v>
      </c>
      <c r="P134" s="436">
        <f t="shared" si="13"/>
        <v>0</v>
      </c>
      <c r="R134" s="354">
        <f>+Hirdetmény!$AA$46</f>
        <v>0.13400000000000001</v>
      </c>
      <c r="S134" s="301">
        <f t="shared" si="14"/>
        <v>11260237.118839603</v>
      </c>
      <c r="T134" s="301">
        <f t="shared" si="4"/>
        <v>17940.258414158321</v>
      </c>
      <c r="U134" s="301">
        <f t="shared" si="15"/>
        <v>127688.80914849108</v>
      </c>
      <c r="V134" s="301">
        <f t="shared" si="16"/>
        <v>145629.0675626494</v>
      </c>
      <c r="W134" s="301">
        <f t="shared" si="17"/>
        <v>145629.0675626494</v>
      </c>
      <c r="AA134" s="12">
        <f>+paraméterek!$B$346</f>
        <v>6.4600000000000005E-2</v>
      </c>
      <c r="AB134" s="301">
        <f t="shared" si="18"/>
        <v>10444641.586232252</v>
      </c>
      <c r="AC134" s="301">
        <f t="shared" si="5"/>
        <v>32634.357857775056</v>
      </c>
      <c r="AD134" s="301">
        <f t="shared" si="19"/>
        <v>57186.039232800642</v>
      </c>
      <c r="AE134" s="301">
        <f t="shared" si="20"/>
        <v>89820.397090575701</v>
      </c>
      <c r="AF134" s="477">
        <f t="shared" si="21"/>
        <v>89820.397090575701</v>
      </c>
      <c r="AI134" s="543">
        <f t="shared" si="6"/>
        <v>45094.667123619445</v>
      </c>
      <c r="AJ134" s="543">
        <f t="shared" si="22"/>
        <v>27118.747522236528</v>
      </c>
      <c r="AK134" s="300">
        <f t="shared" si="23"/>
        <v>10653808.464936819</v>
      </c>
      <c r="AL134" s="543">
        <f t="shared" si="24"/>
        <v>72213.41464585597</v>
      </c>
      <c r="AM134" s="10">
        <f t="shared" si="25"/>
        <v>72213.41464585597</v>
      </c>
      <c r="AP134" s="437">
        <f t="shared" si="26"/>
        <v>146437.0675626494</v>
      </c>
    </row>
    <row r="135" spans="1:42" s="11" customFormat="1" hidden="1" x14ac:dyDescent="0.3">
      <c r="A135" s="775">
        <v>56</v>
      </c>
      <c r="B135" s="775">
        <f t="shared" si="7"/>
        <v>5</v>
      </c>
      <c r="C135" s="891">
        <f t="shared" si="30"/>
        <v>0.14489675614077413</v>
      </c>
      <c r="D135" s="891"/>
      <c r="E135" s="891">
        <f t="shared" si="30"/>
        <v>0.03</v>
      </c>
      <c r="F135" s="891">
        <f t="shared" si="0"/>
        <v>0.03</v>
      </c>
      <c r="G135" s="893">
        <f t="shared" si="9"/>
        <v>9813671.3258107398</v>
      </c>
      <c r="H135" s="436">
        <f t="shared" si="1"/>
        <v>41821.35150034773</v>
      </c>
      <c r="I135" s="302">
        <f t="shared" si="2"/>
        <v>0</v>
      </c>
      <c r="J135" s="301">
        <f t="shared" si="27"/>
        <v>24980.9363001288</v>
      </c>
      <c r="K135" s="301">
        <f t="shared" si="10"/>
        <v>66802.287800476537</v>
      </c>
      <c r="L135" s="10">
        <f t="shared" si="11"/>
        <v>66802.287800476537</v>
      </c>
      <c r="M135" s="302"/>
      <c r="N135" s="435">
        <f t="shared" si="12"/>
        <v>66802.287800476508</v>
      </c>
      <c r="O135" s="436">
        <f t="shared" si="3"/>
        <v>0</v>
      </c>
      <c r="P135" s="436">
        <f t="shared" si="13"/>
        <v>0</v>
      </c>
      <c r="R135" s="354">
        <f>+Hirdetmény!$AA$46</f>
        <v>0.13400000000000001</v>
      </c>
      <c r="S135" s="301">
        <f t="shared" si="14"/>
        <v>11242093.74513863</v>
      </c>
      <c r="T135" s="301">
        <f t="shared" si="4"/>
        <v>18143.373700972315</v>
      </c>
      <c r="U135" s="301">
        <f t="shared" si="15"/>
        <v>127485.69386167711</v>
      </c>
      <c r="V135" s="301">
        <f t="shared" si="16"/>
        <v>145629.06756264943</v>
      </c>
      <c r="W135" s="301">
        <f t="shared" si="17"/>
        <v>145629.06756264943</v>
      </c>
      <c r="AA135" s="12">
        <f>+paraméterek!$B$346</f>
        <v>6.4600000000000005E-2</v>
      </c>
      <c r="AB135" s="301">
        <f t="shared" si="18"/>
        <v>10411829.106725419</v>
      </c>
      <c r="AC135" s="301">
        <f t="shared" si="5"/>
        <v>32812.479506832569</v>
      </c>
      <c r="AD135" s="301">
        <f t="shared" si="19"/>
        <v>57007.917583743132</v>
      </c>
      <c r="AE135" s="301">
        <f t="shared" si="20"/>
        <v>89820.397090575701</v>
      </c>
      <c r="AF135" s="477">
        <f t="shared" si="21"/>
        <v>89820.397090575701</v>
      </c>
      <c r="AI135" s="543">
        <f t="shared" si="6"/>
        <v>45208.969578481403</v>
      </c>
      <c r="AJ135" s="543">
        <f t="shared" si="22"/>
        <v>27004.445067374578</v>
      </c>
      <c r="AK135" s="300">
        <f t="shared" si="23"/>
        <v>10608599.495358337</v>
      </c>
      <c r="AL135" s="543">
        <f t="shared" si="24"/>
        <v>72213.414645855984</v>
      </c>
      <c r="AM135" s="10">
        <f t="shared" si="25"/>
        <v>72213.414645855984</v>
      </c>
      <c r="AP135" s="437">
        <f t="shared" si="26"/>
        <v>146437.06756264943</v>
      </c>
    </row>
    <row r="136" spans="1:42" s="11" customFormat="1" hidden="1" x14ac:dyDescent="0.3">
      <c r="A136" s="775">
        <v>57</v>
      </c>
      <c r="B136" s="775">
        <f t="shared" si="7"/>
        <v>5</v>
      </c>
      <c r="C136" s="891">
        <f t="shared" si="30"/>
        <v>0.14489675614077413</v>
      </c>
      <c r="D136" s="891"/>
      <c r="E136" s="891">
        <f t="shared" si="30"/>
        <v>0.03</v>
      </c>
      <c r="F136" s="891">
        <f t="shared" si="0"/>
        <v>0.03</v>
      </c>
      <c r="G136" s="893">
        <f t="shared" si="9"/>
        <v>9771743.9688013811</v>
      </c>
      <c r="H136" s="436">
        <f t="shared" si="1"/>
        <v>41927.357009359032</v>
      </c>
      <c r="I136" s="302">
        <f t="shared" si="2"/>
        <v>0</v>
      </c>
      <c r="J136" s="301">
        <f t="shared" si="27"/>
        <v>24874.930791117498</v>
      </c>
      <c r="K136" s="301">
        <f t="shared" si="10"/>
        <v>66802.287800476537</v>
      </c>
      <c r="L136" s="10">
        <f t="shared" si="11"/>
        <v>66802.287800476537</v>
      </c>
      <c r="M136" s="302"/>
      <c r="N136" s="435">
        <f t="shared" si="12"/>
        <v>66802.287800476508</v>
      </c>
      <c r="O136" s="436">
        <f t="shared" si="3"/>
        <v>0</v>
      </c>
      <c r="P136" s="436">
        <f t="shared" si="13"/>
        <v>0</v>
      </c>
      <c r="R136" s="354">
        <f>+Hirdetmény!$AA$46</f>
        <v>0.13400000000000001</v>
      </c>
      <c r="S136" s="301">
        <f t="shared" si="14"/>
        <v>11223744.956528464</v>
      </c>
      <c r="T136" s="301">
        <f t="shared" si="4"/>
        <v>18348.788610165506</v>
      </c>
      <c r="U136" s="301">
        <f t="shared" si="15"/>
        <v>127280.27895248392</v>
      </c>
      <c r="V136" s="301">
        <f t="shared" si="16"/>
        <v>145629.06756264943</v>
      </c>
      <c r="W136" s="301">
        <f t="shared" si="17"/>
        <v>145629.06756264943</v>
      </c>
      <c r="AA136" s="12">
        <f>+paraméterek!$B$346</f>
        <v>6.4600000000000005E-2</v>
      </c>
      <c r="AB136" s="301">
        <f t="shared" si="18"/>
        <v>10378837.533363426</v>
      </c>
      <c r="AC136" s="301">
        <f t="shared" si="5"/>
        <v>32991.573361992661</v>
      </c>
      <c r="AD136" s="301">
        <f t="shared" si="19"/>
        <v>56828.823728583026</v>
      </c>
      <c r="AE136" s="301">
        <f t="shared" si="20"/>
        <v>89820.397090575687</v>
      </c>
      <c r="AF136" s="477">
        <f t="shared" si="21"/>
        <v>89820.397090575687</v>
      </c>
      <c r="AI136" s="543">
        <f t="shared" si="6"/>
        <v>45323.561758315751</v>
      </c>
      <c r="AJ136" s="543">
        <f t="shared" si="22"/>
        <v>26889.85288754023</v>
      </c>
      <c r="AK136" s="300">
        <f t="shared" si="23"/>
        <v>10563275.933600022</v>
      </c>
      <c r="AL136" s="543">
        <f t="shared" si="24"/>
        <v>72213.414645855984</v>
      </c>
      <c r="AM136" s="10">
        <f t="shared" si="25"/>
        <v>72213.414645855984</v>
      </c>
      <c r="AP136" s="437">
        <f t="shared" si="26"/>
        <v>146437.06756264943</v>
      </c>
    </row>
    <row r="137" spans="1:42" s="11" customFormat="1" hidden="1" x14ac:dyDescent="0.3">
      <c r="A137" s="775">
        <v>58</v>
      </c>
      <c r="B137" s="775">
        <f t="shared" si="7"/>
        <v>5</v>
      </c>
      <c r="C137" s="891">
        <f t="shared" si="30"/>
        <v>0.14489675614077413</v>
      </c>
      <c r="D137" s="891"/>
      <c r="E137" s="891">
        <f t="shared" si="30"/>
        <v>0.03</v>
      </c>
      <c r="F137" s="891">
        <f t="shared" si="0"/>
        <v>0.03</v>
      </c>
      <c r="G137" s="893">
        <f t="shared" si="9"/>
        <v>9729710.3375884909</v>
      </c>
      <c r="H137" s="436">
        <f t="shared" si="1"/>
        <v>42033.631212889697</v>
      </c>
      <c r="I137" s="302">
        <f t="shared" si="2"/>
        <v>0</v>
      </c>
      <c r="J137" s="301">
        <f t="shared" si="27"/>
        <v>24768.656587586833</v>
      </c>
      <c r="K137" s="301">
        <f t="shared" si="10"/>
        <v>66802.287800476537</v>
      </c>
      <c r="L137" s="10">
        <f t="shared" si="11"/>
        <v>66802.287800476537</v>
      </c>
      <c r="M137" s="302"/>
      <c r="N137" s="435">
        <f t="shared" si="12"/>
        <v>66802.287800476508</v>
      </c>
      <c r="O137" s="436">
        <f t="shared" si="3"/>
        <v>0</v>
      </c>
      <c r="P137" s="436">
        <f t="shared" si="13"/>
        <v>0</v>
      </c>
      <c r="R137" s="354">
        <f>+Hirdetmény!$AA$46</f>
        <v>0.13400000000000001</v>
      </c>
      <c r="S137" s="301">
        <f t="shared" si="14"/>
        <v>11205188.427350955</v>
      </c>
      <c r="T137" s="301">
        <f t="shared" si="4"/>
        <v>18556.52917750883</v>
      </c>
      <c r="U137" s="301">
        <f t="shared" si="15"/>
        <v>127072.53838514058</v>
      </c>
      <c r="V137" s="301">
        <f t="shared" si="16"/>
        <v>145629.0675626494</v>
      </c>
      <c r="W137" s="301">
        <f t="shared" si="17"/>
        <v>145629.0675626494</v>
      </c>
      <c r="AA137" s="12">
        <f>+paraméterek!$B$346</f>
        <v>6.4600000000000005E-2</v>
      </c>
      <c r="AB137" s="301">
        <f t="shared" si="18"/>
        <v>10345665.888633771</v>
      </c>
      <c r="AC137" s="301">
        <f t="shared" si="5"/>
        <v>33171.644729655265</v>
      </c>
      <c r="AD137" s="301">
        <f t="shared" si="19"/>
        <v>56648.752360920429</v>
      </c>
      <c r="AE137" s="301">
        <f t="shared" si="20"/>
        <v>89820.397090575687</v>
      </c>
      <c r="AF137" s="477">
        <f t="shared" si="21"/>
        <v>89820.397090575687</v>
      </c>
      <c r="AI137" s="543">
        <f t="shared" si="6"/>
        <v>45438.444397494808</v>
      </c>
      <c r="AJ137" s="543">
        <f t="shared" si="22"/>
        <v>26774.970248361169</v>
      </c>
      <c r="AK137" s="300">
        <f t="shared" si="23"/>
        <v>10517837.489202527</v>
      </c>
      <c r="AL137" s="543">
        <f t="shared" si="24"/>
        <v>72213.414645855984</v>
      </c>
      <c r="AM137" s="10">
        <f t="shared" si="25"/>
        <v>72213.414645855984</v>
      </c>
      <c r="AP137" s="437">
        <f t="shared" si="26"/>
        <v>146437.0675626494</v>
      </c>
    </row>
    <row r="138" spans="1:42" s="11" customFormat="1" hidden="1" x14ac:dyDescent="0.3">
      <c r="A138" s="775">
        <v>59</v>
      </c>
      <c r="B138" s="775">
        <f t="shared" si="7"/>
        <v>5</v>
      </c>
      <c r="C138" s="891">
        <f t="shared" si="30"/>
        <v>0.14489675614077413</v>
      </c>
      <c r="D138" s="891"/>
      <c r="E138" s="891">
        <f t="shared" si="30"/>
        <v>0.03</v>
      </c>
      <c r="F138" s="891">
        <f t="shared" si="0"/>
        <v>0.03</v>
      </c>
      <c r="G138" s="893">
        <f t="shared" si="9"/>
        <v>9687570.1627964843</v>
      </c>
      <c r="H138" s="436">
        <f t="shared" si="1"/>
        <v>42140.174792005702</v>
      </c>
      <c r="I138" s="302">
        <f t="shared" si="2"/>
        <v>0</v>
      </c>
      <c r="J138" s="301">
        <f t="shared" si="27"/>
        <v>24662.113008470827</v>
      </c>
      <c r="K138" s="301">
        <f t="shared" si="10"/>
        <v>66802.287800476537</v>
      </c>
      <c r="L138" s="10">
        <f t="shared" si="11"/>
        <v>66802.287800476537</v>
      </c>
      <c r="M138" s="302"/>
      <c r="N138" s="435">
        <f t="shared" si="12"/>
        <v>66802.287800476508</v>
      </c>
      <c r="O138" s="436">
        <f t="shared" si="3"/>
        <v>0</v>
      </c>
      <c r="P138" s="436">
        <f t="shared" si="13"/>
        <v>0</v>
      </c>
      <c r="R138" s="354">
        <f>+Hirdetmény!$AA$46</f>
        <v>0.13400000000000001</v>
      </c>
      <c r="S138" s="301">
        <f t="shared" si="14"/>
        <v>11186421.805617411</v>
      </c>
      <c r="T138" s="301">
        <f t="shared" si="4"/>
        <v>18766.621733544009</v>
      </c>
      <c r="U138" s="301">
        <f t="shared" si="15"/>
        <v>126862.44582910539</v>
      </c>
      <c r="V138" s="301">
        <f t="shared" si="16"/>
        <v>145629.0675626494</v>
      </c>
      <c r="W138" s="301">
        <f t="shared" si="17"/>
        <v>145629.0675626494</v>
      </c>
      <c r="AA138" s="12">
        <f>+paraméterek!$B$346</f>
        <v>6.4600000000000005E-2</v>
      </c>
      <c r="AB138" s="301">
        <f t="shared" si="18"/>
        <v>10312313.189688588</v>
      </c>
      <c r="AC138" s="301">
        <f t="shared" si="5"/>
        <v>33352.698945183161</v>
      </c>
      <c r="AD138" s="301">
        <f t="shared" si="19"/>
        <v>56467.698145392525</v>
      </c>
      <c r="AE138" s="301">
        <f t="shared" si="20"/>
        <v>89820.397090575687</v>
      </c>
      <c r="AF138" s="477">
        <f t="shared" si="21"/>
        <v>89820.397090575687</v>
      </c>
      <c r="AI138" s="543">
        <f t="shared" si="6"/>
        <v>45553.61823225236</v>
      </c>
      <c r="AJ138" s="543">
        <f t="shared" si="22"/>
        <v>26659.796413603628</v>
      </c>
      <c r="AK138" s="300">
        <f t="shared" si="23"/>
        <v>10472283.870970275</v>
      </c>
      <c r="AL138" s="543">
        <f t="shared" si="24"/>
        <v>72213.414645855984</v>
      </c>
      <c r="AM138" s="10">
        <f t="shared" si="25"/>
        <v>72213.414645855984</v>
      </c>
      <c r="AP138" s="437">
        <f t="shared" si="26"/>
        <v>146437.0675626494</v>
      </c>
    </row>
    <row r="139" spans="1:42" s="11" customFormat="1" hidden="1" x14ac:dyDescent="0.3">
      <c r="A139" s="775">
        <v>60</v>
      </c>
      <c r="B139" s="775">
        <f t="shared" si="7"/>
        <v>5</v>
      </c>
      <c r="C139" s="891">
        <f t="shared" si="30"/>
        <v>0.14489675614077413</v>
      </c>
      <c r="D139" s="891"/>
      <c r="E139" s="891">
        <f t="shared" si="30"/>
        <v>0.03</v>
      </c>
      <c r="F139" s="891">
        <f t="shared" si="0"/>
        <v>0.03</v>
      </c>
      <c r="G139" s="893">
        <f t="shared" si="9"/>
        <v>9645323.1743669845</v>
      </c>
      <c r="H139" s="436">
        <f t="shared" si="1"/>
        <v>42246.988429499332</v>
      </c>
      <c r="I139" s="302">
        <f t="shared" si="2"/>
        <v>0</v>
      </c>
      <c r="J139" s="301">
        <f t="shared" si="27"/>
        <v>24555.299370977198</v>
      </c>
      <c r="K139" s="301">
        <f t="shared" si="10"/>
        <v>66802.287800476537</v>
      </c>
      <c r="L139" s="10">
        <f t="shared" si="11"/>
        <v>66802.287800476537</v>
      </c>
      <c r="M139" s="302"/>
      <c r="N139" s="435">
        <f t="shared" si="12"/>
        <v>66802.287800476508</v>
      </c>
      <c r="O139" s="436">
        <f t="shared" si="3"/>
        <v>0</v>
      </c>
      <c r="P139" s="436">
        <f t="shared" si="13"/>
        <v>0</v>
      </c>
      <c r="R139" s="354">
        <f>+Hirdetmény!$AA$46</f>
        <v>0.13400000000000001</v>
      </c>
      <c r="S139" s="301">
        <f t="shared" si="14"/>
        <v>11167442.71271049</v>
      </c>
      <c r="T139" s="301">
        <f t="shared" si="4"/>
        <v>18979.092906920781</v>
      </c>
      <c r="U139" s="301">
        <f t="shared" si="15"/>
        <v>126649.97465572861</v>
      </c>
      <c r="V139" s="301">
        <f t="shared" si="16"/>
        <v>145629.0675626494</v>
      </c>
      <c r="W139" s="301">
        <f t="shared" si="17"/>
        <v>145629.0675626494</v>
      </c>
      <c r="AA139" s="12">
        <f>+paraméterek!$B$346</f>
        <v>6.4600000000000005E-2</v>
      </c>
      <c r="AB139" s="301">
        <f t="shared" si="18"/>
        <v>10278778.448315527</v>
      </c>
      <c r="AC139" s="301">
        <f t="shared" si="5"/>
        <v>33534.741373060133</v>
      </c>
      <c r="AD139" s="301">
        <f t="shared" si="19"/>
        <v>56285.655717515569</v>
      </c>
      <c r="AE139" s="301">
        <f t="shared" si="20"/>
        <v>89820.397090575701</v>
      </c>
      <c r="AF139" s="477">
        <f t="shared" si="21"/>
        <v>89820.397090575701</v>
      </c>
      <c r="AI139" s="543">
        <f t="shared" si="6"/>
        <v>45669.084000688279</v>
      </c>
      <c r="AJ139" s="543">
        <f t="shared" si="22"/>
        <v>26544.330645167713</v>
      </c>
      <c r="AK139" s="300">
        <f t="shared" si="23"/>
        <v>10426614.786969587</v>
      </c>
      <c r="AL139" s="543">
        <f t="shared" si="24"/>
        <v>72213.414645855984</v>
      </c>
      <c r="AM139" s="10">
        <f t="shared" si="25"/>
        <v>72213.414645855984</v>
      </c>
      <c r="AP139" s="437">
        <f t="shared" si="26"/>
        <v>146437.0675626494</v>
      </c>
    </row>
    <row r="140" spans="1:42" s="11" customFormat="1" hidden="1" x14ac:dyDescent="0.3">
      <c r="A140" s="775">
        <v>61</v>
      </c>
      <c r="B140" s="775">
        <f t="shared" si="7"/>
        <v>6</v>
      </c>
      <c r="C140" s="891">
        <f t="shared" si="30"/>
        <v>0.14489675614077413</v>
      </c>
      <c r="D140" s="891"/>
      <c r="E140" s="891">
        <f t="shared" si="30"/>
        <v>0.03</v>
      </c>
      <c r="F140" s="891">
        <f t="shared" si="0"/>
        <v>0.03</v>
      </c>
      <c r="G140" s="893">
        <f t="shared" si="9"/>
        <v>9602969.1015570909</v>
      </c>
      <c r="H140" s="436">
        <f t="shared" si="1"/>
        <v>42354.072809893551</v>
      </c>
      <c r="I140" s="302">
        <f t="shared" si="2"/>
        <v>0</v>
      </c>
      <c r="J140" s="301">
        <f t="shared" si="27"/>
        <v>24448.214990582979</v>
      </c>
      <c r="K140" s="301">
        <f t="shared" si="10"/>
        <v>66802.287800476537</v>
      </c>
      <c r="L140" s="10">
        <f t="shared" si="11"/>
        <v>66802.287800476537</v>
      </c>
      <c r="M140" s="302"/>
      <c r="N140" s="435">
        <f t="shared" si="12"/>
        <v>66802.287800476508</v>
      </c>
      <c r="O140" s="436">
        <f t="shared" si="3"/>
        <v>0</v>
      </c>
      <c r="P140" s="436">
        <f t="shared" si="13"/>
        <v>0</v>
      </c>
      <c r="R140" s="354">
        <f>+Hirdetmény!$AA$46</f>
        <v>0.13400000000000001</v>
      </c>
      <c r="S140" s="301">
        <f t="shared" si="14"/>
        <v>11148248.743082719</v>
      </c>
      <c r="T140" s="301">
        <f t="shared" si="4"/>
        <v>19193.96962777205</v>
      </c>
      <c r="U140" s="301">
        <f t="shared" si="15"/>
        <v>126435.09793487735</v>
      </c>
      <c r="V140" s="301">
        <f t="shared" si="16"/>
        <v>145629.0675626494</v>
      </c>
      <c r="W140" s="301">
        <f t="shared" si="17"/>
        <v>145629.0675626494</v>
      </c>
      <c r="AA140" s="12">
        <f>+paraméterek!$B$346</f>
        <v>6.4600000000000005E-2</v>
      </c>
      <c r="AB140" s="301">
        <f t="shared" si="18"/>
        <v>10245060.670908477</v>
      </c>
      <c r="AC140" s="301">
        <f t="shared" si="5"/>
        <v>33717.777407049798</v>
      </c>
      <c r="AD140" s="301">
        <f t="shared" si="19"/>
        <v>56102.619683525889</v>
      </c>
      <c r="AE140" s="301">
        <f t="shared" si="20"/>
        <v>89820.397090575687</v>
      </c>
      <c r="AF140" s="477">
        <f t="shared" si="21"/>
        <v>89820.397090575687</v>
      </c>
      <c r="AI140" s="543">
        <f t="shared" si="6"/>
        <v>45784.842442773355</v>
      </c>
      <c r="AJ140" s="543">
        <f t="shared" si="22"/>
        <v>26428.572203082636</v>
      </c>
      <c r="AK140" s="300">
        <f t="shared" si="23"/>
        <v>10380829.944526814</v>
      </c>
      <c r="AL140" s="543">
        <f t="shared" si="24"/>
        <v>72213.414645855984</v>
      </c>
      <c r="AM140" s="10">
        <f t="shared" si="25"/>
        <v>72213.414645855984</v>
      </c>
      <c r="AP140" s="437">
        <f t="shared" si="26"/>
        <v>146437.0675626494</v>
      </c>
    </row>
    <row r="141" spans="1:42" s="11" customFormat="1" hidden="1" x14ac:dyDescent="0.3">
      <c r="A141" s="775">
        <v>62</v>
      </c>
      <c r="B141" s="775">
        <f t="shared" si="7"/>
        <v>6</v>
      </c>
      <c r="C141" s="891">
        <f t="shared" si="30"/>
        <v>0.14489675614077413</v>
      </c>
      <c r="D141" s="891"/>
      <c r="E141" s="891">
        <f t="shared" si="30"/>
        <v>0.03</v>
      </c>
      <c r="F141" s="891">
        <f t="shared" si="0"/>
        <v>0.03</v>
      </c>
      <c r="G141" s="893">
        <f t="shared" si="9"/>
        <v>9560507.6729376446</v>
      </c>
      <c r="H141" s="436">
        <f t="shared" si="1"/>
        <v>42461.428619446408</v>
      </c>
      <c r="I141" s="302">
        <f t="shared" si="2"/>
        <v>0</v>
      </c>
      <c r="J141" s="301">
        <f t="shared" si="27"/>
        <v>24340.85918103013</v>
      </c>
      <c r="K141" s="301">
        <f t="shared" si="10"/>
        <v>66802.287800476537</v>
      </c>
      <c r="L141" s="10">
        <f t="shared" si="11"/>
        <v>66802.287800476537</v>
      </c>
      <c r="M141" s="302"/>
      <c r="N141" s="435">
        <f t="shared" si="12"/>
        <v>66802.287800476508</v>
      </c>
      <c r="O141" s="436">
        <f t="shared" si="3"/>
        <v>0</v>
      </c>
      <c r="P141" s="436">
        <f t="shared" si="13"/>
        <v>0</v>
      </c>
      <c r="R141" s="354">
        <f>+Hirdetmény!$AA$46</f>
        <v>0.13400000000000001</v>
      </c>
      <c r="S141" s="301">
        <f t="shared" si="14"/>
        <v>11128837.463951591</v>
      </c>
      <c r="T141" s="301">
        <f t="shared" si="4"/>
        <v>19411.279131127219</v>
      </c>
      <c r="U141" s="301">
        <f t="shared" si="15"/>
        <v>126217.78843152219</v>
      </c>
      <c r="V141" s="301">
        <f t="shared" si="16"/>
        <v>145629.0675626494</v>
      </c>
      <c r="W141" s="301">
        <f t="shared" si="17"/>
        <v>145629.0675626494</v>
      </c>
      <c r="AA141" s="12">
        <f>+paraméterek!$B$346</f>
        <v>6.4600000000000005E-2</v>
      </c>
      <c r="AB141" s="301">
        <f t="shared" si="18"/>
        <v>10211158.858438121</v>
      </c>
      <c r="AC141" s="301">
        <f t="shared" si="5"/>
        <v>33901.812470355544</v>
      </c>
      <c r="AD141" s="301">
        <f t="shared" si="19"/>
        <v>55918.584620220143</v>
      </c>
      <c r="AE141" s="301">
        <f t="shared" si="20"/>
        <v>89820.397090575687</v>
      </c>
      <c r="AF141" s="477">
        <f t="shared" si="21"/>
        <v>89820.397090575687</v>
      </c>
      <c r="AI141" s="543">
        <f t="shared" si="6"/>
        <v>45900.894300353997</v>
      </c>
      <c r="AJ141" s="543">
        <f t="shared" si="22"/>
        <v>26312.520345501991</v>
      </c>
      <c r="AK141" s="300">
        <f t="shared" si="23"/>
        <v>10334929.050226459</v>
      </c>
      <c r="AL141" s="543">
        <f t="shared" si="24"/>
        <v>72213.414645855984</v>
      </c>
      <c r="AM141" s="10">
        <f t="shared" si="25"/>
        <v>72213.414645855984</v>
      </c>
      <c r="AP141" s="437">
        <f t="shared" si="26"/>
        <v>146437.0675626494</v>
      </c>
    </row>
    <row r="142" spans="1:42" s="11" customFormat="1" hidden="1" x14ac:dyDescent="0.3">
      <c r="A142" s="775">
        <v>63</v>
      </c>
      <c r="B142" s="775">
        <f t="shared" si="7"/>
        <v>6</v>
      </c>
      <c r="C142" s="891">
        <f t="shared" si="30"/>
        <v>0.14489675614077413</v>
      </c>
      <c r="D142" s="891"/>
      <c r="E142" s="891">
        <f t="shared" si="30"/>
        <v>0.03</v>
      </c>
      <c r="F142" s="891">
        <f t="shared" si="0"/>
        <v>0.03</v>
      </c>
      <c r="G142" s="893">
        <f t="shared" si="9"/>
        <v>9517938.6163914893</v>
      </c>
      <c r="H142" s="436">
        <f t="shared" si="1"/>
        <v>42569.056546155407</v>
      </c>
      <c r="I142" s="302">
        <f t="shared" si="2"/>
        <v>0</v>
      </c>
      <c r="J142" s="301">
        <f t="shared" si="27"/>
        <v>24233.231254321116</v>
      </c>
      <c r="K142" s="301">
        <f t="shared" si="10"/>
        <v>66802.287800476523</v>
      </c>
      <c r="L142" s="10">
        <f t="shared" si="11"/>
        <v>66802.287800476523</v>
      </c>
      <c r="M142" s="302"/>
      <c r="N142" s="435">
        <f t="shared" si="12"/>
        <v>66802.287800476508</v>
      </c>
      <c r="O142" s="436">
        <f t="shared" si="3"/>
        <v>0</v>
      </c>
      <c r="P142" s="436">
        <f t="shared" si="13"/>
        <v>0</v>
      </c>
      <c r="R142" s="354">
        <f>+Hirdetmény!$AA$46</f>
        <v>0.13400000000000001</v>
      </c>
      <c r="S142" s="301">
        <f t="shared" si="14"/>
        <v>11109206.414991228</v>
      </c>
      <c r="T142" s="301">
        <f t="shared" si="4"/>
        <v>19631.048960364118</v>
      </c>
      <c r="U142" s="301">
        <f t="shared" si="15"/>
        <v>125998.01860228526</v>
      </c>
      <c r="V142" s="301">
        <f t="shared" si="16"/>
        <v>145629.06756264938</v>
      </c>
      <c r="W142" s="301">
        <f t="shared" si="17"/>
        <v>145629.06756264938</v>
      </c>
      <c r="AA142" s="12">
        <f>+paraméterek!$B$346</f>
        <v>6.4600000000000005E-2</v>
      </c>
      <c r="AB142" s="301">
        <f t="shared" si="18"/>
        <v>10177072.006422341</v>
      </c>
      <c r="AC142" s="301">
        <f t="shared" si="5"/>
        <v>34086.852015781129</v>
      </c>
      <c r="AD142" s="301">
        <f t="shared" si="19"/>
        <v>55733.545074794558</v>
      </c>
      <c r="AE142" s="301">
        <f t="shared" si="20"/>
        <v>89820.397090575687</v>
      </c>
      <c r="AF142" s="477">
        <f t="shared" si="21"/>
        <v>89820.397090575687</v>
      </c>
      <c r="AI142" s="543">
        <f t="shared" si="6"/>
        <v>46017.240317156975</v>
      </c>
      <c r="AJ142" s="543">
        <f t="shared" si="22"/>
        <v>26196.174328699009</v>
      </c>
      <c r="AK142" s="300">
        <f t="shared" si="23"/>
        <v>10288911.809909303</v>
      </c>
      <c r="AL142" s="543">
        <f t="shared" si="24"/>
        <v>72213.414645855984</v>
      </c>
      <c r="AM142" s="10">
        <f t="shared" si="25"/>
        <v>72213.414645855984</v>
      </c>
      <c r="AP142" s="437">
        <f t="shared" si="26"/>
        <v>146437.06756264938</v>
      </c>
    </row>
    <row r="143" spans="1:42" s="11" customFormat="1" hidden="1" x14ac:dyDescent="0.3">
      <c r="A143" s="775">
        <v>64</v>
      </c>
      <c r="B143" s="775">
        <f t="shared" si="7"/>
        <v>6</v>
      </c>
      <c r="C143" s="891">
        <f t="shared" si="30"/>
        <v>0.14489675614077413</v>
      </c>
      <c r="D143" s="891"/>
      <c r="E143" s="891">
        <f t="shared" si="30"/>
        <v>0.03</v>
      </c>
      <c r="F143" s="891">
        <f t="shared" si="0"/>
        <v>0.03</v>
      </c>
      <c r="G143" s="893">
        <f t="shared" si="9"/>
        <v>9475261.659111727</v>
      </c>
      <c r="H143" s="436">
        <f t="shared" si="1"/>
        <v>42676.957279761991</v>
      </c>
      <c r="I143" s="302">
        <f t="shared" si="2"/>
        <v>0</v>
      </c>
      <c r="J143" s="301">
        <f t="shared" si="27"/>
        <v>24125.330520714539</v>
      </c>
      <c r="K143" s="301">
        <f t="shared" si="10"/>
        <v>66802.287800476537</v>
      </c>
      <c r="L143" s="10">
        <f t="shared" si="11"/>
        <v>66802.287800476537</v>
      </c>
      <c r="M143" s="302"/>
      <c r="N143" s="435">
        <f t="shared" si="12"/>
        <v>66802.287800476508</v>
      </c>
      <c r="O143" s="436">
        <f t="shared" si="3"/>
        <v>0</v>
      </c>
      <c r="P143" s="436">
        <f t="shared" si="13"/>
        <v>0</v>
      </c>
      <c r="R143" s="354">
        <f>+Hirdetmény!$AA$46</f>
        <v>0.13400000000000001</v>
      </c>
      <c r="S143" s="301">
        <f t="shared" si="14"/>
        <v>11089353.108020527</v>
      </c>
      <c r="T143" s="301">
        <f t="shared" si="4"/>
        <v>19853.306970700101</v>
      </c>
      <c r="U143" s="301">
        <f t="shared" si="15"/>
        <v>125775.76059194932</v>
      </c>
      <c r="V143" s="301">
        <f t="shared" si="16"/>
        <v>145629.06756264943</v>
      </c>
      <c r="W143" s="301">
        <f t="shared" si="17"/>
        <v>145629.06756264943</v>
      </c>
      <c r="AA143" s="12">
        <f>+paraméterek!$B$346</f>
        <v>6.4600000000000005E-2</v>
      </c>
      <c r="AB143" s="301">
        <f t="shared" si="18"/>
        <v>10142799.104896449</v>
      </c>
      <c r="AC143" s="301">
        <f t="shared" si="5"/>
        <v>34272.901525892266</v>
      </c>
      <c r="AD143" s="301">
        <f t="shared" si="19"/>
        <v>55547.495564683428</v>
      </c>
      <c r="AE143" s="301">
        <f t="shared" si="20"/>
        <v>89820.397090575687</v>
      </c>
      <c r="AF143" s="477">
        <f t="shared" si="21"/>
        <v>89820.397090575687</v>
      </c>
      <c r="AI143" s="543">
        <f t="shared" si="6"/>
        <v>46133.881238794216</v>
      </c>
      <c r="AJ143" s="543">
        <f t="shared" si="22"/>
        <v>26079.533407061776</v>
      </c>
      <c r="AK143" s="300">
        <f t="shared" si="23"/>
        <v>10242777.928670509</v>
      </c>
      <c r="AL143" s="543">
        <f t="shared" si="24"/>
        <v>72213.414645855984</v>
      </c>
      <c r="AM143" s="10">
        <f t="shared" si="25"/>
        <v>72213.414645855984</v>
      </c>
      <c r="AP143" s="437">
        <f t="shared" si="26"/>
        <v>146437.06756264943</v>
      </c>
    </row>
    <row r="144" spans="1:42" s="11" customFormat="1" hidden="1" x14ac:dyDescent="0.3">
      <c r="A144" s="775">
        <v>65</v>
      </c>
      <c r="B144" s="775">
        <f t="shared" si="7"/>
        <v>6</v>
      </c>
      <c r="C144" s="891">
        <f t="shared" si="30"/>
        <v>0.14489675614077413</v>
      </c>
      <c r="D144" s="891"/>
      <c r="E144" s="891">
        <f t="shared" si="30"/>
        <v>0.03</v>
      </c>
      <c r="F144" s="891">
        <f t="shared" ref="F144:F207" si="31">$F$7</f>
        <v>0.03</v>
      </c>
      <c r="G144" s="893">
        <f t="shared" si="9"/>
        <v>9432476.5275999717</v>
      </c>
      <c r="H144" s="436">
        <f t="shared" ref="H144:H207" si="32">IF(A144&lt;=$B$16,0,IF(A144&lt;=$B$10,PPMT(F144/360*(365/12),A144-$B$16,$B$10-$B$16,-$G$79),0))</f>
        <v>42785.131511755826</v>
      </c>
      <c r="I144" s="302">
        <f t="shared" ref="I144:I207" si="33">+IF(A144=$B$10,$C$47,0)</f>
        <v>0</v>
      </c>
      <c r="J144" s="301">
        <f t="shared" si="27"/>
        <v>24017.156288720696</v>
      </c>
      <c r="K144" s="301">
        <f t="shared" si="10"/>
        <v>66802.287800476523</v>
      </c>
      <c r="L144" s="10">
        <f t="shared" si="11"/>
        <v>66802.287800476523</v>
      </c>
      <c r="M144" s="302"/>
      <c r="N144" s="435">
        <f t="shared" si="12"/>
        <v>66802.287800476508</v>
      </c>
      <c r="O144" s="436">
        <f t="shared" ref="O144:O207" si="34">IF(A144&lt;=$B$10,$B$54,0)</f>
        <v>0</v>
      </c>
      <c r="P144" s="436">
        <f t="shared" si="13"/>
        <v>0</v>
      </c>
      <c r="R144" s="354">
        <f>+Hirdetmény!$AA$46</f>
        <v>0.13400000000000001</v>
      </c>
      <c r="S144" s="301">
        <f t="shared" si="14"/>
        <v>11069275.026687805</v>
      </c>
      <c r="T144" s="301">
        <f t="shared" ref="T144:T207" si="35">IF(A144&lt;=$B$10,IF(A144&gt;$B$16,PPMT(R144/360*(365/12),1,$B$10-A143,S143,$C$47*-1),0)*-1,0)</f>
        <v>20078.081332722533</v>
      </c>
      <c r="U144" s="301">
        <f t="shared" si="15"/>
        <v>125550.98622992684</v>
      </c>
      <c r="V144" s="301">
        <f t="shared" si="16"/>
        <v>145629.06756264938</v>
      </c>
      <c r="W144" s="301">
        <f t="shared" si="17"/>
        <v>145629.06756264938</v>
      </c>
      <c r="AA144" s="12">
        <f>+paraméterek!$B$346</f>
        <v>6.4600000000000005E-2</v>
      </c>
      <c r="AB144" s="301">
        <f t="shared" si="18"/>
        <v>10108339.138383269</v>
      </c>
      <c r="AC144" s="301">
        <f t="shared" ref="AC144:AC207" si="36">IF(A144&lt;=$B$10,IF(A144&gt;$B$16,PPMT(AA144/360*(365/12),1,$B$10-A143,AB143,$C$47*-1),0)*-1,0)</f>
        <v>34459.966513179068</v>
      </c>
      <c r="AD144" s="301">
        <f t="shared" si="19"/>
        <v>55360.430577396612</v>
      </c>
      <c r="AE144" s="301">
        <f t="shared" si="20"/>
        <v>89820.397090575687</v>
      </c>
      <c r="AF144" s="477">
        <f t="shared" si="21"/>
        <v>89820.397090575687</v>
      </c>
      <c r="AI144" s="543">
        <f t="shared" ref="AI144:AI207" si="37">IF(A144&lt;=24,0,IF(A144&lt;=$B$10,IF(A144&gt;$G$22,PPMT(E144/360*(365/12),1,$B$10-A143,AK143,$G$16*-1),0)*-1,0))</f>
        <v>46250.817812767542</v>
      </c>
      <c r="AJ144" s="543">
        <f t="shared" si="22"/>
        <v>25962.596833088443</v>
      </c>
      <c r="AK144" s="300">
        <f t="shared" si="23"/>
        <v>10196527.110857742</v>
      </c>
      <c r="AL144" s="543">
        <f t="shared" si="24"/>
        <v>72213.414645855984</v>
      </c>
      <c r="AM144" s="10">
        <f t="shared" si="25"/>
        <v>72213.414645855984</v>
      </c>
      <c r="AP144" s="437">
        <f t="shared" si="26"/>
        <v>146437.06756264938</v>
      </c>
    </row>
    <row r="145" spans="1:42" s="11" customFormat="1" hidden="1" x14ac:dyDescent="0.3">
      <c r="A145" s="775">
        <v>66</v>
      </c>
      <c r="B145" s="775">
        <f t="shared" ref="B145:B208" si="38">+ROUNDUP(A145/12,0)</f>
        <v>6</v>
      </c>
      <c r="C145" s="891">
        <f t="shared" ref="C145:E160" si="39">+C144</f>
        <v>0.14489675614077413</v>
      </c>
      <c r="D145" s="891"/>
      <c r="E145" s="891">
        <f t="shared" si="39"/>
        <v>0.03</v>
      </c>
      <c r="F145" s="891">
        <f t="shared" si="31"/>
        <v>0.03</v>
      </c>
      <c r="G145" s="893">
        <f t="shared" ref="G145:G208" si="40">+G144-H145-I145</f>
        <v>9389582.9476645924</v>
      </c>
      <c r="H145" s="436">
        <f t="shared" si="32"/>
        <v>42893.579935379377</v>
      </c>
      <c r="I145" s="302">
        <f t="shared" si="33"/>
        <v>0</v>
      </c>
      <c r="J145" s="301">
        <f t="shared" si="27"/>
        <v>23908.707865097153</v>
      </c>
      <c r="K145" s="301">
        <f t="shared" ref="K145:K208" si="41">+(H145+J145)+IF($B$15="nem",$B$58,IF(A145&lt;$B$16+1,$B$57,$B$58)+O145)+P145+I145</f>
        <v>66802.287800476537</v>
      </c>
      <c r="L145" s="10">
        <f t="shared" ref="L145:L208" si="42">H145+I145+J145</f>
        <v>66802.287800476537</v>
      </c>
      <c r="M145" s="302"/>
      <c r="N145" s="435">
        <f t="shared" ref="N145:N208" si="43">IF(A145&lt;=$B$10,PMT($F$7*365/360/12,$B$10,-$F$66)+O145+P145+$F$52)+IF($B$15="nem",$B$58,IF(A145&lt;$B$16+1,$B$57,$B$58))</f>
        <v>66802.287800476508</v>
      </c>
      <c r="O145" s="436">
        <f t="shared" si="34"/>
        <v>0</v>
      </c>
      <c r="P145" s="436">
        <f t="shared" ref="P145:P208" si="44">IF(A145&lt;=$B$10,IF($B$30="havi",$B$28,0)+IF($B$30="negyedéves",$B$28,0)+IF($B$30="féléves",$B$28,0)+IF($B$66="éves",$B$28,0),0)</f>
        <v>0</v>
      </c>
      <c r="R145" s="354">
        <f>+Hirdetmény!$AA$46</f>
        <v>0.13400000000000001</v>
      </c>
      <c r="S145" s="301">
        <f t="shared" ref="S145:S208" si="45">+S144-T145</f>
        <v>11048969.626151845</v>
      </c>
      <c r="T145" s="301">
        <f t="shared" si="35"/>
        <v>20305.400535959445</v>
      </c>
      <c r="U145" s="301">
        <f t="shared" ref="U145:U208" si="46">+S144*R145/360*(365/12)</f>
        <v>125323.66702668995</v>
      </c>
      <c r="V145" s="301">
        <f t="shared" ref="V145:V208" si="47">+T145+U145</f>
        <v>145629.06756264938</v>
      </c>
      <c r="W145" s="301">
        <f t="shared" ref="W145:W208" si="48">+V145+IF($B$15="nem",$B$58,IF(A145&lt;$B$16+1,$B$57,$B$58))+IF(A145&lt;=$B$10,$B$54+$F$52+P145,0)</f>
        <v>145629.06756264938</v>
      </c>
      <c r="AA145" s="12">
        <f>+paraméterek!$B$346</f>
        <v>6.4600000000000005E-2</v>
      </c>
      <c r="AB145" s="301">
        <f t="shared" ref="AB145:AB208" si="49">+AB144-AC145</f>
        <v>10073691.08586305</v>
      </c>
      <c r="AC145" s="301">
        <f t="shared" si="36"/>
        <v>34648.052520219411</v>
      </c>
      <c r="AD145" s="301">
        <f t="shared" ref="AD145:AD208" si="50">+AB144*AA145/360*(365/12)</f>
        <v>55172.344570356283</v>
      </c>
      <c r="AE145" s="301">
        <f t="shared" ref="AE145:AE208" si="51">+AC145+AD145</f>
        <v>89820.397090575687</v>
      </c>
      <c r="AF145" s="477">
        <f t="shared" ref="AF145:AF208" si="52">+AE145+IF($B$15="nem",$B$58,IF(A145&lt;$B$16+1,$B$57,$B$58)+IF(A145&lt;=$B$10,$B$54+$F$52+P145,0))</f>
        <v>89820.397090575687</v>
      </c>
      <c r="AI145" s="543">
        <f t="shared" si="37"/>
        <v>46368.050788473527</v>
      </c>
      <c r="AJ145" s="543">
        <f t="shared" ref="AJ145:AJ208" si="53">+AK144*E145/360*(365/12)</f>
        <v>25845.363857382472</v>
      </c>
      <c r="AK145" s="300">
        <f t="shared" ref="AK145:AK208" si="54">AK144-AI145</f>
        <v>10150159.060069269</v>
      </c>
      <c r="AL145" s="543">
        <f t="shared" ref="AL145:AL208" si="55">AI145+AJ145</f>
        <v>72213.414645855999</v>
      </c>
      <c r="AM145" s="10">
        <f t="shared" ref="AM145:AM208" si="56">AL145+IF($B$15="nem",$B$58,IF(A145&lt;$B$16+1,$B$57,$B$58)+IF(A145&lt;=$B$10,$B$54+$F$52+P145,0))</f>
        <v>72213.414645855999</v>
      </c>
      <c r="AP145" s="437">
        <f t="shared" ref="AP145:AP208" si="57">+V145+IF($B$15="nem",$B$58,IF(A145&lt;$B$16+1,$B$57,$B$58)+O145)+IF(A145&gt;$B$10,0,IF($B$28=0,$F$58,$B$28)+I145)</f>
        <v>146437.06756264938</v>
      </c>
    </row>
    <row r="146" spans="1:42" s="11" customFormat="1" hidden="1" x14ac:dyDescent="0.3">
      <c r="A146" s="775">
        <v>67</v>
      </c>
      <c r="B146" s="775">
        <f t="shared" si="38"/>
        <v>6</v>
      </c>
      <c r="C146" s="891">
        <f t="shared" si="39"/>
        <v>0.14489675614077413</v>
      </c>
      <c r="D146" s="891"/>
      <c r="E146" s="891">
        <f t="shared" si="39"/>
        <v>0.03</v>
      </c>
      <c r="F146" s="891">
        <f t="shared" si="31"/>
        <v>0.03</v>
      </c>
      <c r="G146" s="893">
        <f t="shared" si="40"/>
        <v>9346580.6444189604</v>
      </c>
      <c r="H146" s="436">
        <f t="shared" si="32"/>
        <v>43002.303245632254</v>
      </c>
      <c r="I146" s="302">
        <f t="shared" si="33"/>
        <v>0</v>
      </c>
      <c r="J146" s="301">
        <f t="shared" ref="J146:J209" si="58">+G145*F146/360*(365/12)</f>
        <v>23799.984554844279</v>
      </c>
      <c r="K146" s="301">
        <f t="shared" si="41"/>
        <v>66802.287800476537</v>
      </c>
      <c r="L146" s="10">
        <f t="shared" si="42"/>
        <v>66802.287800476537</v>
      </c>
      <c r="M146" s="302"/>
      <c r="N146" s="435">
        <f t="shared" si="43"/>
        <v>66802.287800476508</v>
      </c>
      <c r="O146" s="436">
        <f t="shared" si="34"/>
        <v>0</v>
      </c>
      <c r="P146" s="436">
        <f t="shared" si="44"/>
        <v>0</v>
      </c>
      <c r="R146" s="354">
        <f>+Hirdetmény!$AA$46</f>
        <v>0.13400000000000001</v>
      </c>
      <c r="S146" s="301">
        <f t="shared" si="45"/>
        <v>11028434.332759354</v>
      </c>
      <c r="T146" s="301">
        <f t="shared" si="35"/>
        <v>20535.293392490414</v>
      </c>
      <c r="U146" s="301">
        <f t="shared" si="46"/>
        <v>125093.77417015898</v>
      </c>
      <c r="V146" s="301">
        <f t="shared" si="47"/>
        <v>145629.0675626494</v>
      </c>
      <c r="W146" s="301">
        <f t="shared" si="48"/>
        <v>145629.0675626494</v>
      </c>
      <c r="AA146" s="12">
        <f>+paraméterek!$B$346</f>
        <v>6.4600000000000005E-2</v>
      </c>
      <c r="AB146" s="301">
        <f t="shared" si="49"/>
        <v>10038853.920743207</v>
      </c>
      <c r="AC146" s="301">
        <f t="shared" si="36"/>
        <v>34837.165119843077</v>
      </c>
      <c r="AD146" s="301">
        <f t="shared" si="50"/>
        <v>54983.23197073261</v>
      </c>
      <c r="AE146" s="301">
        <f t="shared" si="51"/>
        <v>89820.397090575687</v>
      </c>
      <c r="AF146" s="477">
        <f t="shared" si="52"/>
        <v>89820.397090575687</v>
      </c>
      <c r="AI146" s="543">
        <f t="shared" si="37"/>
        <v>46485.580917208194</v>
      </c>
      <c r="AJ146" s="543">
        <f t="shared" si="53"/>
        <v>25727.833728647798</v>
      </c>
      <c r="AK146" s="300">
        <f t="shared" si="54"/>
        <v>10103673.479152061</v>
      </c>
      <c r="AL146" s="543">
        <f t="shared" si="55"/>
        <v>72213.414645855984</v>
      </c>
      <c r="AM146" s="10">
        <f t="shared" si="56"/>
        <v>72213.414645855984</v>
      </c>
      <c r="AP146" s="437">
        <f t="shared" si="57"/>
        <v>146437.0675626494</v>
      </c>
    </row>
    <row r="147" spans="1:42" s="11" customFormat="1" hidden="1" x14ac:dyDescent="0.3">
      <c r="A147" s="775">
        <v>68</v>
      </c>
      <c r="B147" s="775">
        <f t="shared" si="38"/>
        <v>6</v>
      </c>
      <c r="C147" s="891">
        <f t="shared" si="39"/>
        <v>0.14489675614077413</v>
      </c>
      <c r="D147" s="891"/>
      <c r="E147" s="891">
        <f t="shared" si="39"/>
        <v>0.03</v>
      </c>
      <c r="F147" s="891">
        <f t="shared" si="31"/>
        <v>0.03</v>
      </c>
      <c r="G147" s="893">
        <f t="shared" si="40"/>
        <v>9303469.3422796857</v>
      </c>
      <c r="H147" s="436">
        <f t="shared" si="32"/>
        <v>43111.302139275693</v>
      </c>
      <c r="I147" s="302">
        <f t="shared" si="33"/>
        <v>0</v>
      </c>
      <c r="J147" s="301">
        <f t="shared" si="58"/>
        <v>23690.985661200841</v>
      </c>
      <c r="K147" s="301">
        <f t="shared" si="41"/>
        <v>66802.287800476537</v>
      </c>
      <c r="L147" s="10">
        <f t="shared" si="42"/>
        <v>66802.287800476537</v>
      </c>
      <c r="M147" s="302"/>
      <c r="N147" s="435">
        <f t="shared" si="43"/>
        <v>66802.287800476508</v>
      </c>
      <c r="O147" s="436">
        <f t="shared" si="34"/>
        <v>0</v>
      </c>
      <c r="P147" s="436">
        <f t="shared" si="44"/>
        <v>0</v>
      </c>
      <c r="R147" s="354">
        <f>+Hirdetmény!$AA$46</f>
        <v>0.13400000000000001</v>
      </c>
      <c r="S147" s="301">
        <f t="shared" si="45"/>
        <v>11007666.543718755</v>
      </c>
      <c r="T147" s="301">
        <f t="shared" si="35"/>
        <v>20767.789040598454</v>
      </c>
      <c r="U147" s="301">
        <f t="shared" si="46"/>
        <v>124861.27852205092</v>
      </c>
      <c r="V147" s="301">
        <f t="shared" si="47"/>
        <v>145629.06756264938</v>
      </c>
      <c r="W147" s="301">
        <f t="shared" si="48"/>
        <v>145629.06756264938</v>
      </c>
      <c r="AA147" s="12">
        <f>+paraméterek!$B$346</f>
        <v>6.4600000000000005E-2</v>
      </c>
      <c r="AB147" s="301">
        <f t="shared" si="49"/>
        <v>10003826.61082791</v>
      </c>
      <c r="AC147" s="301">
        <f t="shared" si="36"/>
        <v>35027.309915296966</v>
      </c>
      <c r="AD147" s="301">
        <f t="shared" si="50"/>
        <v>54793.087175278721</v>
      </c>
      <c r="AE147" s="301">
        <f t="shared" si="51"/>
        <v>89820.397090575687</v>
      </c>
      <c r="AF147" s="477">
        <f t="shared" si="52"/>
        <v>89820.397090575687</v>
      </c>
      <c r="AI147" s="543">
        <f t="shared" si="37"/>
        <v>46603.408952171958</v>
      </c>
      <c r="AJ147" s="543">
        <f t="shared" si="53"/>
        <v>25610.005693684045</v>
      </c>
      <c r="AK147" s="300">
        <f t="shared" si="54"/>
        <v>10057070.070199888</v>
      </c>
      <c r="AL147" s="543">
        <f t="shared" si="55"/>
        <v>72213.414645855999</v>
      </c>
      <c r="AM147" s="10">
        <f t="shared" si="56"/>
        <v>72213.414645855999</v>
      </c>
      <c r="AP147" s="437">
        <f t="shared" si="57"/>
        <v>146437.06756264938</v>
      </c>
    </row>
    <row r="148" spans="1:42" s="11" customFormat="1" hidden="1" x14ac:dyDescent="0.3">
      <c r="A148" s="775">
        <v>69</v>
      </c>
      <c r="B148" s="775">
        <f t="shared" si="38"/>
        <v>6</v>
      </c>
      <c r="C148" s="891">
        <f t="shared" si="39"/>
        <v>0.14489675614077413</v>
      </c>
      <c r="D148" s="891"/>
      <c r="E148" s="891">
        <f t="shared" si="39"/>
        <v>0.03</v>
      </c>
      <c r="F148" s="891">
        <f t="shared" si="31"/>
        <v>0.03</v>
      </c>
      <c r="G148" s="893">
        <f t="shared" si="40"/>
        <v>9260248.7649648488</v>
      </c>
      <c r="H148" s="436">
        <f t="shared" si="32"/>
        <v>43220.57731483705</v>
      </c>
      <c r="I148" s="302">
        <f t="shared" si="33"/>
        <v>0</v>
      </c>
      <c r="J148" s="301">
        <f t="shared" si="58"/>
        <v>23581.71048563948</v>
      </c>
      <c r="K148" s="301">
        <f t="shared" si="41"/>
        <v>66802.287800476537</v>
      </c>
      <c r="L148" s="10">
        <f t="shared" si="42"/>
        <v>66802.287800476537</v>
      </c>
      <c r="M148" s="302"/>
      <c r="N148" s="435">
        <f t="shared" si="43"/>
        <v>66802.287800476508</v>
      </c>
      <c r="O148" s="436">
        <f t="shared" si="34"/>
        <v>0</v>
      </c>
      <c r="P148" s="436">
        <f t="shared" si="44"/>
        <v>0</v>
      </c>
      <c r="R148" s="354">
        <f>+Hirdetmény!$AA$46</f>
        <v>0.13400000000000001</v>
      </c>
      <c r="S148" s="301">
        <f t="shared" si="45"/>
        <v>10986663.626770291</v>
      </c>
      <c r="T148" s="301">
        <f t="shared" si="35"/>
        <v>21002.916948463189</v>
      </c>
      <c r="U148" s="301">
        <f t="shared" si="46"/>
        <v>124626.1506141862</v>
      </c>
      <c r="V148" s="301">
        <f t="shared" si="47"/>
        <v>145629.0675626494</v>
      </c>
      <c r="W148" s="301">
        <f t="shared" si="48"/>
        <v>145629.0675626494</v>
      </c>
      <c r="AA148" s="12">
        <f>+paraméterek!$B$346</f>
        <v>6.4600000000000005E-2</v>
      </c>
      <c r="AB148" s="301">
        <f t="shared" si="49"/>
        <v>9968608.1182874981</v>
      </c>
      <c r="AC148" s="301">
        <f t="shared" si="36"/>
        <v>35218.492540411025</v>
      </c>
      <c r="AD148" s="301">
        <f t="shared" si="50"/>
        <v>54601.904550164654</v>
      </c>
      <c r="AE148" s="301">
        <f t="shared" si="51"/>
        <v>89820.397090575687</v>
      </c>
      <c r="AF148" s="477">
        <f t="shared" si="52"/>
        <v>89820.397090575687</v>
      </c>
      <c r="AI148" s="543">
        <f t="shared" si="37"/>
        <v>46721.535648474339</v>
      </c>
      <c r="AJ148" s="543">
        <f t="shared" si="53"/>
        <v>25491.87899738166</v>
      </c>
      <c r="AK148" s="300">
        <f t="shared" si="54"/>
        <v>10010348.534551414</v>
      </c>
      <c r="AL148" s="543">
        <f t="shared" si="55"/>
        <v>72213.414645855999</v>
      </c>
      <c r="AM148" s="10">
        <f t="shared" si="56"/>
        <v>72213.414645855999</v>
      </c>
      <c r="AP148" s="437">
        <f t="shared" si="57"/>
        <v>146437.0675626494</v>
      </c>
    </row>
    <row r="149" spans="1:42" s="11" customFormat="1" hidden="1" x14ac:dyDescent="0.3">
      <c r="A149" s="775">
        <v>70</v>
      </c>
      <c r="B149" s="775">
        <f t="shared" si="38"/>
        <v>6</v>
      </c>
      <c r="C149" s="891">
        <f t="shared" si="39"/>
        <v>0.14489675614077413</v>
      </c>
      <c r="D149" s="891"/>
      <c r="E149" s="891">
        <f t="shared" si="39"/>
        <v>0.03</v>
      </c>
      <c r="F149" s="891">
        <f t="shared" si="31"/>
        <v>0.03</v>
      </c>
      <c r="G149" s="893">
        <f t="shared" si="40"/>
        <v>9216918.6354922354</v>
      </c>
      <c r="H149" s="436">
        <f t="shared" si="32"/>
        <v>43330.129472614237</v>
      </c>
      <c r="I149" s="302">
        <f t="shared" si="33"/>
        <v>0</v>
      </c>
      <c r="J149" s="301">
        <f t="shared" si="58"/>
        <v>23472.158327862289</v>
      </c>
      <c r="K149" s="301">
        <f t="shared" si="41"/>
        <v>66802.287800476523</v>
      </c>
      <c r="L149" s="10">
        <f t="shared" si="42"/>
        <v>66802.287800476523</v>
      </c>
      <c r="M149" s="302"/>
      <c r="N149" s="435">
        <f t="shared" si="43"/>
        <v>66802.287800476508</v>
      </c>
      <c r="O149" s="436">
        <f t="shared" si="34"/>
        <v>0</v>
      </c>
      <c r="P149" s="436">
        <f t="shared" si="44"/>
        <v>0</v>
      </c>
      <c r="R149" s="354">
        <f>+Hirdetmény!$AA$46</f>
        <v>0.13400000000000001</v>
      </c>
      <c r="S149" s="301">
        <f t="shared" si="45"/>
        <v>10965422.919852396</v>
      </c>
      <c r="T149" s="301">
        <f t="shared" si="35"/>
        <v>21240.706917895903</v>
      </c>
      <c r="U149" s="301">
        <f t="shared" si="46"/>
        <v>124388.36064475347</v>
      </c>
      <c r="V149" s="301">
        <f t="shared" si="47"/>
        <v>145629.06756264938</v>
      </c>
      <c r="W149" s="301">
        <f t="shared" si="48"/>
        <v>145629.06756264938</v>
      </c>
      <c r="AA149" s="12">
        <f>+paraméterek!$B$346</f>
        <v>6.4600000000000005E-2</v>
      </c>
      <c r="AB149" s="301">
        <f t="shared" si="49"/>
        <v>9933197.3996277321</v>
      </c>
      <c r="AC149" s="301">
        <f t="shared" si="36"/>
        <v>35410.718659765284</v>
      </c>
      <c r="AD149" s="301">
        <f t="shared" si="50"/>
        <v>54409.678430810403</v>
      </c>
      <c r="AE149" s="301">
        <f t="shared" si="51"/>
        <v>89820.397090575687</v>
      </c>
      <c r="AF149" s="477">
        <f t="shared" si="52"/>
        <v>89820.397090575687</v>
      </c>
      <c r="AI149" s="543">
        <f t="shared" si="37"/>
        <v>46839.961763138868</v>
      </c>
      <c r="AJ149" s="543">
        <f t="shared" si="53"/>
        <v>25373.452882717127</v>
      </c>
      <c r="AK149" s="300">
        <f t="shared" si="54"/>
        <v>9963508.5727882758</v>
      </c>
      <c r="AL149" s="543">
        <f t="shared" si="55"/>
        <v>72213.414645855999</v>
      </c>
      <c r="AM149" s="10">
        <f t="shared" si="56"/>
        <v>72213.414645855999</v>
      </c>
      <c r="AP149" s="437">
        <f t="shared" si="57"/>
        <v>146437.06756264938</v>
      </c>
    </row>
    <row r="150" spans="1:42" s="11" customFormat="1" hidden="1" x14ac:dyDescent="0.3">
      <c r="A150" s="775">
        <v>71</v>
      </c>
      <c r="B150" s="775">
        <f t="shared" si="38"/>
        <v>6</v>
      </c>
      <c r="C150" s="891">
        <f t="shared" si="39"/>
        <v>0.14489675614077413</v>
      </c>
      <c r="D150" s="891"/>
      <c r="E150" s="891">
        <f t="shared" si="39"/>
        <v>0.03</v>
      </c>
      <c r="F150" s="891">
        <f t="shared" si="31"/>
        <v>0.03</v>
      </c>
      <c r="G150" s="893">
        <f t="shared" si="40"/>
        <v>9173478.6761775557</v>
      </c>
      <c r="H150" s="436">
        <f t="shared" si="32"/>
        <v>43439.959314680236</v>
      </c>
      <c r="I150" s="302">
        <f t="shared" si="33"/>
        <v>0</v>
      </c>
      <c r="J150" s="301">
        <f t="shared" si="58"/>
        <v>23362.32848579629</v>
      </c>
      <c r="K150" s="301">
        <f t="shared" si="41"/>
        <v>66802.287800476523</v>
      </c>
      <c r="L150" s="10">
        <f t="shared" si="42"/>
        <v>66802.287800476523</v>
      </c>
      <c r="M150" s="302"/>
      <c r="N150" s="435">
        <f t="shared" si="43"/>
        <v>66802.287800476508</v>
      </c>
      <c r="O150" s="436">
        <f t="shared" si="34"/>
        <v>0</v>
      </c>
      <c r="P150" s="436">
        <f t="shared" si="44"/>
        <v>0</v>
      </c>
      <c r="R150" s="354">
        <f>+Hirdetmény!$AA$46</f>
        <v>0.13400000000000001</v>
      </c>
      <c r="S150" s="301">
        <f t="shared" si="45"/>
        <v>10943941.730764279</v>
      </c>
      <c r="T150" s="301">
        <f t="shared" si="35"/>
        <v>21481.189088116804</v>
      </c>
      <c r="U150" s="301">
        <f t="shared" si="46"/>
        <v>124147.87847453258</v>
      </c>
      <c r="V150" s="301">
        <f t="shared" si="47"/>
        <v>145629.06756264938</v>
      </c>
      <c r="W150" s="301">
        <f t="shared" si="48"/>
        <v>145629.06756264938</v>
      </c>
      <c r="AA150" s="12">
        <f>+paraméterek!$B$346</f>
        <v>6.4600000000000005E-2</v>
      </c>
      <c r="AB150" s="301">
        <f t="shared" si="49"/>
        <v>9897593.4056588747</v>
      </c>
      <c r="AC150" s="301">
        <f t="shared" si="36"/>
        <v>35603.993968857547</v>
      </c>
      <c r="AD150" s="301">
        <f t="shared" si="50"/>
        <v>54216.403121718125</v>
      </c>
      <c r="AE150" s="301">
        <f t="shared" si="51"/>
        <v>89820.397090575672</v>
      </c>
      <c r="AF150" s="477">
        <f t="shared" si="52"/>
        <v>89820.397090575672</v>
      </c>
      <c r="AI150" s="543">
        <f t="shared" si="37"/>
        <v>46958.68805510793</v>
      </c>
      <c r="AJ150" s="543">
        <f t="shared" si="53"/>
        <v>25254.726590748058</v>
      </c>
      <c r="AK150" s="300">
        <f t="shared" si="54"/>
        <v>9916549.8847331684</v>
      </c>
      <c r="AL150" s="543">
        <f t="shared" si="55"/>
        <v>72213.414645855984</v>
      </c>
      <c r="AM150" s="10">
        <f t="shared" si="56"/>
        <v>72213.414645855984</v>
      </c>
      <c r="AP150" s="437">
        <f t="shared" si="57"/>
        <v>146437.06756264938</v>
      </c>
    </row>
    <row r="151" spans="1:42" s="11" customFormat="1" hidden="1" x14ac:dyDescent="0.3">
      <c r="A151" s="775">
        <v>72</v>
      </c>
      <c r="B151" s="775">
        <f t="shared" si="38"/>
        <v>6</v>
      </c>
      <c r="C151" s="891">
        <f t="shared" si="39"/>
        <v>0.14489675614077413</v>
      </c>
      <c r="D151" s="891"/>
      <c r="E151" s="891">
        <f t="shared" si="39"/>
        <v>0.03</v>
      </c>
      <c r="F151" s="891">
        <f t="shared" si="31"/>
        <v>0.03</v>
      </c>
      <c r="G151" s="893">
        <f t="shared" si="40"/>
        <v>9129928.6086326689</v>
      </c>
      <c r="H151" s="436">
        <f t="shared" si="32"/>
        <v>43550.067544887585</v>
      </c>
      <c r="I151" s="302">
        <f t="shared" si="33"/>
        <v>0</v>
      </c>
      <c r="J151" s="301">
        <f t="shared" si="58"/>
        <v>23252.220255588945</v>
      </c>
      <c r="K151" s="301">
        <f t="shared" si="41"/>
        <v>66802.287800476537</v>
      </c>
      <c r="L151" s="10">
        <f t="shared" si="42"/>
        <v>66802.287800476537</v>
      </c>
      <c r="M151" s="302"/>
      <c r="N151" s="435">
        <f t="shared" si="43"/>
        <v>66802.287800476508</v>
      </c>
      <c r="O151" s="436">
        <f t="shared" si="34"/>
        <v>0</v>
      </c>
      <c r="P151" s="436">
        <f t="shared" si="44"/>
        <v>0</v>
      </c>
      <c r="R151" s="354">
        <f>+Hirdetmény!$AA$46</f>
        <v>0.13400000000000001</v>
      </c>
      <c r="S151" s="301">
        <f t="shared" si="45"/>
        <v>10922217.336824704</v>
      </c>
      <c r="T151" s="301">
        <f t="shared" si="35"/>
        <v>21724.393939575086</v>
      </c>
      <c r="U151" s="301">
        <f t="shared" si="46"/>
        <v>123904.6736230743</v>
      </c>
      <c r="V151" s="301">
        <f t="shared" si="47"/>
        <v>145629.06756264938</v>
      </c>
      <c r="W151" s="301">
        <f t="shared" si="48"/>
        <v>145629.06756264938</v>
      </c>
      <c r="AA151" s="12">
        <f>+paraméterek!$B$346</f>
        <v>6.4600000000000005E-2</v>
      </c>
      <c r="AB151" s="301">
        <f t="shared" si="49"/>
        <v>9861795.0814646017</v>
      </c>
      <c r="AC151" s="301">
        <f t="shared" si="36"/>
        <v>35798.324194272289</v>
      </c>
      <c r="AD151" s="301">
        <f t="shared" si="50"/>
        <v>54022.072896303383</v>
      </c>
      <c r="AE151" s="301">
        <f t="shared" si="51"/>
        <v>89820.397090575672</v>
      </c>
      <c r="AF151" s="477">
        <f t="shared" si="52"/>
        <v>89820.397090575672</v>
      </c>
      <c r="AI151" s="543">
        <f t="shared" si="37"/>
        <v>47077.715285247628</v>
      </c>
      <c r="AJ151" s="543">
        <f t="shared" si="53"/>
        <v>25135.699360608378</v>
      </c>
      <c r="AK151" s="300">
        <f t="shared" si="54"/>
        <v>9869472.1694479212</v>
      </c>
      <c r="AL151" s="543">
        <f t="shared" si="55"/>
        <v>72213.414645856014</v>
      </c>
      <c r="AM151" s="10">
        <f t="shared" si="56"/>
        <v>72213.414645856014</v>
      </c>
      <c r="AP151" s="437">
        <f t="shared" si="57"/>
        <v>146437.06756264938</v>
      </c>
    </row>
    <row r="152" spans="1:42" s="11" customFormat="1" hidden="1" x14ac:dyDescent="0.3">
      <c r="A152" s="775">
        <v>73</v>
      </c>
      <c r="B152" s="775">
        <f t="shared" si="38"/>
        <v>7</v>
      </c>
      <c r="C152" s="891">
        <f t="shared" si="39"/>
        <v>0.14489675614077413</v>
      </c>
      <c r="D152" s="891"/>
      <c r="E152" s="891">
        <f t="shared" si="39"/>
        <v>0.03</v>
      </c>
      <c r="F152" s="891">
        <f t="shared" si="31"/>
        <v>0.03</v>
      </c>
      <c r="G152" s="893">
        <f t="shared" si="40"/>
        <v>9086268.1537637953</v>
      </c>
      <c r="H152" s="436">
        <f t="shared" si="32"/>
        <v>43660.454868872897</v>
      </c>
      <c r="I152" s="302">
        <f t="shared" si="33"/>
        <v>0</v>
      </c>
      <c r="J152" s="301">
        <f t="shared" si="58"/>
        <v>23141.83293160364</v>
      </c>
      <c r="K152" s="301">
        <f t="shared" si="41"/>
        <v>66802.287800476537</v>
      </c>
      <c r="L152" s="10">
        <f t="shared" si="42"/>
        <v>66802.287800476537</v>
      </c>
      <c r="M152" s="302"/>
      <c r="N152" s="435">
        <f t="shared" si="43"/>
        <v>66802.287800476508</v>
      </c>
      <c r="O152" s="436">
        <f t="shared" si="34"/>
        <v>0</v>
      </c>
      <c r="P152" s="436">
        <f t="shared" si="44"/>
        <v>0</v>
      </c>
      <c r="R152" s="354">
        <f>+Hirdetmény!$AA$46</f>
        <v>0.13400000000000001</v>
      </c>
      <c r="S152" s="301">
        <f t="shared" si="45"/>
        <v>10900246.984526891</v>
      </c>
      <c r="T152" s="301">
        <f t="shared" si="35"/>
        <v>21970.352297812267</v>
      </c>
      <c r="U152" s="301">
        <f t="shared" si="46"/>
        <v>123658.7152648371</v>
      </c>
      <c r="V152" s="301">
        <f t="shared" si="47"/>
        <v>145629.06756264938</v>
      </c>
      <c r="W152" s="301">
        <f t="shared" si="48"/>
        <v>145629.06756264938</v>
      </c>
      <c r="AA152" s="12">
        <f>+paraméterek!$B$346</f>
        <v>6.4600000000000005E-2</v>
      </c>
      <c r="AB152" s="301">
        <f t="shared" si="49"/>
        <v>9825801.3663707506</v>
      </c>
      <c r="AC152" s="301">
        <f t="shared" si="36"/>
        <v>35993.715093850231</v>
      </c>
      <c r="AD152" s="301">
        <f t="shared" si="50"/>
        <v>53826.681996725434</v>
      </c>
      <c r="AE152" s="301">
        <f t="shared" si="51"/>
        <v>89820.397090575658</v>
      </c>
      <c r="AF152" s="477">
        <f t="shared" si="52"/>
        <v>89820.397090575658</v>
      </c>
      <c r="AI152" s="543">
        <f t="shared" si="37"/>
        <v>47197.044216352588</v>
      </c>
      <c r="AJ152" s="543">
        <f t="shared" si="53"/>
        <v>25016.370429503415</v>
      </c>
      <c r="AK152" s="300">
        <f t="shared" si="54"/>
        <v>9822275.1252315678</v>
      </c>
      <c r="AL152" s="543">
        <f t="shared" si="55"/>
        <v>72213.414645855999</v>
      </c>
      <c r="AM152" s="10">
        <f t="shared" si="56"/>
        <v>72213.414645855999</v>
      </c>
      <c r="AP152" s="437">
        <f t="shared" si="57"/>
        <v>146437.06756264938</v>
      </c>
    </row>
    <row r="153" spans="1:42" s="11" customFormat="1" hidden="1" x14ac:dyDescent="0.3">
      <c r="A153" s="775">
        <v>74</v>
      </c>
      <c r="B153" s="775">
        <f t="shared" si="38"/>
        <v>7</v>
      </c>
      <c r="C153" s="891">
        <f t="shared" si="39"/>
        <v>0.14489675614077413</v>
      </c>
      <c r="D153" s="891"/>
      <c r="E153" s="891">
        <f t="shared" si="39"/>
        <v>0.03</v>
      </c>
      <c r="F153" s="891">
        <f t="shared" si="31"/>
        <v>0.03</v>
      </c>
      <c r="G153" s="893">
        <f t="shared" si="40"/>
        <v>9042497.0317697339</v>
      </c>
      <c r="H153" s="436">
        <f t="shared" si="32"/>
        <v>43771.121994061352</v>
      </c>
      <c r="I153" s="302">
        <f t="shared" si="33"/>
        <v>0</v>
      </c>
      <c r="J153" s="301">
        <f t="shared" si="58"/>
        <v>23031.165806415174</v>
      </c>
      <c r="K153" s="301">
        <f t="shared" si="41"/>
        <v>66802.287800476523</v>
      </c>
      <c r="L153" s="10">
        <f t="shared" si="42"/>
        <v>66802.287800476523</v>
      </c>
      <c r="M153" s="302"/>
      <c r="N153" s="435">
        <f t="shared" si="43"/>
        <v>66802.287800476508</v>
      </c>
      <c r="O153" s="436">
        <f t="shared" si="34"/>
        <v>0</v>
      </c>
      <c r="P153" s="436">
        <f t="shared" si="44"/>
        <v>0</v>
      </c>
      <c r="R153" s="354">
        <f>+Hirdetmény!$AA$46</f>
        <v>0.13400000000000001</v>
      </c>
      <c r="S153" s="301">
        <f t="shared" si="45"/>
        <v>10878027.889189523</v>
      </c>
      <c r="T153" s="301">
        <f t="shared" si="35"/>
        <v>22219.095337369217</v>
      </c>
      <c r="U153" s="301">
        <f t="shared" si="46"/>
        <v>123409.97222528017</v>
      </c>
      <c r="V153" s="301">
        <f t="shared" si="47"/>
        <v>145629.06756264938</v>
      </c>
      <c r="W153" s="301">
        <f t="shared" si="48"/>
        <v>145629.06756264938</v>
      </c>
      <c r="AA153" s="12">
        <f>+paraméterek!$B$346</f>
        <v>6.4600000000000005E-2</v>
      </c>
      <c r="AB153" s="301">
        <f t="shared" si="49"/>
        <v>9789611.1939138919</v>
      </c>
      <c r="AC153" s="301">
        <f t="shared" si="36"/>
        <v>36190.172456859007</v>
      </c>
      <c r="AD153" s="301">
        <f t="shared" si="50"/>
        <v>53630.224633716651</v>
      </c>
      <c r="AE153" s="301">
        <f t="shared" si="51"/>
        <v>89820.397090575658</v>
      </c>
      <c r="AF153" s="477">
        <f t="shared" si="52"/>
        <v>89820.397090575658</v>
      </c>
      <c r="AI153" s="543">
        <f t="shared" si="37"/>
        <v>47316.675613150983</v>
      </c>
      <c r="AJ153" s="543">
        <f t="shared" si="53"/>
        <v>24896.739032705013</v>
      </c>
      <c r="AK153" s="300">
        <f t="shared" si="54"/>
        <v>9774958.4496184159</v>
      </c>
      <c r="AL153" s="543">
        <f t="shared" si="55"/>
        <v>72213.414645855999</v>
      </c>
      <c r="AM153" s="10">
        <f t="shared" si="56"/>
        <v>72213.414645855999</v>
      </c>
      <c r="AP153" s="437">
        <f t="shared" si="57"/>
        <v>146437.06756264938</v>
      </c>
    </row>
    <row r="154" spans="1:42" s="11" customFormat="1" hidden="1" x14ac:dyDescent="0.3">
      <c r="A154" s="775">
        <v>75</v>
      </c>
      <c r="B154" s="775">
        <f t="shared" si="38"/>
        <v>7</v>
      </c>
      <c r="C154" s="891">
        <f t="shared" si="39"/>
        <v>0.14489675614077413</v>
      </c>
      <c r="D154" s="891"/>
      <c r="E154" s="891">
        <f t="shared" si="39"/>
        <v>0.03</v>
      </c>
      <c r="F154" s="891">
        <f t="shared" si="31"/>
        <v>0.03</v>
      </c>
      <c r="G154" s="893">
        <f t="shared" si="40"/>
        <v>8998614.9621400628</v>
      </c>
      <c r="H154" s="436">
        <f t="shared" si="32"/>
        <v>43882.069629671307</v>
      </c>
      <c r="I154" s="302">
        <f t="shared" si="33"/>
        <v>0</v>
      </c>
      <c r="J154" s="301">
        <f t="shared" si="58"/>
        <v>22920.218170805227</v>
      </c>
      <c r="K154" s="301">
        <f t="shared" si="41"/>
        <v>66802.287800476537</v>
      </c>
      <c r="L154" s="10">
        <f t="shared" si="42"/>
        <v>66802.287800476537</v>
      </c>
      <c r="M154" s="302"/>
      <c r="N154" s="435">
        <f t="shared" si="43"/>
        <v>66802.287800476508</v>
      </c>
      <c r="O154" s="436">
        <f t="shared" si="34"/>
        <v>0</v>
      </c>
      <c r="P154" s="436">
        <f t="shared" si="44"/>
        <v>0</v>
      </c>
      <c r="R154" s="354">
        <f>+Hirdetmény!$AA$46</f>
        <v>0.13400000000000001</v>
      </c>
      <c r="S154" s="301">
        <f t="shared" si="45"/>
        <v>10855557.234603785</v>
      </c>
      <c r="T154" s="301">
        <f t="shared" si="35"/>
        <v>22470.65458573744</v>
      </c>
      <c r="U154" s="301">
        <f t="shared" si="46"/>
        <v>123158.41297691196</v>
      </c>
      <c r="V154" s="301">
        <f t="shared" si="47"/>
        <v>145629.0675626494</v>
      </c>
      <c r="W154" s="301">
        <f t="shared" si="48"/>
        <v>145629.0675626494</v>
      </c>
      <c r="AA154" s="12">
        <f>+paraméterek!$B$346</f>
        <v>6.4600000000000005E-2</v>
      </c>
      <c r="AB154" s="301">
        <f t="shared" si="49"/>
        <v>9753223.4918097276</v>
      </c>
      <c r="AC154" s="301">
        <f t="shared" si="36"/>
        <v>36387.702104164622</v>
      </c>
      <c r="AD154" s="301">
        <f t="shared" si="50"/>
        <v>53432.694986411036</v>
      </c>
      <c r="AE154" s="301">
        <f t="shared" si="51"/>
        <v>89820.397090575658</v>
      </c>
      <c r="AF154" s="477">
        <f t="shared" si="52"/>
        <v>89820.397090575658</v>
      </c>
      <c r="AI154" s="543">
        <f t="shared" si="37"/>
        <v>47436.610242309325</v>
      </c>
      <c r="AJ154" s="543">
        <f t="shared" si="53"/>
        <v>24776.804403546681</v>
      </c>
      <c r="AK154" s="300">
        <f t="shared" si="54"/>
        <v>9727521.8393761069</v>
      </c>
      <c r="AL154" s="543">
        <f t="shared" si="55"/>
        <v>72213.414645856014</v>
      </c>
      <c r="AM154" s="10">
        <f t="shared" si="56"/>
        <v>72213.414645856014</v>
      </c>
      <c r="AP154" s="437">
        <f t="shared" si="57"/>
        <v>146437.0675626494</v>
      </c>
    </row>
    <row r="155" spans="1:42" s="11" customFormat="1" hidden="1" x14ac:dyDescent="0.3">
      <c r="A155" s="775">
        <v>76</v>
      </c>
      <c r="B155" s="775">
        <f t="shared" si="38"/>
        <v>7</v>
      </c>
      <c r="C155" s="891">
        <f t="shared" si="39"/>
        <v>0.14489675614077413</v>
      </c>
      <c r="D155" s="891"/>
      <c r="E155" s="891">
        <f t="shared" si="39"/>
        <v>0.03</v>
      </c>
      <c r="F155" s="891">
        <f t="shared" si="31"/>
        <v>0.03</v>
      </c>
      <c r="G155" s="893">
        <f t="shared" si="40"/>
        <v>8954621.6636533439</v>
      </c>
      <c r="H155" s="436">
        <f t="shared" si="32"/>
        <v>43993.298486718741</v>
      </c>
      <c r="I155" s="302">
        <f t="shared" si="33"/>
        <v>0</v>
      </c>
      <c r="J155" s="301">
        <f t="shared" si="58"/>
        <v>22808.9893137578</v>
      </c>
      <c r="K155" s="301">
        <f t="shared" si="41"/>
        <v>66802.287800476537</v>
      </c>
      <c r="L155" s="10">
        <f t="shared" si="42"/>
        <v>66802.287800476537</v>
      </c>
      <c r="M155" s="302"/>
      <c r="N155" s="435">
        <f t="shared" si="43"/>
        <v>66802.287800476508</v>
      </c>
      <c r="O155" s="436">
        <f t="shared" si="34"/>
        <v>0</v>
      </c>
      <c r="P155" s="436">
        <f t="shared" si="44"/>
        <v>0</v>
      </c>
      <c r="R155" s="354">
        <f>+Hirdetmény!$AA$46</f>
        <v>0.13400000000000001</v>
      </c>
      <c r="S155" s="301">
        <f t="shared" si="45"/>
        <v>10832832.172676429</v>
      </c>
      <c r="T155" s="301">
        <f t="shared" si="35"/>
        <v>22725.061927355127</v>
      </c>
      <c r="U155" s="301">
        <f t="shared" si="46"/>
        <v>122904.00563529425</v>
      </c>
      <c r="V155" s="301">
        <f t="shared" si="47"/>
        <v>145629.06756264938</v>
      </c>
      <c r="W155" s="301">
        <f t="shared" si="48"/>
        <v>145629.06756264938</v>
      </c>
      <c r="AA155" s="12">
        <f>+paraméterek!$B$346</f>
        <v>6.4600000000000005E-2</v>
      </c>
      <c r="AB155" s="301">
        <f t="shared" si="49"/>
        <v>9716637.1819213238</v>
      </c>
      <c r="AC155" s="301">
        <f t="shared" si="36"/>
        <v>36586.309888403994</v>
      </c>
      <c r="AD155" s="301">
        <f t="shared" si="50"/>
        <v>53234.087202171671</v>
      </c>
      <c r="AE155" s="301">
        <f t="shared" si="51"/>
        <v>89820.397090575658</v>
      </c>
      <c r="AF155" s="477">
        <f t="shared" si="52"/>
        <v>89820.397090575658</v>
      </c>
      <c r="AI155" s="543">
        <f t="shared" si="37"/>
        <v>47556.848872437396</v>
      </c>
      <c r="AJ155" s="543">
        <f t="shared" si="53"/>
        <v>24656.565773418606</v>
      </c>
      <c r="AK155" s="300">
        <f t="shared" si="54"/>
        <v>9679964.9905036688</v>
      </c>
      <c r="AL155" s="543">
        <f t="shared" si="55"/>
        <v>72213.414645855999</v>
      </c>
      <c r="AM155" s="10">
        <f t="shared" si="56"/>
        <v>72213.414645855999</v>
      </c>
      <c r="AP155" s="437">
        <f t="shared" si="57"/>
        <v>146437.06756264938</v>
      </c>
    </row>
    <row r="156" spans="1:42" s="11" customFormat="1" hidden="1" x14ac:dyDescent="0.3">
      <c r="A156" s="775">
        <v>77</v>
      </c>
      <c r="B156" s="775">
        <f t="shared" si="38"/>
        <v>7</v>
      </c>
      <c r="C156" s="891">
        <f t="shared" si="39"/>
        <v>0.14489675614077413</v>
      </c>
      <c r="D156" s="891"/>
      <c r="E156" s="891">
        <f t="shared" si="39"/>
        <v>0.03</v>
      </c>
      <c r="F156" s="891">
        <f t="shared" si="31"/>
        <v>0.03</v>
      </c>
      <c r="G156" s="893">
        <f t="shared" si="40"/>
        <v>8910516.8543753214</v>
      </c>
      <c r="H156" s="436">
        <f t="shared" si="32"/>
        <v>44104.809278021879</v>
      </c>
      <c r="I156" s="302">
        <f t="shared" si="33"/>
        <v>0</v>
      </c>
      <c r="J156" s="301">
        <f t="shared" si="58"/>
        <v>22697.478522454658</v>
      </c>
      <c r="K156" s="301">
        <f t="shared" si="41"/>
        <v>66802.287800476537</v>
      </c>
      <c r="L156" s="10">
        <f t="shared" si="42"/>
        <v>66802.287800476537</v>
      </c>
      <c r="M156" s="302"/>
      <c r="N156" s="435">
        <f t="shared" si="43"/>
        <v>66802.287800476508</v>
      </c>
      <c r="O156" s="436">
        <f t="shared" si="34"/>
        <v>0</v>
      </c>
      <c r="P156" s="436">
        <f t="shared" si="44"/>
        <v>0</v>
      </c>
      <c r="R156" s="354">
        <f>+Hirdetmény!$AA$46</f>
        <v>0.13400000000000001</v>
      </c>
      <c r="S156" s="301">
        <f t="shared" si="45"/>
        <v>10809849.823068781</v>
      </c>
      <c r="T156" s="301">
        <f t="shared" si="35"/>
        <v>22982.349607648393</v>
      </c>
      <c r="U156" s="301">
        <f t="shared" si="46"/>
        <v>122646.71795500098</v>
      </c>
      <c r="V156" s="301">
        <f t="shared" si="47"/>
        <v>145629.06756264938</v>
      </c>
      <c r="W156" s="301">
        <f t="shared" si="48"/>
        <v>145629.06756264938</v>
      </c>
      <c r="AA156" s="12">
        <f>+paraméterek!$B$346</f>
        <v>6.4600000000000005E-2</v>
      </c>
      <c r="AB156" s="301">
        <f t="shared" si="49"/>
        <v>9679851.180227166</v>
      </c>
      <c r="AC156" s="301">
        <f t="shared" si="36"/>
        <v>36786.001694158324</v>
      </c>
      <c r="AD156" s="301">
        <f t="shared" si="50"/>
        <v>53034.395396417342</v>
      </c>
      <c r="AE156" s="301">
        <f t="shared" si="51"/>
        <v>89820.397090575658</v>
      </c>
      <c r="AF156" s="477">
        <f t="shared" si="52"/>
        <v>89820.397090575658</v>
      </c>
      <c r="AI156" s="543">
        <f t="shared" si="37"/>
        <v>47677.392274093225</v>
      </c>
      <c r="AJ156" s="543">
        <f t="shared" si="53"/>
        <v>24536.02237176277</v>
      </c>
      <c r="AK156" s="300">
        <f t="shared" si="54"/>
        <v>9632287.5982295759</v>
      </c>
      <c r="AL156" s="543">
        <f t="shared" si="55"/>
        <v>72213.414645855999</v>
      </c>
      <c r="AM156" s="10">
        <f t="shared" si="56"/>
        <v>72213.414645855999</v>
      </c>
      <c r="AP156" s="437">
        <f t="shared" si="57"/>
        <v>146437.06756264938</v>
      </c>
    </row>
    <row r="157" spans="1:42" s="11" customFormat="1" hidden="1" x14ac:dyDescent="0.3">
      <c r="A157" s="775">
        <v>78</v>
      </c>
      <c r="B157" s="775">
        <f t="shared" si="38"/>
        <v>7</v>
      </c>
      <c r="C157" s="891">
        <f t="shared" si="39"/>
        <v>0.14489675614077413</v>
      </c>
      <c r="D157" s="891"/>
      <c r="E157" s="891">
        <f t="shared" si="39"/>
        <v>0.03</v>
      </c>
      <c r="F157" s="891">
        <f t="shared" si="31"/>
        <v>0.03</v>
      </c>
      <c r="G157" s="893">
        <f t="shared" si="40"/>
        <v>8866300.2516571153</v>
      </c>
      <c r="H157" s="436">
        <f t="shared" si="32"/>
        <v>44216.602718205751</v>
      </c>
      <c r="I157" s="302">
        <f t="shared" si="33"/>
        <v>0</v>
      </c>
      <c r="J157" s="301">
        <f t="shared" si="58"/>
        <v>22585.685082270782</v>
      </c>
      <c r="K157" s="301">
        <f t="shared" si="41"/>
        <v>66802.287800476537</v>
      </c>
      <c r="L157" s="10">
        <f t="shared" si="42"/>
        <v>66802.287800476537</v>
      </c>
      <c r="M157" s="302"/>
      <c r="N157" s="435">
        <f t="shared" si="43"/>
        <v>66802.287800476508</v>
      </c>
      <c r="O157" s="436">
        <f t="shared" si="34"/>
        <v>0</v>
      </c>
      <c r="P157" s="436">
        <f t="shared" si="44"/>
        <v>0</v>
      </c>
      <c r="R157" s="354">
        <f>+Hirdetmény!$AA$46</f>
        <v>0.13400000000000001</v>
      </c>
      <c r="S157" s="301">
        <f t="shared" si="45"/>
        <v>10786607.272831662</v>
      </c>
      <c r="T157" s="301">
        <f t="shared" si="35"/>
        <v>23242.550237118325</v>
      </c>
      <c r="U157" s="301">
        <f t="shared" si="46"/>
        <v>122386.51732553105</v>
      </c>
      <c r="V157" s="301">
        <f t="shared" si="47"/>
        <v>145629.06756264938</v>
      </c>
      <c r="W157" s="301">
        <f t="shared" si="48"/>
        <v>145629.06756264938</v>
      </c>
      <c r="AA157" s="12">
        <f>+paraméterek!$B$346</f>
        <v>6.4600000000000005E-2</v>
      </c>
      <c r="AB157" s="301">
        <f t="shared" si="49"/>
        <v>9642864.3967890386</v>
      </c>
      <c r="AC157" s="301">
        <f t="shared" si="36"/>
        <v>36986.783438127444</v>
      </c>
      <c r="AD157" s="301">
        <f t="shared" si="50"/>
        <v>52833.613652448235</v>
      </c>
      <c r="AE157" s="301">
        <f t="shared" si="51"/>
        <v>89820.397090575687</v>
      </c>
      <c r="AF157" s="477">
        <f t="shared" si="52"/>
        <v>89820.397090575687</v>
      </c>
      <c r="AI157" s="543">
        <f t="shared" si="37"/>
        <v>47798.241219787968</v>
      </c>
      <c r="AJ157" s="543">
        <f t="shared" si="53"/>
        <v>24415.173426068024</v>
      </c>
      <c r="AK157" s="300">
        <f t="shared" si="54"/>
        <v>9584489.3570097871</v>
      </c>
      <c r="AL157" s="543">
        <f t="shared" si="55"/>
        <v>72213.414645855984</v>
      </c>
      <c r="AM157" s="10">
        <f t="shared" si="56"/>
        <v>72213.414645855984</v>
      </c>
      <c r="AP157" s="437">
        <f t="shared" si="57"/>
        <v>146437.06756264938</v>
      </c>
    </row>
    <row r="158" spans="1:42" s="11" customFormat="1" hidden="1" x14ac:dyDescent="0.3">
      <c r="A158" s="775">
        <v>79</v>
      </c>
      <c r="B158" s="775">
        <f t="shared" si="38"/>
        <v>7</v>
      </c>
      <c r="C158" s="891">
        <f t="shared" si="39"/>
        <v>0.14489675614077413</v>
      </c>
      <c r="D158" s="891"/>
      <c r="E158" s="891">
        <f t="shared" si="39"/>
        <v>0.03</v>
      </c>
      <c r="F158" s="891">
        <f t="shared" si="31"/>
        <v>0.03</v>
      </c>
      <c r="G158" s="893">
        <f t="shared" si="40"/>
        <v>8821971.5721334089</v>
      </c>
      <c r="H158" s="436">
        <f t="shared" si="32"/>
        <v>44328.679523706771</v>
      </c>
      <c r="I158" s="302">
        <f t="shared" si="33"/>
        <v>0</v>
      </c>
      <c r="J158" s="301">
        <f t="shared" si="58"/>
        <v>22473.60827676977</v>
      </c>
      <c r="K158" s="301">
        <f t="shared" si="41"/>
        <v>66802.287800476537</v>
      </c>
      <c r="L158" s="10">
        <f t="shared" si="42"/>
        <v>66802.287800476537</v>
      </c>
      <c r="M158" s="302"/>
      <c r="N158" s="435">
        <f t="shared" si="43"/>
        <v>66802.287800476508</v>
      </c>
      <c r="O158" s="436">
        <f t="shared" si="34"/>
        <v>0</v>
      </c>
      <c r="P158" s="436">
        <f t="shared" si="44"/>
        <v>0</v>
      </c>
      <c r="R158" s="354">
        <f>+Hirdetmény!$AA$46</f>
        <v>0.13400000000000001</v>
      </c>
      <c r="S158" s="301">
        <f t="shared" si="45"/>
        <v>10763101.576036187</v>
      </c>
      <c r="T158" s="301">
        <f t="shared" si="35"/>
        <v>23505.696795474214</v>
      </c>
      <c r="U158" s="301">
        <f t="shared" si="46"/>
        <v>122123.37076717515</v>
      </c>
      <c r="V158" s="301">
        <f t="shared" si="47"/>
        <v>145629.06756264938</v>
      </c>
      <c r="W158" s="301">
        <f t="shared" si="48"/>
        <v>145629.06756264938</v>
      </c>
      <c r="AA158" s="12">
        <f>+paraméterek!$B$346</f>
        <v>6.4600000000000005E-2</v>
      </c>
      <c r="AB158" s="301">
        <f t="shared" si="49"/>
        <v>9605675.7357197329</v>
      </c>
      <c r="AC158" s="301">
        <f t="shared" si="36"/>
        <v>37188.661069305119</v>
      </c>
      <c r="AD158" s="301">
        <f t="shared" si="50"/>
        <v>52631.736021270546</v>
      </c>
      <c r="AE158" s="301">
        <f t="shared" si="51"/>
        <v>89820.397090575658</v>
      </c>
      <c r="AF158" s="477">
        <f t="shared" si="52"/>
        <v>89820.397090575658</v>
      </c>
      <c r="AI158" s="543">
        <f t="shared" si="37"/>
        <v>47919.396483990902</v>
      </c>
      <c r="AJ158" s="543">
        <f t="shared" si="53"/>
        <v>24294.018161865082</v>
      </c>
      <c r="AK158" s="300">
        <f t="shared" si="54"/>
        <v>9536569.9605257958</v>
      </c>
      <c r="AL158" s="543">
        <f t="shared" si="55"/>
        <v>72213.414645855984</v>
      </c>
      <c r="AM158" s="10">
        <f t="shared" si="56"/>
        <v>72213.414645855984</v>
      </c>
      <c r="AP158" s="437">
        <f t="shared" si="57"/>
        <v>146437.06756264938</v>
      </c>
    </row>
    <row r="159" spans="1:42" s="11" customFormat="1" hidden="1" x14ac:dyDescent="0.3">
      <c r="A159" s="775">
        <v>80</v>
      </c>
      <c r="B159" s="775">
        <f t="shared" si="38"/>
        <v>7</v>
      </c>
      <c r="C159" s="891">
        <f t="shared" si="39"/>
        <v>0.14489675614077413</v>
      </c>
      <c r="D159" s="891"/>
      <c r="E159" s="891">
        <f t="shared" si="39"/>
        <v>0.03</v>
      </c>
      <c r="F159" s="891">
        <f t="shared" si="31"/>
        <v>0.03</v>
      </c>
      <c r="G159" s="893">
        <f t="shared" si="40"/>
        <v>8777530.5317206308</v>
      </c>
      <c r="H159" s="436">
        <f t="shared" si="32"/>
        <v>44441.040412777264</v>
      </c>
      <c r="I159" s="302">
        <f t="shared" si="33"/>
        <v>0</v>
      </c>
      <c r="J159" s="301">
        <f t="shared" si="58"/>
        <v>22361.247387699266</v>
      </c>
      <c r="K159" s="301">
        <f t="shared" si="41"/>
        <v>66802.287800476537</v>
      </c>
      <c r="L159" s="10">
        <f t="shared" si="42"/>
        <v>66802.287800476537</v>
      </c>
      <c r="M159" s="302"/>
      <c r="N159" s="435">
        <f t="shared" si="43"/>
        <v>66802.287800476508</v>
      </c>
      <c r="O159" s="436">
        <f t="shared" si="34"/>
        <v>0</v>
      </c>
      <c r="P159" s="436">
        <f t="shared" si="44"/>
        <v>0</v>
      </c>
      <c r="R159" s="354">
        <f>+Hirdetmény!$AA$46</f>
        <v>0.13400000000000001</v>
      </c>
      <c r="S159" s="301">
        <f t="shared" si="45"/>
        <v>10739329.753400372</v>
      </c>
      <c r="T159" s="301">
        <f t="shared" si="35"/>
        <v>23771.822635813722</v>
      </c>
      <c r="U159" s="301">
        <f t="shared" si="46"/>
        <v>121857.24492683564</v>
      </c>
      <c r="V159" s="301">
        <f t="shared" si="47"/>
        <v>145629.06756264938</v>
      </c>
      <c r="W159" s="301">
        <f t="shared" si="48"/>
        <v>145629.06756264938</v>
      </c>
      <c r="AA159" s="12">
        <f>+paraméterek!$B$346</f>
        <v>6.4600000000000005E-2</v>
      </c>
      <c r="AB159" s="301">
        <f t="shared" si="49"/>
        <v>9568284.0951505769</v>
      </c>
      <c r="AC159" s="301">
        <f t="shared" si="36"/>
        <v>37391.640569155395</v>
      </c>
      <c r="AD159" s="301">
        <f t="shared" si="50"/>
        <v>52428.756521420284</v>
      </c>
      <c r="AE159" s="301">
        <f t="shared" si="51"/>
        <v>89820.397090575687</v>
      </c>
      <c r="AF159" s="477">
        <f t="shared" si="52"/>
        <v>89820.397090575687</v>
      </c>
      <c r="AI159" s="543">
        <f t="shared" si="37"/>
        <v>48040.858843134345</v>
      </c>
      <c r="AJ159" s="543">
        <f t="shared" si="53"/>
        <v>24172.555802721636</v>
      </c>
      <c r="AK159" s="300">
        <f t="shared" si="54"/>
        <v>9488529.1016826611</v>
      </c>
      <c r="AL159" s="543">
        <f t="shared" si="55"/>
        <v>72213.414645855984</v>
      </c>
      <c r="AM159" s="10">
        <f t="shared" si="56"/>
        <v>72213.414645855984</v>
      </c>
      <c r="AP159" s="437">
        <f t="shared" si="57"/>
        <v>146437.06756264938</v>
      </c>
    </row>
    <row r="160" spans="1:42" s="11" customFormat="1" hidden="1" x14ac:dyDescent="0.3">
      <c r="A160" s="775">
        <v>81</v>
      </c>
      <c r="B160" s="775">
        <f t="shared" si="38"/>
        <v>7</v>
      </c>
      <c r="C160" s="891">
        <f t="shared" si="39"/>
        <v>0.14489675614077413</v>
      </c>
      <c r="D160" s="891"/>
      <c r="E160" s="891">
        <f t="shared" si="39"/>
        <v>0.03</v>
      </c>
      <c r="F160" s="891">
        <f t="shared" si="31"/>
        <v>0.03</v>
      </c>
      <c r="G160" s="893">
        <f t="shared" si="40"/>
        <v>8732976.8456151411</v>
      </c>
      <c r="H160" s="436">
        <f t="shared" si="32"/>
        <v>44553.686105490211</v>
      </c>
      <c r="I160" s="302">
        <f t="shared" si="33"/>
        <v>0</v>
      </c>
      <c r="J160" s="301">
        <f t="shared" si="58"/>
        <v>22248.601694986322</v>
      </c>
      <c r="K160" s="301">
        <f t="shared" si="41"/>
        <v>66802.287800476537</v>
      </c>
      <c r="L160" s="10">
        <f t="shared" si="42"/>
        <v>66802.287800476537</v>
      </c>
      <c r="M160" s="302"/>
      <c r="N160" s="435">
        <f t="shared" si="43"/>
        <v>66802.287800476508</v>
      </c>
      <c r="O160" s="436">
        <f t="shared" si="34"/>
        <v>0</v>
      </c>
      <c r="P160" s="436">
        <f t="shared" si="44"/>
        <v>0</v>
      </c>
      <c r="R160" s="354">
        <f>+Hirdetmény!$AA$46</f>
        <v>0.13400000000000001</v>
      </c>
      <c r="S160" s="301">
        <f t="shared" si="45"/>
        <v>10715288.791911522</v>
      </c>
      <c r="T160" s="301">
        <f t="shared" si="35"/>
        <v>24040.961488850211</v>
      </c>
      <c r="U160" s="301">
        <f t="shared" si="46"/>
        <v>121588.10607379912</v>
      </c>
      <c r="V160" s="301">
        <f t="shared" si="47"/>
        <v>145629.06756264932</v>
      </c>
      <c r="W160" s="301">
        <f t="shared" si="48"/>
        <v>145629.06756264932</v>
      </c>
      <c r="AA160" s="12">
        <f>+paraméterek!$B$346</f>
        <v>6.4600000000000005E-2</v>
      </c>
      <c r="AB160" s="301">
        <f t="shared" si="49"/>
        <v>9530688.3671987876</v>
      </c>
      <c r="AC160" s="301">
        <f t="shared" si="36"/>
        <v>37595.727951789675</v>
      </c>
      <c r="AD160" s="301">
        <f t="shared" si="50"/>
        <v>52224.66913878599</v>
      </c>
      <c r="AE160" s="301">
        <f t="shared" si="51"/>
        <v>89820.397090575658</v>
      </c>
      <c r="AF160" s="477">
        <f t="shared" si="52"/>
        <v>89820.397090575658</v>
      </c>
      <c r="AI160" s="543">
        <f t="shared" si="37"/>
        <v>48162.629075618686</v>
      </c>
      <c r="AJ160" s="543">
        <f t="shared" si="53"/>
        <v>24050.785570237298</v>
      </c>
      <c r="AK160" s="300">
        <f t="shared" si="54"/>
        <v>9440366.4726070426</v>
      </c>
      <c r="AL160" s="543">
        <f t="shared" si="55"/>
        <v>72213.414645855984</v>
      </c>
      <c r="AM160" s="10">
        <f t="shared" si="56"/>
        <v>72213.414645855984</v>
      </c>
      <c r="AP160" s="437">
        <f t="shared" si="57"/>
        <v>146437.06756264932</v>
      </c>
    </row>
    <row r="161" spans="1:42" s="11" customFormat="1" hidden="1" x14ac:dyDescent="0.3">
      <c r="A161" s="775">
        <v>82</v>
      </c>
      <c r="B161" s="775">
        <f t="shared" si="38"/>
        <v>7</v>
      </c>
      <c r="C161" s="891">
        <f t="shared" ref="C161:E176" si="59">+C160</f>
        <v>0.14489675614077413</v>
      </c>
      <c r="D161" s="891"/>
      <c r="E161" s="891">
        <f t="shared" si="59"/>
        <v>0.03</v>
      </c>
      <c r="F161" s="891">
        <f t="shared" si="31"/>
        <v>0.03</v>
      </c>
      <c r="G161" s="893">
        <f t="shared" si="40"/>
        <v>8688310.2282913979</v>
      </c>
      <c r="H161" s="436">
        <f t="shared" si="32"/>
        <v>44666.617323743703</v>
      </c>
      <c r="I161" s="302">
        <f t="shared" si="33"/>
        <v>0</v>
      </c>
      <c r="J161" s="301">
        <f t="shared" si="58"/>
        <v>22135.670476732823</v>
      </c>
      <c r="K161" s="301">
        <f t="shared" si="41"/>
        <v>66802.287800476523</v>
      </c>
      <c r="L161" s="10">
        <f t="shared" si="42"/>
        <v>66802.287800476523</v>
      </c>
      <c r="M161" s="302"/>
      <c r="N161" s="435">
        <f t="shared" si="43"/>
        <v>66802.287800476508</v>
      </c>
      <c r="O161" s="436">
        <f t="shared" si="34"/>
        <v>0</v>
      </c>
      <c r="P161" s="436">
        <f t="shared" si="44"/>
        <v>0</v>
      </c>
      <c r="R161" s="354">
        <f>+Hirdetmény!$AA$46</f>
        <v>0.13400000000000001</v>
      </c>
      <c r="S161" s="301">
        <f t="shared" si="45"/>
        <v>10690975.644444333</v>
      </c>
      <c r="T161" s="301">
        <f t="shared" si="35"/>
        <v>24313.147467188093</v>
      </c>
      <c r="U161" s="301">
        <f t="shared" si="46"/>
        <v>121315.92009546125</v>
      </c>
      <c r="V161" s="301">
        <f t="shared" si="47"/>
        <v>145629.06756264935</v>
      </c>
      <c r="W161" s="301">
        <f t="shared" si="48"/>
        <v>145629.06756264935</v>
      </c>
      <c r="AA161" s="12">
        <f>+paraméterek!$B$346</f>
        <v>6.4600000000000005E-2</v>
      </c>
      <c r="AB161" s="301">
        <f t="shared" si="49"/>
        <v>9492887.4379346427</v>
      </c>
      <c r="AC161" s="301">
        <f t="shared" si="36"/>
        <v>37800.929264145067</v>
      </c>
      <c r="AD161" s="301">
        <f t="shared" si="50"/>
        <v>52019.467826430606</v>
      </c>
      <c r="AE161" s="301">
        <f t="shared" si="51"/>
        <v>89820.397090575672</v>
      </c>
      <c r="AF161" s="477">
        <f t="shared" si="52"/>
        <v>89820.397090575672</v>
      </c>
      <c r="AI161" s="543">
        <f t="shared" si="37"/>
        <v>48284.707961817294</v>
      </c>
      <c r="AJ161" s="543">
        <f t="shared" si="53"/>
        <v>23928.706684038683</v>
      </c>
      <c r="AK161" s="300">
        <f t="shared" si="54"/>
        <v>9392081.7646452244</v>
      </c>
      <c r="AL161" s="543">
        <f t="shared" si="55"/>
        <v>72213.414645855984</v>
      </c>
      <c r="AM161" s="10">
        <f t="shared" si="56"/>
        <v>72213.414645855984</v>
      </c>
      <c r="AP161" s="437">
        <f t="shared" si="57"/>
        <v>146437.06756264935</v>
      </c>
    </row>
    <row r="162" spans="1:42" s="11" customFormat="1" hidden="1" x14ac:dyDescent="0.3">
      <c r="A162" s="775">
        <v>83</v>
      </c>
      <c r="B162" s="775">
        <f t="shared" si="38"/>
        <v>7</v>
      </c>
      <c r="C162" s="891">
        <f t="shared" si="59"/>
        <v>0.14489675614077413</v>
      </c>
      <c r="D162" s="891"/>
      <c r="E162" s="891">
        <f t="shared" si="59"/>
        <v>0.03</v>
      </c>
      <c r="F162" s="891">
        <f t="shared" si="31"/>
        <v>0.03</v>
      </c>
      <c r="G162" s="893">
        <f t="shared" si="40"/>
        <v>8643530.3935001325</v>
      </c>
      <c r="H162" s="436">
        <f t="shared" si="32"/>
        <v>44779.834791265697</v>
      </c>
      <c r="I162" s="302">
        <f t="shared" si="33"/>
        <v>0</v>
      </c>
      <c r="J162" s="301">
        <f t="shared" si="58"/>
        <v>22022.453009210836</v>
      </c>
      <c r="K162" s="301">
        <f t="shared" si="41"/>
        <v>66802.287800476537</v>
      </c>
      <c r="L162" s="10">
        <f t="shared" si="42"/>
        <v>66802.287800476537</v>
      </c>
      <c r="M162" s="302"/>
      <c r="N162" s="435">
        <f t="shared" si="43"/>
        <v>66802.287800476508</v>
      </c>
      <c r="O162" s="436">
        <f t="shared" si="34"/>
        <v>0</v>
      </c>
      <c r="P162" s="436">
        <f t="shared" si="44"/>
        <v>0</v>
      </c>
      <c r="R162" s="354">
        <f>+Hirdetmény!$AA$46</f>
        <v>0.13400000000000001</v>
      </c>
      <c r="S162" s="301">
        <f t="shared" si="45"/>
        <v>10666387.229374686</v>
      </c>
      <c r="T162" s="301">
        <f t="shared" si="35"/>
        <v>24588.415069646457</v>
      </c>
      <c r="U162" s="301">
        <f t="shared" si="46"/>
        <v>121040.65249300287</v>
      </c>
      <c r="V162" s="301">
        <f t="shared" si="47"/>
        <v>145629.06756264932</v>
      </c>
      <c r="W162" s="301">
        <f t="shared" si="48"/>
        <v>145629.06756264932</v>
      </c>
      <c r="AA162" s="12">
        <f>+paraméterek!$B$346</f>
        <v>6.4600000000000005E-2</v>
      </c>
      <c r="AB162" s="301">
        <f t="shared" si="49"/>
        <v>9454880.1873484794</v>
      </c>
      <c r="AC162" s="301">
        <f t="shared" si="36"/>
        <v>38007.250586163413</v>
      </c>
      <c r="AD162" s="301">
        <f t="shared" si="50"/>
        <v>51813.14650441226</v>
      </c>
      <c r="AE162" s="301">
        <f t="shared" si="51"/>
        <v>89820.397090575672</v>
      </c>
      <c r="AF162" s="477">
        <f t="shared" si="52"/>
        <v>89820.397090575672</v>
      </c>
      <c r="AI162" s="543">
        <f t="shared" si="37"/>
        <v>48407.096284081621</v>
      </c>
      <c r="AJ162" s="543">
        <f t="shared" si="53"/>
        <v>23806.318361774353</v>
      </c>
      <c r="AK162" s="300">
        <f t="shared" si="54"/>
        <v>9343674.6683611423</v>
      </c>
      <c r="AL162" s="543">
        <f t="shared" si="55"/>
        <v>72213.41464585597</v>
      </c>
      <c r="AM162" s="10">
        <f t="shared" si="56"/>
        <v>72213.41464585597</v>
      </c>
      <c r="AP162" s="437">
        <f t="shared" si="57"/>
        <v>146437.06756264932</v>
      </c>
    </row>
    <row r="163" spans="1:42" s="11" customFormat="1" hidden="1" x14ac:dyDescent="0.3">
      <c r="A163" s="775">
        <v>84</v>
      </c>
      <c r="B163" s="775">
        <f t="shared" si="38"/>
        <v>7</v>
      </c>
      <c r="C163" s="891">
        <f t="shared" si="59"/>
        <v>0.14489675614077413</v>
      </c>
      <c r="D163" s="891"/>
      <c r="E163" s="891">
        <f t="shared" si="59"/>
        <v>0.03</v>
      </c>
      <c r="F163" s="891">
        <f t="shared" si="31"/>
        <v>0.03</v>
      </c>
      <c r="G163" s="893">
        <f t="shared" si="40"/>
        <v>8598637.0542665143</v>
      </c>
      <c r="H163" s="436">
        <f t="shared" si="32"/>
        <v>44893.339233618564</v>
      </c>
      <c r="I163" s="302">
        <f t="shared" si="33"/>
        <v>0</v>
      </c>
      <c r="J163" s="301">
        <f t="shared" si="58"/>
        <v>21908.948566857973</v>
      </c>
      <c r="K163" s="301">
        <f t="shared" si="41"/>
        <v>66802.287800476537</v>
      </c>
      <c r="L163" s="10">
        <f t="shared" si="42"/>
        <v>66802.287800476537</v>
      </c>
      <c r="M163" s="302"/>
      <c r="N163" s="435">
        <f t="shared" si="43"/>
        <v>66802.287800476508</v>
      </c>
      <c r="O163" s="436">
        <f t="shared" si="34"/>
        <v>0</v>
      </c>
      <c r="P163" s="436">
        <f t="shared" si="44"/>
        <v>0</v>
      </c>
      <c r="R163" s="354">
        <f>+Hirdetmény!$AA$46</f>
        <v>0.13400000000000001</v>
      </c>
      <c r="S163" s="301">
        <f t="shared" si="45"/>
        <v>10641520.430189054</v>
      </c>
      <c r="T163" s="301">
        <f t="shared" si="35"/>
        <v>24866.799185631739</v>
      </c>
      <c r="U163" s="301">
        <f t="shared" si="46"/>
        <v>120762.26837701756</v>
      </c>
      <c r="V163" s="301">
        <f t="shared" si="47"/>
        <v>145629.06756264932</v>
      </c>
      <c r="W163" s="301">
        <f t="shared" si="48"/>
        <v>145629.06756264932</v>
      </c>
      <c r="AA163" s="12">
        <f>+paraméterek!$B$346</f>
        <v>6.4600000000000005E-2</v>
      </c>
      <c r="AB163" s="301">
        <f t="shared" si="49"/>
        <v>9416665.4893175084</v>
      </c>
      <c r="AC163" s="301">
        <f t="shared" si="36"/>
        <v>38214.698030971536</v>
      </c>
      <c r="AD163" s="301">
        <f t="shared" si="50"/>
        <v>51605.699059604129</v>
      </c>
      <c r="AE163" s="301">
        <f t="shared" si="51"/>
        <v>89820.397090575658</v>
      </c>
      <c r="AF163" s="477">
        <f t="shared" si="52"/>
        <v>89820.397090575658</v>
      </c>
      <c r="AI163" s="543">
        <f t="shared" si="37"/>
        <v>48529.794826746132</v>
      </c>
      <c r="AJ163" s="543">
        <f t="shared" si="53"/>
        <v>23683.619819109841</v>
      </c>
      <c r="AK163" s="300">
        <f t="shared" si="54"/>
        <v>9295144.8735343963</v>
      </c>
      <c r="AL163" s="543">
        <f t="shared" si="55"/>
        <v>72213.41464585597</v>
      </c>
      <c r="AM163" s="10">
        <f t="shared" si="56"/>
        <v>72213.41464585597</v>
      </c>
      <c r="AP163" s="437">
        <f t="shared" si="57"/>
        <v>146437.06756264932</v>
      </c>
    </row>
    <row r="164" spans="1:42" s="11" customFormat="1" hidden="1" x14ac:dyDescent="0.3">
      <c r="A164" s="775">
        <v>85</v>
      </c>
      <c r="B164" s="775">
        <f t="shared" si="38"/>
        <v>8</v>
      </c>
      <c r="C164" s="891">
        <f t="shared" si="59"/>
        <v>0.14489675614077413</v>
      </c>
      <c r="D164" s="891"/>
      <c r="E164" s="891">
        <f t="shared" si="59"/>
        <v>0.03</v>
      </c>
      <c r="F164" s="891">
        <f t="shared" si="31"/>
        <v>0.03</v>
      </c>
      <c r="G164" s="893">
        <f t="shared" si="40"/>
        <v>8553629.9228883106</v>
      </c>
      <c r="H164" s="436">
        <f t="shared" si="32"/>
        <v>45007.131378203769</v>
      </c>
      <c r="I164" s="302">
        <f t="shared" si="33"/>
        <v>0</v>
      </c>
      <c r="J164" s="301">
        <f t="shared" si="58"/>
        <v>21795.156422272761</v>
      </c>
      <c r="K164" s="301">
        <f t="shared" si="41"/>
        <v>66802.287800476537</v>
      </c>
      <c r="L164" s="10">
        <f t="shared" si="42"/>
        <v>66802.287800476537</v>
      </c>
      <c r="M164" s="302"/>
      <c r="N164" s="435">
        <f t="shared" si="43"/>
        <v>66802.287800476508</v>
      </c>
      <c r="O164" s="436">
        <f t="shared" si="34"/>
        <v>0</v>
      </c>
      <c r="P164" s="436">
        <f t="shared" si="44"/>
        <v>0</v>
      </c>
      <c r="R164" s="354">
        <f>+Hirdetmény!$AA$46</f>
        <v>0.13400000000000001</v>
      </c>
      <c r="S164" s="301">
        <f t="shared" si="45"/>
        <v>10616372.095089495</v>
      </c>
      <c r="T164" s="301">
        <f t="shared" si="35"/>
        <v>25148.335099559805</v>
      </c>
      <c r="U164" s="301">
        <f t="shared" si="46"/>
        <v>120480.73246308952</v>
      </c>
      <c r="V164" s="301">
        <f t="shared" si="47"/>
        <v>145629.06756264932</v>
      </c>
      <c r="W164" s="301">
        <f t="shared" si="48"/>
        <v>145629.06756264932</v>
      </c>
      <c r="AA164" s="12">
        <f>+paraméterek!$B$346</f>
        <v>6.4600000000000005E-2</v>
      </c>
      <c r="AB164" s="301">
        <f t="shared" si="49"/>
        <v>9378242.2115724459</v>
      </c>
      <c r="AC164" s="301">
        <f t="shared" si="36"/>
        <v>38423.277745062354</v>
      </c>
      <c r="AD164" s="301">
        <f t="shared" si="50"/>
        <v>51397.119345513325</v>
      </c>
      <c r="AE164" s="301">
        <f t="shared" si="51"/>
        <v>89820.397090575687</v>
      </c>
      <c r="AF164" s="477">
        <f t="shared" si="52"/>
        <v>89820.397090575687</v>
      </c>
      <c r="AI164" s="543">
        <f t="shared" si="37"/>
        <v>48652.804376133368</v>
      </c>
      <c r="AJ164" s="543">
        <f t="shared" si="53"/>
        <v>23560.610269722598</v>
      </c>
      <c r="AK164" s="300">
        <f t="shared" si="54"/>
        <v>9246492.0691582635</v>
      </c>
      <c r="AL164" s="543">
        <f t="shared" si="55"/>
        <v>72213.41464585597</v>
      </c>
      <c r="AM164" s="10">
        <f t="shared" si="56"/>
        <v>72213.41464585597</v>
      </c>
      <c r="AP164" s="437">
        <f t="shared" si="57"/>
        <v>146437.06756264932</v>
      </c>
    </row>
    <row r="165" spans="1:42" s="11" customFormat="1" hidden="1" x14ac:dyDescent="0.3">
      <c r="A165" s="775">
        <v>86</v>
      </c>
      <c r="B165" s="775">
        <f t="shared" si="38"/>
        <v>8</v>
      </c>
      <c r="C165" s="891">
        <f t="shared" si="59"/>
        <v>0.14489675614077413</v>
      </c>
      <c r="D165" s="891"/>
      <c r="E165" s="891">
        <f t="shared" si="59"/>
        <v>0.03</v>
      </c>
      <c r="F165" s="891">
        <f t="shared" si="31"/>
        <v>0.03</v>
      </c>
      <c r="G165" s="893">
        <f t="shared" si="40"/>
        <v>8508508.7109340448</v>
      </c>
      <c r="H165" s="436">
        <f t="shared" si="32"/>
        <v>45121.211954266582</v>
      </c>
      <c r="I165" s="302">
        <f t="shared" si="33"/>
        <v>0</v>
      </c>
      <c r="J165" s="301">
        <f t="shared" si="58"/>
        <v>21681.075846209955</v>
      </c>
      <c r="K165" s="301">
        <f t="shared" si="41"/>
        <v>66802.287800476537</v>
      </c>
      <c r="L165" s="10">
        <f t="shared" si="42"/>
        <v>66802.287800476537</v>
      </c>
      <c r="M165" s="302"/>
      <c r="N165" s="435">
        <f t="shared" si="43"/>
        <v>66802.287800476508</v>
      </c>
      <c r="O165" s="436">
        <f t="shared" si="34"/>
        <v>0</v>
      </c>
      <c r="P165" s="436">
        <f t="shared" si="44"/>
        <v>0</v>
      </c>
      <c r="R165" s="354">
        <f>+Hirdetmény!$AA$46</f>
        <v>0.13400000000000001</v>
      </c>
      <c r="S165" s="301">
        <f t="shared" si="45"/>
        <v>10590939.036594167</v>
      </c>
      <c r="T165" s="301">
        <f t="shared" si="35"/>
        <v>25433.058495328212</v>
      </c>
      <c r="U165" s="301">
        <f t="shared" si="46"/>
        <v>120196.00906732114</v>
      </c>
      <c r="V165" s="301">
        <f t="shared" si="47"/>
        <v>145629.06756264935</v>
      </c>
      <c r="W165" s="301">
        <f t="shared" si="48"/>
        <v>145629.06756264935</v>
      </c>
      <c r="AA165" s="12">
        <f>+paraméterek!$B$346</f>
        <v>6.4600000000000005E-2</v>
      </c>
      <c r="AB165" s="301">
        <f t="shared" si="49"/>
        <v>9339609.2156639695</v>
      </c>
      <c r="AC165" s="301">
        <f t="shared" si="36"/>
        <v>38632.995908476893</v>
      </c>
      <c r="AD165" s="301">
        <f t="shared" si="50"/>
        <v>51187.40118209878</v>
      </c>
      <c r="AE165" s="301">
        <f t="shared" si="51"/>
        <v>89820.397090575672</v>
      </c>
      <c r="AF165" s="477">
        <f t="shared" si="52"/>
        <v>89820.397090575672</v>
      </c>
      <c r="AI165" s="543">
        <f t="shared" si="37"/>
        <v>48776.125720558994</v>
      </c>
      <c r="AJ165" s="543">
        <f t="shared" si="53"/>
        <v>23437.288925296987</v>
      </c>
      <c r="AK165" s="300">
        <f t="shared" si="54"/>
        <v>9197715.9434377048</v>
      </c>
      <c r="AL165" s="543">
        <f t="shared" si="55"/>
        <v>72213.414645855984</v>
      </c>
      <c r="AM165" s="10">
        <f t="shared" si="56"/>
        <v>72213.414645855984</v>
      </c>
      <c r="AP165" s="437">
        <f t="shared" si="57"/>
        <v>146437.06756264935</v>
      </c>
    </row>
    <row r="166" spans="1:42" s="11" customFormat="1" hidden="1" x14ac:dyDescent="0.3">
      <c r="A166" s="775">
        <v>87</v>
      </c>
      <c r="B166" s="775">
        <f t="shared" si="38"/>
        <v>8</v>
      </c>
      <c r="C166" s="891">
        <f t="shared" si="59"/>
        <v>0.14489675614077413</v>
      </c>
      <c r="D166" s="891"/>
      <c r="E166" s="891">
        <f t="shared" si="59"/>
        <v>0.03</v>
      </c>
      <c r="F166" s="891">
        <f t="shared" si="31"/>
        <v>0.03</v>
      </c>
      <c r="G166" s="893">
        <f t="shared" si="40"/>
        <v>8463273.1292411443</v>
      </c>
      <c r="H166" s="436">
        <f t="shared" si="32"/>
        <v>45235.581692900661</v>
      </c>
      <c r="I166" s="302">
        <f t="shared" si="33"/>
        <v>0</v>
      </c>
      <c r="J166" s="301">
        <f t="shared" si="58"/>
        <v>21566.706107575879</v>
      </c>
      <c r="K166" s="301">
        <f t="shared" si="41"/>
        <v>66802.287800476537</v>
      </c>
      <c r="L166" s="10">
        <f t="shared" si="42"/>
        <v>66802.287800476537</v>
      </c>
      <c r="M166" s="302"/>
      <c r="N166" s="435">
        <f t="shared" si="43"/>
        <v>66802.287800476508</v>
      </c>
      <c r="O166" s="436">
        <f t="shared" si="34"/>
        <v>0</v>
      </c>
      <c r="P166" s="436">
        <f t="shared" si="44"/>
        <v>0</v>
      </c>
      <c r="R166" s="354">
        <f>+Hirdetmény!$AA$46</f>
        <v>0.13400000000000001</v>
      </c>
      <c r="S166" s="301">
        <f t="shared" si="45"/>
        <v>10565218.031133328</v>
      </c>
      <c r="T166" s="301">
        <f t="shared" si="35"/>
        <v>25721.005460838973</v>
      </c>
      <c r="U166" s="301">
        <f t="shared" si="46"/>
        <v>119908.06210181037</v>
      </c>
      <c r="V166" s="301">
        <f t="shared" si="47"/>
        <v>145629.06756264935</v>
      </c>
      <c r="W166" s="301">
        <f t="shared" si="48"/>
        <v>145629.06756264935</v>
      </c>
      <c r="AA166" s="12">
        <f>+paraméterek!$B$346</f>
        <v>6.4600000000000005E-2</v>
      </c>
      <c r="AB166" s="301">
        <f t="shared" si="49"/>
        <v>9300765.3569289818</v>
      </c>
      <c r="AC166" s="301">
        <f t="shared" si="36"/>
        <v>38843.858734987538</v>
      </c>
      <c r="AD166" s="301">
        <f t="shared" si="50"/>
        <v>50976.538355588142</v>
      </c>
      <c r="AE166" s="301">
        <f t="shared" si="51"/>
        <v>89820.397090575687</v>
      </c>
      <c r="AF166" s="477">
        <f t="shared" si="52"/>
        <v>89820.397090575687</v>
      </c>
      <c r="AI166" s="543">
        <f t="shared" si="37"/>
        <v>48899.759650336804</v>
      </c>
      <c r="AJ166" s="543">
        <f t="shared" si="53"/>
        <v>23313.65499551918</v>
      </c>
      <c r="AK166" s="300">
        <f t="shared" si="54"/>
        <v>9148816.1837873682</v>
      </c>
      <c r="AL166" s="543">
        <f t="shared" si="55"/>
        <v>72213.414645855984</v>
      </c>
      <c r="AM166" s="10">
        <f t="shared" si="56"/>
        <v>72213.414645855984</v>
      </c>
      <c r="AP166" s="437">
        <f t="shared" si="57"/>
        <v>146437.06756264935</v>
      </c>
    </row>
    <row r="167" spans="1:42" s="11" customFormat="1" hidden="1" x14ac:dyDescent="0.3">
      <c r="A167" s="775">
        <v>88</v>
      </c>
      <c r="B167" s="775">
        <f t="shared" si="38"/>
        <v>8</v>
      </c>
      <c r="C167" s="891">
        <f t="shared" si="59"/>
        <v>0.14489675614077413</v>
      </c>
      <c r="D167" s="891"/>
      <c r="E167" s="891">
        <f t="shared" si="59"/>
        <v>0.03</v>
      </c>
      <c r="F167" s="891">
        <f t="shared" si="31"/>
        <v>0.03</v>
      </c>
      <c r="G167" s="893">
        <f t="shared" si="40"/>
        <v>8417922.8879140913</v>
      </c>
      <c r="H167" s="436">
        <f t="shared" si="32"/>
        <v>45350.241327052805</v>
      </c>
      <c r="I167" s="302">
        <f t="shared" si="33"/>
        <v>0</v>
      </c>
      <c r="J167" s="301">
        <f t="shared" si="58"/>
        <v>21452.046473423736</v>
      </c>
      <c r="K167" s="301">
        <f t="shared" si="41"/>
        <v>66802.287800476537</v>
      </c>
      <c r="L167" s="10">
        <f t="shared" si="42"/>
        <v>66802.287800476537</v>
      </c>
      <c r="M167" s="302"/>
      <c r="N167" s="435">
        <f t="shared" si="43"/>
        <v>66802.287800476508</v>
      </c>
      <c r="O167" s="436">
        <f t="shared" si="34"/>
        <v>0</v>
      </c>
      <c r="P167" s="436">
        <f t="shared" si="44"/>
        <v>0</v>
      </c>
      <c r="R167" s="354">
        <f>+Hirdetmény!$AA$46</f>
        <v>0.13400000000000001</v>
      </c>
      <c r="S167" s="301">
        <f t="shared" si="45"/>
        <v>10539205.818640755</v>
      </c>
      <c r="T167" s="301">
        <f t="shared" si="35"/>
        <v>26012.212492572675</v>
      </c>
      <c r="U167" s="301">
        <f t="shared" si="46"/>
        <v>119616.85507007665</v>
      </c>
      <c r="V167" s="301">
        <f t="shared" si="47"/>
        <v>145629.06756264932</v>
      </c>
      <c r="W167" s="301">
        <f t="shared" si="48"/>
        <v>145629.06756264932</v>
      </c>
      <c r="AA167" s="12">
        <f>+paraméterek!$B$346</f>
        <v>6.4600000000000005E-2</v>
      </c>
      <c r="AB167" s="301">
        <f t="shared" si="49"/>
        <v>9261709.4844566993</v>
      </c>
      <c r="AC167" s="301">
        <f t="shared" si="36"/>
        <v>39055.872472282041</v>
      </c>
      <c r="AD167" s="301">
        <f t="shared" si="50"/>
        <v>50764.524618293632</v>
      </c>
      <c r="AE167" s="301">
        <f t="shared" si="51"/>
        <v>89820.397090575672</v>
      </c>
      <c r="AF167" s="477">
        <f t="shared" si="52"/>
        <v>89820.397090575672</v>
      </c>
      <c r="AI167" s="543">
        <f t="shared" si="37"/>
        <v>49023.706957783834</v>
      </c>
      <c r="AJ167" s="543">
        <f t="shared" si="53"/>
        <v>23189.707688072147</v>
      </c>
      <c r="AK167" s="300">
        <f t="shared" si="54"/>
        <v>9099792.4768295847</v>
      </c>
      <c r="AL167" s="543">
        <f t="shared" si="55"/>
        <v>72213.414645855984</v>
      </c>
      <c r="AM167" s="10">
        <f t="shared" si="56"/>
        <v>72213.414645855984</v>
      </c>
      <c r="AP167" s="437">
        <f t="shared" si="57"/>
        <v>146437.06756264932</v>
      </c>
    </row>
    <row r="168" spans="1:42" s="11" customFormat="1" hidden="1" x14ac:dyDescent="0.3">
      <c r="A168" s="775">
        <v>89</v>
      </c>
      <c r="B168" s="775">
        <f t="shared" si="38"/>
        <v>8</v>
      </c>
      <c r="C168" s="891">
        <f t="shared" si="59"/>
        <v>0.14489675614077413</v>
      </c>
      <c r="D168" s="891"/>
      <c r="E168" s="891">
        <f t="shared" si="59"/>
        <v>0.03</v>
      </c>
      <c r="F168" s="891">
        <f t="shared" si="31"/>
        <v>0.03</v>
      </c>
      <c r="G168" s="893">
        <f t="shared" si="40"/>
        <v>8372457.696322564</v>
      </c>
      <c r="H168" s="436">
        <f t="shared" si="32"/>
        <v>45465.191591527626</v>
      </c>
      <c r="I168" s="302">
        <f t="shared" si="33"/>
        <v>0</v>
      </c>
      <c r="J168" s="301">
        <f t="shared" si="58"/>
        <v>21337.096208948915</v>
      </c>
      <c r="K168" s="301">
        <f t="shared" si="41"/>
        <v>66802.287800476537</v>
      </c>
      <c r="L168" s="10">
        <f t="shared" si="42"/>
        <v>66802.287800476537</v>
      </c>
      <c r="M168" s="302"/>
      <c r="N168" s="435">
        <f t="shared" si="43"/>
        <v>66802.287800476508</v>
      </c>
      <c r="O168" s="436">
        <f t="shared" si="34"/>
        <v>0</v>
      </c>
      <c r="P168" s="436">
        <f t="shared" si="44"/>
        <v>0</v>
      </c>
      <c r="R168" s="354">
        <f>+Hirdetmény!$AA$46</f>
        <v>0.13400000000000001</v>
      </c>
      <c r="S168" s="301">
        <f t="shared" si="45"/>
        <v>10512899.102140542</v>
      </c>
      <c r="T168" s="301">
        <f t="shared" si="35"/>
        <v>26306.716500214279</v>
      </c>
      <c r="U168" s="301">
        <f t="shared" si="46"/>
        <v>119322.35106243505</v>
      </c>
      <c r="V168" s="301">
        <f t="shared" si="47"/>
        <v>145629.06756264932</v>
      </c>
      <c r="W168" s="301">
        <f t="shared" si="48"/>
        <v>145629.06756264932</v>
      </c>
      <c r="AA168" s="12">
        <f>+paraméterek!$B$346</f>
        <v>6.4600000000000005E-2</v>
      </c>
      <c r="AB168" s="301">
        <f t="shared" si="49"/>
        <v>9222440.4410545509</v>
      </c>
      <c r="AC168" s="301">
        <f t="shared" si="36"/>
        <v>39269.043402148702</v>
      </c>
      <c r="AD168" s="301">
        <f t="shared" si="50"/>
        <v>50551.353688426971</v>
      </c>
      <c r="AE168" s="301">
        <f t="shared" si="51"/>
        <v>89820.397090575672</v>
      </c>
      <c r="AF168" s="477">
        <f t="shared" si="52"/>
        <v>89820.397090575672</v>
      </c>
      <c r="AI168" s="543">
        <f t="shared" si="37"/>
        <v>49147.968437225434</v>
      </c>
      <c r="AJ168" s="543">
        <f t="shared" si="53"/>
        <v>23065.446208630543</v>
      </c>
      <c r="AK168" s="300">
        <f t="shared" si="54"/>
        <v>9050644.5083923601</v>
      </c>
      <c r="AL168" s="543">
        <f t="shared" si="55"/>
        <v>72213.414645855984</v>
      </c>
      <c r="AM168" s="10">
        <f t="shared" si="56"/>
        <v>72213.414645855984</v>
      </c>
      <c r="AP168" s="437">
        <f t="shared" si="57"/>
        <v>146437.06756264932</v>
      </c>
    </row>
    <row r="169" spans="1:42" s="11" customFormat="1" hidden="1" x14ac:dyDescent="0.3">
      <c r="A169" s="775">
        <v>90</v>
      </c>
      <c r="B169" s="775">
        <f t="shared" si="38"/>
        <v>8</v>
      </c>
      <c r="C169" s="891">
        <f t="shared" si="59"/>
        <v>0.14489675614077413</v>
      </c>
      <c r="D169" s="891"/>
      <c r="E169" s="891">
        <f t="shared" si="59"/>
        <v>0.03</v>
      </c>
      <c r="F169" s="891">
        <f t="shared" si="31"/>
        <v>0.03</v>
      </c>
      <c r="G169" s="893">
        <f t="shared" si="40"/>
        <v>8326877.2630995717</v>
      </c>
      <c r="H169" s="436">
        <f t="shared" si="32"/>
        <v>45580.433222992258</v>
      </c>
      <c r="I169" s="302">
        <f t="shared" si="33"/>
        <v>0</v>
      </c>
      <c r="J169" s="301">
        <f t="shared" si="58"/>
        <v>21221.854577484275</v>
      </c>
      <c r="K169" s="301">
        <f t="shared" si="41"/>
        <v>66802.287800476537</v>
      </c>
      <c r="L169" s="10">
        <f t="shared" si="42"/>
        <v>66802.287800476537</v>
      </c>
      <c r="M169" s="302"/>
      <c r="N169" s="435">
        <f t="shared" si="43"/>
        <v>66802.287800476508</v>
      </c>
      <c r="O169" s="436">
        <f t="shared" si="34"/>
        <v>0</v>
      </c>
      <c r="P169" s="436">
        <f t="shared" si="44"/>
        <v>0</v>
      </c>
      <c r="R169" s="354">
        <f>+Hirdetmény!$AA$46</f>
        <v>0.13400000000000001</v>
      </c>
      <c r="S169" s="301">
        <f t="shared" si="45"/>
        <v>10486294.547329212</v>
      </c>
      <c r="T169" s="301">
        <f t="shared" si="35"/>
        <v>26604.554811331294</v>
      </c>
      <c r="U169" s="301">
        <f t="shared" si="46"/>
        <v>119024.51275131806</v>
      </c>
      <c r="V169" s="301">
        <f t="shared" si="47"/>
        <v>145629.06756264935</v>
      </c>
      <c r="W169" s="301">
        <f t="shared" si="48"/>
        <v>145629.06756264935</v>
      </c>
      <c r="AA169" s="12">
        <f>+paraméterek!$B$346</f>
        <v>6.4600000000000005E-2</v>
      </c>
      <c r="AB169" s="301">
        <f t="shared" si="49"/>
        <v>9182957.0632138886</v>
      </c>
      <c r="AC169" s="301">
        <f t="shared" si="36"/>
        <v>39483.377840662411</v>
      </c>
      <c r="AD169" s="301">
        <f t="shared" si="50"/>
        <v>50337.019249913254</v>
      </c>
      <c r="AE169" s="301">
        <f t="shared" si="51"/>
        <v>89820.397090575658</v>
      </c>
      <c r="AF169" s="477">
        <f t="shared" si="52"/>
        <v>89820.397090575658</v>
      </c>
      <c r="AI169" s="543">
        <f t="shared" si="37"/>
        <v>49272.544885000367</v>
      </c>
      <c r="AJ169" s="543">
        <f t="shared" si="53"/>
        <v>22940.869760855636</v>
      </c>
      <c r="AK169" s="300">
        <f t="shared" si="54"/>
        <v>9001371.9635073598</v>
      </c>
      <c r="AL169" s="543">
        <f t="shared" si="55"/>
        <v>72213.414645855999</v>
      </c>
      <c r="AM169" s="10">
        <f t="shared" si="56"/>
        <v>72213.414645855999</v>
      </c>
      <c r="AP169" s="437">
        <f t="shared" si="57"/>
        <v>146437.06756264935</v>
      </c>
    </row>
    <row r="170" spans="1:42" s="11" customFormat="1" hidden="1" x14ac:dyDescent="0.3">
      <c r="A170" s="775">
        <v>91</v>
      </c>
      <c r="B170" s="775">
        <f t="shared" si="38"/>
        <v>8</v>
      </c>
      <c r="C170" s="891">
        <f t="shared" si="59"/>
        <v>0.14489675614077413</v>
      </c>
      <c r="D170" s="891"/>
      <c r="E170" s="891">
        <f t="shared" si="59"/>
        <v>0.03</v>
      </c>
      <c r="F170" s="891">
        <f t="shared" si="31"/>
        <v>0.03</v>
      </c>
      <c r="G170" s="893">
        <f t="shared" si="40"/>
        <v>8281181.2961395904</v>
      </c>
      <c r="H170" s="436">
        <f t="shared" si="32"/>
        <v>45695.966959981095</v>
      </c>
      <c r="I170" s="302">
        <f t="shared" si="33"/>
        <v>0</v>
      </c>
      <c r="J170" s="301">
        <f t="shared" si="58"/>
        <v>21106.320840495442</v>
      </c>
      <c r="K170" s="301">
        <f t="shared" si="41"/>
        <v>66802.287800476537</v>
      </c>
      <c r="L170" s="10">
        <f t="shared" si="42"/>
        <v>66802.287800476537</v>
      </c>
      <c r="M170" s="302"/>
      <c r="N170" s="435">
        <f t="shared" si="43"/>
        <v>66802.287800476508</v>
      </c>
      <c r="O170" s="436">
        <f t="shared" si="34"/>
        <v>0</v>
      </c>
      <c r="P170" s="436">
        <f t="shared" si="44"/>
        <v>0</v>
      </c>
      <c r="R170" s="354">
        <f>+Hirdetmény!$AA$46</f>
        <v>0.13400000000000001</v>
      </c>
      <c r="S170" s="301">
        <f t="shared" si="45"/>
        <v>10459388.782153107</v>
      </c>
      <c r="T170" s="301">
        <f t="shared" si="35"/>
        <v>26905.765176104956</v>
      </c>
      <c r="U170" s="301">
        <f t="shared" si="46"/>
        <v>118723.30238654438</v>
      </c>
      <c r="V170" s="301">
        <f t="shared" si="47"/>
        <v>145629.06756264935</v>
      </c>
      <c r="W170" s="301">
        <f t="shared" si="48"/>
        <v>145629.06756264935</v>
      </c>
      <c r="AA170" s="12">
        <f>+paraméterek!$B$346</f>
        <v>6.4600000000000005E-2</v>
      </c>
      <c r="AB170" s="301">
        <f t="shared" si="49"/>
        <v>9143258.1810755171</v>
      </c>
      <c r="AC170" s="301">
        <f t="shared" si="36"/>
        <v>39698.882138371904</v>
      </c>
      <c r="AD170" s="301">
        <f t="shared" si="50"/>
        <v>50121.514952203775</v>
      </c>
      <c r="AE170" s="301">
        <f t="shared" si="51"/>
        <v>89820.397090575687</v>
      </c>
      <c r="AF170" s="477">
        <f t="shared" si="52"/>
        <v>89820.397090575687</v>
      </c>
      <c r="AI170" s="543">
        <f t="shared" si="37"/>
        <v>49397.437099465809</v>
      </c>
      <c r="AJ170" s="543">
        <f t="shared" si="53"/>
        <v>22815.977546390182</v>
      </c>
      <c r="AK170" s="300">
        <f t="shared" si="54"/>
        <v>8951974.5264078937</v>
      </c>
      <c r="AL170" s="543">
        <f t="shared" si="55"/>
        <v>72213.414645855984</v>
      </c>
      <c r="AM170" s="10">
        <f t="shared" si="56"/>
        <v>72213.414645855984</v>
      </c>
      <c r="AP170" s="437">
        <f t="shared" si="57"/>
        <v>146437.06756264935</v>
      </c>
    </row>
    <row r="171" spans="1:42" s="11" customFormat="1" hidden="1" x14ac:dyDescent="0.3">
      <c r="A171" s="775">
        <v>92</v>
      </c>
      <c r="B171" s="775">
        <f t="shared" si="38"/>
        <v>8</v>
      </c>
      <c r="C171" s="891">
        <f t="shared" si="59"/>
        <v>0.14489675614077413</v>
      </c>
      <c r="D171" s="891"/>
      <c r="E171" s="891">
        <f t="shared" si="59"/>
        <v>0.03</v>
      </c>
      <c r="F171" s="891">
        <f t="shared" si="31"/>
        <v>0.03</v>
      </c>
      <c r="G171" s="893">
        <f t="shared" si="40"/>
        <v>8235369.5025966903</v>
      </c>
      <c r="H171" s="436">
        <f t="shared" si="32"/>
        <v>45811.793542900487</v>
      </c>
      <c r="I171" s="302">
        <f t="shared" si="33"/>
        <v>0</v>
      </c>
      <c r="J171" s="301">
        <f t="shared" si="58"/>
        <v>20990.494257576047</v>
      </c>
      <c r="K171" s="301">
        <f t="shared" si="41"/>
        <v>66802.287800476537</v>
      </c>
      <c r="L171" s="10">
        <f t="shared" si="42"/>
        <v>66802.287800476537</v>
      </c>
      <c r="M171" s="302"/>
      <c r="N171" s="435">
        <f t="shared" si="43"/>
        <v>66802.287800476508</v>
      </c>
      <c r="O171" s="436">
        <f t="shared" si="34"/>
        <v>0</v>
      </c>
      <c r="P171" s="436">
        <f t="shared" si="44"/>
        <v>0</v>
      </c>
      <c r="R171" s="354">
        <f>+Hirdetmény!$AA$46</f>
        <v>0.13400000000000001</v>
      </c>
      <c r="S171" s="301">
        <f t="shared" si="45"/>
        <v>10432178.396380993</v>
      </c>
      <c r="T171" s="301">
        <f t="shared" si="35"/>
        <v>27210.385772114987</v>
      </c>
      <c r="U171" s="301">
        <f t="shared" si="46"/>
        <v>118418.68179053438</v>
      </c>
      <c r="V171" s="301">
        <f t="shared" si="47"/>
        <v>145629.06756264938</v>
      </c>
      <c r="W171" s="301">
        <f t="shared" si="48"/>
        <v>145629.06756264938</v>
      </c>
      <c r="AA171" s="12">
        <f>+paraméterek!$B$346</f>
        <v>6.4600000000000005E-2</v>
      </c>
      <c r="AB171" s="301">
        <f t="shared" si="49"/>
        <v>9103342.6183950286</v>
      </c>
      <c r="AC171" s="301">
        <f t="shared" si="36"/>
        <v>39915.562680487797</v>
      </c>
      <c r="AD171" s="301">
        <f t="shared" si="50"/>
        <v>49904.834410087875</v>
      </c>
      <c r="AE171" s="301">
        <f t="shared" si="51"/>
        <v>89820.397090575672</v>
      </c>
      <c r="AF171" s="477">
        <f t="shared" si="52"/>
        <v>89820.397090575672</v>
      </c>
      <c r="AI171" s="543">
        <f t="shared" si="37"/>
        <v>49522.645881002645</v>
      </c>
      <c r="AJ171" s="543">
        <f t="shared" si="53"/>
        <v>22690.768764853343</v>
      </c>
      <c r="AK171" s="300">
        <f t="shared" si="54"/>
        <v>8902451.880526891</v>
      </c>
      <c r="AL171" s="543">
        <f t="shared" si="55"/>
        <v>72213.414645855984</v>
      </c>
      <c r="AM171" s="10">
        <f t="shared" si="56"/>
        <v>72213.414645855984</v>
      </c>
      <c r="AP171" s="437">
        <f t="shared" si="57"/>
        <v>146437.06756264938</v>
      </c>
    </row>
    <row r="172" spans="1:42" s="11" customFormat="1" hidden="1" x14ac:dyDescent="0.3">
      <c r="A172" s="775">
        <v>93</v>
      </c>
      <c r="B172" s="775">
        <f t="shared" si="38"/>
        <v>8</v>
      </c>
      <c r="C172" s="891">
        <f t="shared" si="59"/>
        <v>0.14489675614077413</v>
      </c>
      <c r="D172" s="891"/>
      <c r="E172" s="891">
        <f t="shared" si="59"/>
        <v>0.03</v>
      </c>
      <c r="F172" s="891">
        <f t="shared" si="31"/>
        <v>0.03</v>
      </c>
      <c r="G172" s="893">
        <f t="shared" si="40"/>
        <v>8189441.5888826568</v>
      </c>
      <c r="H172" s="436">
        <f t="shared" si="32"/>
        <v>45927.913714033544</v>
      </c>
      <c r="I172" s="302">
        <f t="shared" si="33"/>
        <v>0</v>
      </c>
      <c r="J172" s="301">
        <f t="shared" si="58"/>
        <v>20874.374086443</v>
      </c>
      <c r="K172" s="301">
        <f t="shared" si="41"/>
        <v>66802.287800476537</v>
      </c>
      <c r="L172" s="10">
        <f t="shared" si="42"/>
        <v>66802.287800476537</v>
      </c>
      <c r="M172" s="302"/>
      <c r="N172" s="435">
        <f t="shared" si="43"/>
        <v>66802.287800476508</v>
      </c>
      <c r="O172" s="436">
        <f t="shared" si="34"/>
        <v>0</v>
      </c>
      <c r="P172" s="436">
        <f t="shared" si="44"/>
        <v>0</v>
      </c>
      <c r="R172" s="354">
        <f>+Hirdetmény!$AA$46</f>
        <v>0.13400000000000001</v>
      </c>
      <c r="S172" s="301">
        <f t="shared" si="45"/>
        <v>10404659.941171814</v>
      </c>
      <c r="T172" s="301">
        <f t="shared" si="35"/>
        <v>27518.455209178443</v>
      </c>
      <c r="U172" s="301">
        <f t="shared" si="46"/>
        <v>118110.61235347092</v>
      </c>
      <c r="V172" s="301">
        <f t="shared" si="47"/>
        <v>145629.06756264938</v>
      </c>
      <c r="W172" s="301">
        <f t="shared" si="48"/>
        <v>145629.06756264938</v>
      </c>
      <c r="AA172" s="12">
        <f>+paraméterek!$B$346</f>
        <v>6.4600000000000005E-2</v>
      </c>
      <c r="AB172" s="301">
        <f t="shared" si="49"/>
        <v>9063209.1925079562</v>
      </c>
      <c r="AC172" s="301">
        <f t="shared" si="36"/>
        <v>40133.425887071877</v>
      </c>
      <c r="AD172" s="301">
        <f t="shared" si="50"/>
        <v>49686.971203503803</v>
      </c>
      <c r="AE172" s="301">
        <f t="shared" si="51"/>
        <v>89820.397090575687</v>
      </c>
      <c r="AF172" s="477">
        <f t="shared" si="52"/>
        <v>89820.397090575687</v>
      </c>
      <c r="AI172" s="543">
        <f t="shared" si="37"/>
        <v>49648.172032020462</v>
      </c>
      <c r="AJ172" s="543">
        <f t="shared" si="53"/>
        <v>22565.242613835519</v>
      </c>
      <c r="AK172" s="300">
        <f t="shared" si="54"/>
        <v>8852803.70849487</v>
      </c>
      <c r="AL172" s="543">
        <f t="shared" si="55"/>
        <v>72213.414645855984</v>
      </c>
      <c r="AM172" s="10">
        <f t="shared" si="56"/>
        <v>72213.414645855984</v>
      </c>
      <c r="AP172" s="437">
        <f t="shared" si="57"/>
        <v>146437.06756264938</v>
      </c>
    </row>
    <row r="173" spans="1:42" s="11" customFormat="1" hidden="1" x14ac:dyDescent="0.3">
      <c r="A173" s="775">
        <v>94</v>
      </c>
      <c r="B173" s="775">
        <f t="shared" si="38"/>
        <v>8</v>
      </c>
      <c r="C173" s="891">
        <f t="shared" si="59"/>
        <v>0.14489675614077413</v>
      </c>
      <c r="D173" s="891"/>
      <c r="E173" s="891">
        <f t="shared" si="59"/>
        <v>0.03</v>
      </c>
      <c r="F173" s="891">
        <f t="shared" si="31"/>
        <v>0.03</v>
      </c>
      <c r="G173" s="893">
        <f t="shared" si="40"/>
        <v>8143397.2606651122</v>
      </c>
      <c r="H173" s="436">
        <f t="shared" si="32"/>
        <v>46044.328217544804</v>
      </c>
      <c r="I173" s="302">
        <f t="shared" si="33"/>
        <v>0</v>
      </c>
      <c r="J173" s="301">
        <f t="shared" si="58"/>
        <v>20757.959582931737</v>
      </c>
      <c r="K173" s="301">
        <f t="shared" si="41"/>
        <v>66802.287800476537</v>
      </c>
      <c r="L173" s="10">
        <f t="shared" si="42"/>
        <v>66802.287800476537</v>
      </c>
      <c r="M173" s="302"/>
      <c r="N173" s="435">
        <f t="shared" si="43"/>
        <v>66802.287800476508</v>
      </c>
      <c r="O173" s="436">
        <f t="shared" si="34"/>
        <v>0</v>
      </c>
      <c r="P173" s="436">
        <f t="shared" si="44"/>
        <v>0</v>
      </c>
      <c r="R173" s="354">
        <f>+Hirdetmény!$AA$46</f>
        <v>0.13400000000000001</v>
      </c>
      <c r="S173" s="301">
        <f t="shared" si="45"/>
        <v>10376829.92863757</v>
      </c>
      <c r="T173" s="301">
        <f t="shared" si="35"/>
        <v>27830.012534243469</v>
      </c>
      <c r="U173" s="301">
        <f t="shared" si="46"/>
        <v>117799.05502840588</v>
      </c>
      <c r="V173" s="301">
        <f t="shared" si="47"/>
        <v>145629.06756264935</v>
      </c>
      <c r="W173" s="301">
        <f t="shared" si="48"/>
        <v>145629.06756264935</v>
      </c>
      <c r="AA173" s="12">
        <f>+paraméterek!$B$346</f>
        <v>6.4600000000000005E-2</v>
      </c>
      <c r="AB173" s="301">
        <f t="shared" si="49"/>
        <v>9022856.7142947298</v>
      </c>
      <c r="AC173" s="301">
        <f t="shared" si="36"/>
        <v>40352.478213227259</v>
      </c>
      <c r="AD173" s="301">
        <f t="shared" si="50"/>
        <v>49467.918877348406</v>
      </c>
      <c r="AE173" s="301">
        <f t="shared" si="51"/>
        <v>89820.397090575658</v>
      </c>
      <c r="AF173" s="477">
        <f t="shared" si="52"/>
        <v>89820.397090575658</v>
      </c>
      <c r="AI173" s="543">
        <f t="shared" si="37"/>
        <v>49774.01635696274</v>
      </c>
      <c r="AJ173" s="543">
        <f t="shared" si="53"/>
        <v>22439.398288893248</v>
      </c>
      <c r="AK173" s="300">
        <f t="shared" si="54"/>
        <v>8803029.6921379063</v>
      </c>
      <c r="AL173" s="543">
        <f t="shared" si="55"/>
        <v>72213.414645855984</v>
      </c>
      <c r="AM173" s="10">
        <f t="shared" si="56"/>
        <v>72213.414645855984</v>
      </c>
      <c r="AP173" s="437">
        <f t="shared" si="57"/>
        <v>146437.06756264935</v>
      </c>
    </row>
    <row r="174" spans="1:42" s="11" customFormat="1" hidden="1" x14ac:dyDescent="0.3">
      <c r="A174" s="775">
        <v>95</v>
      </c>
      <c r="B174" s="775">
        <f t="shared" si="38"/>
        <v>8</v>
      </c>
      <c r="C174" s="891">
        <f t="shared" si="59"/>
        <v>0.14489675614077413</v>
      </c>
      <c r="D174" s="891"/>
      <c r="E174" s="891">
        <f t="shared" si="59"/>
        <v>0.03</v>
      </c>
      <c r="F174" s="891">
        <f t="shared" si="31"/>
        <v>0.03</v>
      </c>
      <c r="G174" s="893">
        <f t="shared" si="40"/>
        <v>8097236.2228656271</v>
      </c>
      <c r="H174" s="436">
        <f t="shared" si="32"/>
        <v>46161.037799485108</v>
      </c>
      <c r="I174" s="302">
        <f t="shared" si="33"/>
        <v>0</v>
      </c>
      <c r="J174" s="301">
        <f t="shared" si="58"/>
        <v>20641.250000991429</v>
      </c>
      <c r="K174" s="301">
        <f t="shared" si="41"/>
        <v>66802.287800476537</v>
      </c>
      <c r="L174" s="10">
        <f t="shared" si="42"/>
        <v>66802.287800476537</v>
      </c>
      <c r="M174" s="302"/>
      <c r="N174" s="435">
        <f t="shared" si="43"/>
        <v>66802.287800476508</v>
      </c>
      <c r="O174" s="436">
        <f t="shared" si="34"/>
        <v>0</v>
      </c>
      <c r="P174" s="436">
        <f t="shared" si="44"/>
        <v>0</v>
      </c>
      <c r="R174" s="354">
        <f>+Hirdetmény!$AA$46</f>
        <v>0.13400000000000001</v>
      </c>
      <c r="S174" s="301">
        <f t="shared" si="45"/>
        <v>10348684.831401231</v>
      </c>
      <c r="T174" s="301">
        <f t="shared" si="35"/>
        <v>28145.097236338337</v>
      </c>
      <c r="U174" s="301">
        <f t="shared" si="46"/>
        <v>117483.97032631101</v>
      </c>
      <c r="V174" s="301">
        <f t="shared" si="47"/>
        <v>145629.06756264935</v>
      </c>
      <c r="W174" s="301">
        <f t="shared" si="48"/>
        <v>145629.06756264935</v>
      </c>
      <c r="AA174" s="12">
        <f>+paraméterek!$B$346</f>
        <v>6.4600000000000005E-2</v>
      </c>
      <c r="AB174" s="301">
        <f t="shared" si="49"/>
        <v>8982283.9881454408</v>
      </c>
      <c r="AC174" s="301">
        <f t="shared" si="36"/>
        <v>40572.726149289701</v>
      </c>
      <c r="AD174" s="301">
        <f t="shared" si="50"/>
        <v>49247.670941285985</v>
      </c>
      <c r="AE174" s="301">
        <f t="shared" si="51"/>
        <v>89820.397090575687</v>
      </c>
      <c r="AF174" s="477">
        <f t="shared" si="52"/>
        <v>89820.397090575687</v>
      </c>
      <c r="AI174" s="543">
        <f t="shared" si="37"/>
        <v>49900.179662311981</v>
      </c>
      <c r="AJ174" s="543">
        <f t="shared" si="53"/>
        <v>22313.234983544</v>
      </c>
      <c r="AK174" s="300">
        <f t="shared" si="54"/>
        <v>8753129.5124755949</v>
      </c>
      <c r="AL174" s="543">
        <f t="shared" si="55"/>
        <v>72213.414645855984</v>
      </c>
      <c r="AM174" s="10">
        <f t="shared" si="56"/>
        <v>72213.414645855984</v>
      </c>
      <c r="AP174" s="437">
        <f t="shared" si="57"/>
        <v>146437.06756264935</v>
      </c>
    </row>
    <row r="175" spans="1:42" s="11" customFormat="1" hidden="1" x14ac:dyDescent="0.3">
      <c r="A175" s="775">
        <v>96</v>
      </c>
      <c r="B175" s="775">
        <f t="shared" si="38"/>
        <v>8</v>
      </c>
      <c r="C175" s="891">
        <f t="shared" si="59"/>
        <v>0.14489675614077413</v>
      </c>
      <c r="D175" s="891"/>
      <c r="E175" s="891">
        <f t="shared" si="59"/>
        <v>0.03</v>
      </c>
      <c r="F175" s="891">
        <f t="shared" si="31"/>
        <v>0.03</v>
      </c>
      <c r="G175" s="893">
        <f t="shared" si="40"/>
        <v>8050958.1796578309</v>
      </c>
      <c r="H175" s="436">
        <f t="shared" si="32"/>
        <v>46278.043207796312</v>
      </c>
      <c r="I175" s="302">
        <f t="shared" si="33"/>
        <v>0</v>
      </c>
      <c r="J175" s="301">
        <f t="shared" si="58"/>
        <v>20524.244592680236</v>
      </c>
      <c r="K175" s="301">
        <f t="shared" si="41"/>
        <v>66802.287800476552</v>
      </c>
      <c r="L175" s="10">
        <f t="shared" si="42"/>
        <v>66802.287800476552</v>
      </c>
      <c r="M175" s="302"/>
      <c r="N175" s="435">
        <f t="shared" si="43"/>
        <v>66802.287800476508</v>
      </c>
      <c r="O175" s="436">
        <f t="shared" si="34"/>
        <v>0</v>
      </c>
      <c r="P175" s="436">
        <f t="shared" si="44"/>
        <v>0</v>
      </c>
      <c r="R175" s="354">
        <f>+Hirdetmény!$AA$46</f>
        <v>0.13400000000000001</v>
      </c>
      <c r="S175" s="301">
        <f t="shared" si="45"/>
        <v>10320221.082149655</v>
      </c>
      <c r="T175" s="301">
        <f t="shared" si="35"/>
        <v>28463.74925157661</v>
      </c>
      <c r="U175" s="301">
        <f t="shared" si="46"/>
        <v>117165.31831107274</v>
      </c>
      <c r="V175" s="301">
        <f t="shared" si="47"/>
        <v>145629.06756264935</v>
      </c>
      <c r="W175" s="301">
        <f t="shared" si="48"/>
        <v>145629.06756264935</v>
      </c>
      <c r="AA175" s="12">
        <f>+paraméterek!$B$346</f>
        <v>6.4600000000000005E-2</v>
      </c>
      <c r="AB175" s="301">
        <f t="shared" si="49"/>
        <v>8941489.8119244203</v>
      </c>
      <c r="AC175" s="301">
        <f t="shared" si="36"/>
        <v>40794.176221019799</v>
      </c>
      <c r="AD175" s="301">
        <f t="shared" si="50"/>
        <v>49026.220869555873</v>
      </c>
      <c r="AE175" s="301">
        <f t="shared" si="51"/>
        <v>89820.397090575672</v>
      </c>
      <c r="AF175" s="477">
        <f t="shared" si="52"/>
        <v>89820.397090575672</v>
      </c>
      <c r="AI175" s="543">
        <f t="shared" si="37"/>
        <v>50026.662756594924</v>
      </c>
      <c r="AJ175" s="543">
        <f t="shared" si="53"/>
        <v>22186.751889261053</v>
      </c>
      <c r="AK175" s="300">
        <f t="shared" si="54"/>
        <v>8703102.8497189991</v>
      </c>
      <c r="AL175" s="543">
        <f t="shared" si="55"/>
        <v>72213.414645855984</v>
      </c>
      <c r="AM175" s="10">
        <f t="shared" si="56"/>
        <v>72213.414645855984</v>
      </c>
      <c r="AP175" s="437">
        <f t="shared" si="57"/>
        <v>146437.06756264935</v>
      </c>
    </row>
    <row r="176" spans="1:42" s="11" customFormat="1" hidden="1" x14ac:dyDescent="0.3">
      <c r="A176" s="775">
        <v>97</v>
      </c>
      <c r="B176" s="775">
        <f t="shared" si="38"/>
        <v>9</v>
      </c>
      <c r="C176" s="891">
        <f t="shared" si="59"/>
        <v>0.14489675614077413</v>
      </c>
      <c r="D176" s="891"/>
      <c r="E176" s="891">
        <f t="shared" si="59"/>
        <v>0.03</v>
      </c>
      <c r="F176" s="891">
        <f t="shared" si="31"/>
        <v>0.03</v>
      </c>
      <c r="G176" s="893">
        <f t="shared" si="40"/>
        <v>8004562.8344655149</v>
      </c>
      <c r="H176" s="436">
        <f t="shared" si="32"/>
        <v>46395.345192316068</v>
      </c>
      <c r="I176" s="302">
        <f t="shared" si="33"/>
        <v>0</v>
      </c>
      <c r="J176" s="301">
        <f t="shared" si="58"/>
        <v>20406.942608160472</v>
      </c>
      <c r="K176" s="301">
        <f t="shared" si="41"/>
        <v>66802.287800476537</v>
      </c>
      <c r="L176" s="10">
        <f t="shared" si="42"/>
        <v>66802.287800476537</v>
      </c>
      <c r="M176" s="302"/>
      <c r="N176" s="435">
        <f t="shared" si="43"/>
        <v>66802.287800476508</v>
      </c>
      <c r="O176" s="436">
        <f t="shared" si="34"/>
        <v>0</v>
      </c>
      <c r="P176" s="436">
        <f t="shared" si="44"/>
        <v>0</v>
      </c>
      <c r="R176" s="354">
        <f>+Hirdetmény!$AA$46</f>
        <v>0.13400000000000001</v>
      </c>
      <c r="S176" s="301">
        <f t="shared" si="45"/>
        <v>10291435.073181435</v>
      </c>
      <c r="T176" s="301">
        <f t="shared" si="35"/>
        <v>28786.008968218877</v>
      </c>
      <c r="U176" s="301">
        <f t="shared" si="46"/>
        <v>116843.05859443048</v>
      </c>
      <c r="V176" s="301">
        <f t="shared" si="47"/>
        <v>145629.06756264935</v>
      </c>
      <c r="W176" s="301">
        <f t="shared" si="48"/>
        <v>145629.06756264935</v>
      </c>
      <c r="AA176" s="12">
        <f>+paraméterek!$B$346</f>
        <v>6.4600000000000005E-2</v>
      </c>
      <c r="AB176" s="301">
        <f t="shared" si="49"/>
        <v>8900472.976934623</v>
      </c>
      <c r="AC176" s="301">
        <f t="shared" si="36"/>
        <v>41016.834989796516</v>
      </c>
      <c r="AD176" s="301">
        <f t="shared" si="50"/>
        <v>48803.562100779149</v>
      </c>
      <c r="AE176" s="301">
        <f t="shared" si="51"/>
        <v>89820.397090575658</v>
      </c>
      <c r="AF176" s="477">
        <f t="shared" si="52"/>
        <v>89820.397090575658</v>
      </c>
      <c r="AI176" s="543">
        <f t="shared" si="37"/>
        <v>50153.466450387677</v>
      </c>
      <c r="AJ176" s="543">
        <f t="shared" si="53"/>
        <v>22059.948195468296</v>
      </c>
      <c r="AK176" s="300">
        <f t="shared" si="54"/>
        <v>8652949.3832686115</v>
      </c>
      <c r="AL176" s="543">
        <f t="shared" si="55"/>
        <v>72213.41464585597</v>
      </c>
      <c r="AM176" s="10">
        <f t="shared" si="56"/>
        <v>72213.41464585597</v>
      </c>
      <c r="AP176" s="437">
        <f t="shared" si="57"/>
        <v>146437.06756264935</v>
      </c>
    </row>
    <row r="177" spans="1:42" s="11" customFormat="1" hidden="1" x14ac:dyDescent="0.3">
      <c r="A177" s="775">
        <v>98</v>
      </c>
      <c r="B177" s="775">
        <f t="shared" si="38"/>
        <v>9</v>
      </c>
      <c r="C177" s="891">
        <f t="shared" ref="C177:E192" si="60">+C176</f>
        <v>0.14489675614077413</v>
      </c>
      <c r="D177" s="891"/>
      <c r="E177" s="891">
        <f t="shared" si="60"/>
        <v>0.03</v>
      </c>
      <c r="F177" s="891">
        <f t="shared" si="31"/>
        <v>0.03</v>
      </c>
      <c r="G177" s="893">
        <f t="shared" si="40"/>
        <v>7958049.8899607323</v>
      </c>
      <c r="H177" s="436">
        <f t="shared" si="32"/>
        <v>46512.944504782703</v>
      </c>
      <c r="I177" s="302">
        <f t="shared" si="33"/>
        <v>0</v>
      </c>
      <c r="J177" s="301">
        <f t="shared" si="58"/>
        <v>20289.343295693841</v>
      </c>
      <c r="K177" s="301">
        <f t="shared" si="41"/>
        <v>66802.287800476537</v>
      </c>
      <c r="L177" s="10">
        <f t="shared" si="42"/>
        <v>66802.287800476537</v>
      </c>
      <c r="M177" s="302"/>
      <c r="N177" s="435">
        <f t="shared" si="43"/>
        <v>66802.287800476508</v>
      </c>
      <c r="O177" s="436">
        <f t="shared" si="34"/>
        <v>0</v>
      </c>
      <c r="P177" s="436">
        <f t="shared" si="44"/>
        <v>0</v>
      </c>
      <c r="R177" s="354">
        <f>+Hirdetmény!$AA$46</f>
        <v>0.13400000000000001</v>
      </c>
      <c r="S177" s="301">
        <f t="shared" si="45"/>
        <v>10262323.155949643</v>
      </c>
      <c r="T177" s="301">
        <f t="shared" si="35"/>
        <v>29111.917231791933</v>
      </c>
      <c r="U177" s="301">
        <f t="shared" si="46"/>
        <v>116517.15033085742</v>
      </c>
      <c r="V177" s="301">
        <f t="shared" si="47"/>
        <v>145629.06756264935</v>
      </c>
      <c r="W177" s="301">
        <f t="shared" si="48"/>
        <v>145629.06756264935</v>
      </c>
      <c r="AA177" s="12">
        <f>+paraméterek!$B$346</f>
        <v>6.4600000000000005E-2</v>
      </c>
      <c r="AB177" s="301">
        <f t="shared" si="49"/>
        <v>8859232.2678818107</v>
      </c>
      <c r="AC177" s="301">
        <f t="shared" si="36"/>
        <v>41240.709052811435</v>
      </c>
      <c r="AD177" s="301">
        <f t="shared" si="50"/>
        <v>48579.68803776423</v>
      </c>
      <c r="AE177" s="301">
        <f t="shared" si="51"/>
        <v>89820.397090575658</v>
      </c>
      <c r="AF177" s="477">
        <f t="shared" si="52"/>
        <v>89820.397090575658</v>
      </c>
      <c r="AI177" s="543">
        <f t="shared" si="37"/>
        <v>50280.591556320956</v>
      </c>
      <c r="AJ177" s="543">
        <f t="shared" si="53"/>
        <v>21932.823089535021</v>
      </c>
      <c r="AK177" s="300">
        <f t="shared" si="54"/>
        <v>8602668.7917122897</v>
      </c>
      <c r="AL177" s="543">
        <f t="shared" si="55"/>
        <v>72213.414645855984</v>
      </c>
      <c r="AM177" s="10">
        <f t="shared" si="56"/>
        <v>72213.414645855984</v>
      </c>
      <c r="AP177" s="437">
        <f t="shared" si="57"/>
        <v>146437.06756264935</v>
      </c>
    </row>
    <row r="178" spans="1:42" s="11" customFormat="1" hidden="1" x14ac:dyDescent="0.3">
      <c r="A178" s="775">
        <v>99</v>
      </c>
      <c r="B178" s="775">
        <f t="shared" si="38"/>
        <v>9</v>
      </c>
      <c r="C178" s="891">
        <f t="shared" si="60"/>
        <v>0.14489675614077413</v>
      </c>
      <c r="D178" s="891"/>
      <c r="E178" s="891">
        <f t="shared" si="60"/>
        <v>0.03</v>
      </c>
      <c r="F178" s="891">
        <f t="shared" si="31"/>
        <v>0.03</v>
      </c>
      <c r="G178" s="893">
        <f t="shared" si="40"/>
        <v>7911419.0480618924</v>
      </c>
      <c r="H178" s="436">
        <f t="shared" si="32"/>
        <v>46630.841898839957</v>
      </c>
      <c r="I178" s="302">
        <f t="shared" si="33"/>
        <v>0</v>
      </c>
      <c r="J178" s="301">
        <f t="shared" si="58"/>
        <v>20171.445901636576</v>
      </c>
      <c r="K178" s="301">
        <f t="shared" si="41"/>
        <v>66802.287800476537</v>
      </c>
      <c r="L178" s="10">
        <f t="shared" si="42"/>
        <v>66802.287800476537</v>
      </c>
      <c r="M178" s="302"/>
      <c r="N178" s="435">
        <f t="shared" si="43"/>
        <v>66802.287800476508</v>
      </c>
      <c r="O178" s="436">
        <f t="shared" si="34"/>
        <v>0</v>
      </c>
      <c r="P178" s="436">
        <f t="shared" si="44"/>
        <v>0</v>
      </c>
      <c r="R178" s="354">
        <f>+Hirdetmény!$AA$46</f>
        <v>0.13400000000000001</v>
      </c>
      <c r="S178" s="301">
        <f t="shared" si="45"/>
        <v>10232881.640599377</v>
      </c>
      <c r="T178" s="301">
        <f t="shared" si="35"/>
        <v>29441.515350265759</v>
      </c>
      <c r="U178" s="301">
        <f t="shared" si="46"/>
        <v>116187.55221238357</v>
      </c>
      <c r="V178" s="301">
        <f t="shared" si="47"/>
        <v>145629.06756264932</v>
      </c>
      <c r="W178" s="301">
        <f t="shared" si="48"/>
        <v>145629.06756264932</v>
      </c>
      <c r="AA178" s="12">
        <f>+paraméterek!$B$346</f>
        <v>6.4600000000000005E-2</v>
      </c>
      <c r="AB178" s="301">
        <f t="shared" si="49"/>
        <v>8817766.4628385473</v>
      </c>
      <c r="AC178" s="301">
        <f t="shared" si="36"/>
        <v>41465.805043264256</v>
      </c>
      <c r="AD178" s="301">
        <f t="shared" si="50"/>
        <v>48354.592047311402</v>
      </c>
      <c r="AE178" s="301">
        <f t="shared" si="51"/>
        <v>89820.397090575658</v>
      </c>
      <c r="AF178" s="477">
        <f t="shared" si="52"/>
        <v>89820.397090575658</v>
      </c>
      <c r="AI178" s="543">
        <f t="shared" si="37"/>
        <v>50408.038889085234</v>
      </c>
      <c r="AJ178" s="543">
        <f t="shared" si="53"/>
        <v>21805.375756770733</v>
      </c>
      <c r="AK178" s="300">
        <f t="shared" si="54"/>
        <v>8552260.7528232038</v>
      </c>
      <c r="AL178" s="543">
        <f t="shared" si="55"/>
        <v>72213.41464585597</v>
      </c>
      <c r="AM178" s="10">
        <f t="shared" si="56"/>
        <v>72213.41464585597</v>
      </c>
      <c r="AP178" s="437">
        <f t="shared" si="57"/>
        <v>146437.06756264932</v>
      </c>
    </row>
    <row r="179" spans="1:42" s="11" customFormat="1" hidden="1" x14ac:dyDescent="0.3">
      <c r="A179" s="775">
        <v>100</v>
      </c>
      <c r="B179" s="775">
        <f t="shared" si="38"/>
        <v>9</v>
      </c>
      <c r="C179" s="891">
        <f t="shared" si="60"/>
        <v>0.14489675614077413</v>
      </c>
      <c r="D179" s="891"/>
      <c r="E179" s="891">
        <f t="shared" si="60"/>
        <v>0.03</v>
      </c>
      <c r="F179" s="891">
        <f t="shared" si="31"/>
        <v>0.03</v>
      </c>
      <c r="G179" s="893">
        <f t="shared" si="40"/>
        <v>7864670.0099318502</v>
      </c>
      <c r="H179" s="436">
        <f t="shared" si="32"/>
        <v>46749.038130041889</v>
      </c>
      <c r="I179" s="302">
        <f t="shared" si="33"/>
        <v>0</v>
      </c>
      <c r="J179" s="301">
        <f t="shared" si="58"/>
        <v>20053.249670434659</v>
      </c>
      <c r="K179" s="301">
        <f t="shared" si="41"/>
        <v>66802.287800476552</v>
      </c>
      <c r="L179" s="10">
        <f t="shared" si="42"/>
        <v>66802.287800476552</v>
      </c>
      <c r="M179" s="302"/>
      <c r="N179" s="435">
        <f t="shared" si="43"/>
        <v>66802.287800476508</v>
      </c>
      <c r="O179" s="436">
        <f t="shared" si="34"/>
        <v>0</v>
      </c>
      <c r="P179" s="436">
        <f t="shared" si="44"/>
        <v>0</v>
      </c>
      <c r="R179" s="354">
        <f>+Hirdetmény!$AA$46</f>
        <v>0.13400000000000001</v>
      </c>
      <c r="S179" s="301">
        <f t="shared" si="45"/>
        <v>10203106.795500088</v>
      </c>
      <c r="T179" s="301">
        <f t="shared" si="35"/>
        <v>29774.84509928925</v>
      </c>
      <c r="U179" s="301">
        <f t="shared" si="46"/>
        <v>115854.22246336009</v>
      </c>
      <c r="V179" s="301">
        <f t="shared" si="47"/>
        <v>145629.06756264935</v>
      </c>
      <c r="W179" s="301">
        <f t="shared" si="48"/>
        <v>145629.06756264935</v>
      </c>
      <c r="AA179" s="12">
        <f>+paraméterek!$B$346</f>
        <v>6.4600000000000005E-2</v>
      </c>
      <c r="AB179" s="301">
        <f t="shared" si="49"/>
        <v>8776074.3332079872</v>
      </c>
      <c r="AC179" s="301">
        <f t="shared" si="36"/>
        <v>41692.129630559422</v>
      </c>
      <c r="AD179" s="301">
        <f t="shared" si="50"/>
        <v>48128.267460016228</v>
      </c>
      <c r="AE179" s="301">
        <f t="shared" si="51"/>
        <v>89820.397090575658</v>
      </c>
      <c r="AF179" s="477">
        <f t="shared" si="52"/>
        <v>89820.397090575658</v>
      </c>
      <c r="AI179" s="543">
        <f t="shared" si="37"/>
        <v>50535.809265436044</v>
      </c>
      <c r="AJ179" s="543">
        <f t="shared" si="53"/>
        <v>21677.605380419929</v>
      </c>
      <c r="AK179" s="300">
        <f t="shared" si="54"/>
        <v>8501724.9435577672</v>
      </c>
      <c r="AL179" s="543">
        <f t="shared" si="55"/>
        <v>72213.41464585597</v>
      </c>
      <c r="AM179" s="10">
        <f t="shared" si="56"/>
        <v>72213.41464585597</v>
      </c>
      <c r="AP179" s="437">
        <f t="shared" si="57"/>
        <v>146437.06756264935</v>
      </c>
    </row>
    <row r="180" spans="1:42" s="11" customFormat="1" hidden="1" x14ac:dyDescent="0.3">
      <c r="A180" s="775">
        <v>101</v>
      </c>
      <c r="B180" s="775">
        <f t="shared" si="38"/>
        <v>9</v>
      </c>
      <c r="C180" s="891">
        <f t="shared" si="60"/>
        <v>0.14489675614077413</v>
      </c>
      <c r="D180" s="891"/>
      <c r="E180" s="891">
        <f t="shared" si="60"/>
        <v>0.03</v>
      </c>
      <c r="F180" s="891">
        <f t="shared" si="31"/>
        <v>0.03</v>
      </c>
      <c r="G180" s="893">
        <f t="shared" si="40"/>
        <v>7817802.4759759931</v>
      </c>
      <c r="H180" s="436">
        <f t="shared" si="32"/>
        <v>46867.533955857616</v>
      </c>
      <c r="I180" s="302">
        <f t="shared" si="33"/>
        <v>0</v>
      </c>
      <c r="J180" s="301">
        <f t="shared" si="58"/>
        <v>19934.753844618928</v>
      </c>
      <c r="K180" s="301">
        <f t="shared" si="41"/>
        <v>66802.287800476537</v>
      </c>
      <c r="L180" s="10">
        <f t="shared" si="42"/>
        <v>66802.287800476537</v>
      </c>
      <c r="M180" s="302"/>
      <c r="N180" s="435">
        <f t="shared" si="43"/>
        <v>66802.287800476508</v>
      </c>
      <c r="O180" s="436">
        <f t="shared" si="34"/>
        <v>0</v>
      </c>
      <c r="P180" s="436">
        <f t="shared" si="44"/>
        <v>0</v>
      </c>
      <c r="R180" s="354">
        <f>+Hirdetmény!$AA$46</f>
        <v>0.13400000000000001</v>
      </c>
      <c r="S180" s="301">
        <f t="shared" si="45"/>
        <v>10172994.846772604</v>
      </c>
      <c r="T180" s="301">
        <f t="shared" si="35"/>
        <v>30111.948727485145</v>
      </c>
      <c r="U180" s="301">
        <f t="shared" si="46"/>
        <v>115517.1188351642</v>
      </c>
      <c r="V180" s="301">
        <f t="shared" si="47"/>
        <v>145629.06756264935</v>
      </c>
      <c r="W180" s="301">
        <f t="shared" si="48"/>
        <v>145629.06756264935</v>
      </c>
      <c r="AA180" s="12">
        <f>+paraméterek!$B$346</f>
        <v>6.4600000000000005E-2</v>
      </c>
      <c r="AB180" s="301">
        <f t="shared" si="49"/>
        <v>8734154.6436874829</v>
      </c>
      <c r="AC180" s="301">
        <f t="shared" si="36"/>
        <v>41919.689520503634</v>
      </c>
      <c r="AD180" s="301">
        <f t="shared" si="50"/>
        <v>47900.707570072023</v>
      </c>
      <c r="AE180" s="301">
        <f t="shared" si="51"/>
        <v>89820.397090575658</v>
      </c>
      <c r="AF180" s="477">
        <f t="shared" si="52"/>
        <v>89820.397090575658</v>
      </c>
      <c r="AI180" s="543">
        <f t="shared" si="37"/>
        <v>50663.903504199116</v>
      </c>
      <c r="AJ180" s="543">
        <f t="shared" si="53"/>
        <v>21549.511141656843</v>
      </c>
      <c r="AK180" s="300">
        <f t="shared" si="54"/>
        <v>8451061.0400535688</v>
      </c>
      <c r="AL180" s="543">
        <f t="shared" si="55"/>
        <v>72213.414645855955</v>
      </c>
      <c r="AM180" s="10">
        <f t="shared" si="56"/>
        <v>72213.414645855955</v>
      </c>
      <c r="AP180" s="437">
        <f t="shared" si="57"/>
        <v>146437.06756264935</v>
      </c>
    </row>
    <row r="181" spans="1:42" s="11" customFormat="1" hidden="1" x14ac:dyDescent="0.3">
      <c r="A181" s="775">
        <v>102</v>
      </c>
      <c r="B181" s="775">
        <f t="shared" si="38"/>
        <v>9</v>
      </c>
      <c r="C181" s="891">
        <f t="shared" si="60"/>
        <v>0.14489675614077413</v>
      </c>
      <c r="D181" s="891"/>
      <c r="E181" s="891">
        <f t="shared" si="60"/>
        <v>0.03</v>
      </c>
      <c r="F181" s="891">
        <f t="shared" si="31"/>
        <v>0.03</v>
      </c>
      <c r="G181" s="893">
        <f t="shared" si="40"/>
        <v>7770816.145840317</v>
      </c>
      <c r="H181" s="436">
        <f t="shared" si="32"/>
        <v>46986.330135676282</v>
      </c>
      <c r="I181" s="302">
        <f t="shared" si="33"/>
        <v>0</v>
      </c>
      <c r="J181" s="301">
        <f t="shared" si="58"/>
        <v>19815.957664800262</v>
      </c>
      <c r="K181" s="301">
        <f t="shared" si="41"/>
        <v>66802.287800476537</v>
      </c>
      <c r="L181" s="10">
        <f t="shared" si="42"/>
        <v>66802.287800476537</v>
      </c>
      <c r="M181" s="302"/>
      <c r="N181" s="435">
        <f t="shared" si="43"/>
        <v>66802.287800476508</v>
      </c>
      <c r="O181" s="436">
        <f t="shared" si="34"/>
        <v>0</v>
      </c>
      <c r="P181" s="436">
        <f t="shared" si="44"/>
        <v>0</v>
      </c>
      <c r="R181" s="354">
        <f>+Hirdetmény!$AA$46</f>
        <v>0.13400000000000001</v>
      </c>
      <c r="S181" s="301">
        <f t="shared" si="45"/>
        <v>10142541.977810798</v>
      </c>
      <c r="T181" s="301">
        <f t="shared" si="35"/>
        <v>30452.868961804881</v>
      </c>
      <c r="U181" s="301">
        <f t="shared" si="46"/>
        <v>115176.19860084447</v>
      </c>
      <c r="V181" s="301">
        <f t="shared" si="47"/>
        <v>145629.06756264935</v>
      </c>
      <c r="W181" s="301">
        <f t="shared" si="48"/>
        <v>145629.06756264935</v>
      </c>
      <c r="AA181" s="12">
        <f>+paraméterek!$B$346</f>
        <v>6.4600000000000005E-2</v>
      </c>
      <c r="AB181" s="301">
        <f t="shared" si="49"/>
        <v>8692006.1522319783</v>
      </c>
      <c r="AC181" s="301">
        <f t="shared" si="36"/>
        <v>42148.491455504547</v>
      </c>
      <c r="AD181" s="301">
        <f t="shared" si="50"/>
        <v>47671.905635071103</v>
      </c>
      <c r="AE181" s="301">
        <f t="shared" si="51"/>
        <v>89820.397090575658</v>
      </c>
      <c r="AF181" s="477">
        <f t="shared" si="52"/>
        <v>89820.397090575658</v>
      </c>
      <c r="AI181" s="543">
        <f t="shared" si="37"/>
        <v>50792.322426275736</v>
      </c>
      <c r="AJ181" s="543">
        <f t="shared" si="53"/>
        <v>21421.092219580227</v>
      </c>
      <c r="AK181" s="300">
        <f t="shared" si="54"/>
        <v>8400268.7176272925</v>
      </c>
      <c r="AL181" s="543">
        <f t="shared" si="55"/>
        <v>72213.414645855955</v>
      </c>
      <c r="AM181" s="10">
        <f t="shared" si="56"/>
        <v>72213.414645855955</v>
      </c>
      <c r="AP181" s="437">
        <f t="shared" si="57"/>
        <v>146437.06756264935</v>
      </c>
    </row>
    <row r="182" spans="1:42" s="11" customFormat="1" hidden="1" x14ac:dyDescent="0.3">
      <c r="A182" s="775">
        <v>103</v>
      </c>
      <c r="B182" s="775">
        <f t="shared" si="38"/>
        <v>9</v>
      </c>
      <c r="C182" s="891">
        <f t="shared" si="60"/>
        <v>0.14489675614077413</v>
      </c>
      <c r="D182" s="891"/>
      <c r="E182" s="891">
        <f t="shared" si="60"/>
        <v>0.03</v>
      </c>
      <c r="F182" s="891">
        <f t="shared" si="31"/>
        <v>0.03</v>
      </c>
      <c r="G182" s="893">
        <f t="shared" si="40"/>
        <v>7723710.7184095047</v>
      </c>
      <c r="H182" s="436">
        <f t="shared" si="32"/>
        <v>47105.427430811855</v>
      </c>
      <c r="I182" s="302">
        <f t="shared" si="33"/>
        <v>0</v>
      </c>
      <c r="J182" s="301">
        <f t="shared" si="58"/>
        <v>19696.860369664693</v>
      </c>
      <c r="K182" s="301">
        <f t="shared" si="41"/>
        <v>66802.287800476552</v>
      </c>
      <c r="L182" s="10">
        <f t="shared" si="42"/>
        <v>66802.287800476552</v>
      </c>
      <c r="M182" s="302"/>
      <c r="N182" s="435">
        <f t="shared" si="43"/>
        <v>66802.287800476508</v>
      </c>
      <c r="O182" s="436">
        <f t="shared" si="34"/>
        <v>0</v>
      </c>
      <c r="P182" s="436">
        <f t="shared" si="44"/>
        <v>0</v>
      </c>
      <c r="R182" s="354">
        <f>+Hirdetmény!$AA$46</f>
        <v>0.13400000000000001</v>
      </c>
      <c r="S182" s="301">
        <f t="shared" si="45"/>
        <v>10111744.328797854</v>
      </c>
      <c r="T182" s="301">
        <f t="shared" si="35"/>
        <v>30797.649012944206</v>
      </c>
      <c r="U182" s="301">
        <f t="shared" si="46"/>
        <v>114831.41854970514</v>
      </c>
      <c r="V182" s="301">
        <f t="shared" si="47"/>
        <v>145629.06756264935</v>
      </c>
      <c r="W182" s="301">
        <f t="shared" si="48"/>
        <v>145629.06756264935</v>
      </c>
      <c r="AA182" s="12">
        <f>+paraméterek!$B$346</f>
        <v>6.4600000000000005E-2</v>
      </c>
      <c r="AB182" s="301">
        <f t="shared" si="49"/>
        <v>8649627.6100172084</v>
      </c>
      <c r="AC182" s="301">
        <f t="shared" si="36"/>
        <v>42378.54221477059</v>
      </c>
      <c r="AD182" s="301">
        <f t="shared" si="50"/>
        <v>47441.854875805053</v>
      </c>
      <c r="AE182" s="301">
        <f t="shared" si="51"/>
        <v>89820.397090575643</v>
      </c>
      <c r="AF182" s="477">
        <f t="shared" si="52"/>
        <v>89820.397090575643</v>
      </c>
      <c r="AI182" s="543">
        <f t="shared" si="37"/>
        <v>50921.066854647892</v>
      </c>
      <c r="AJ182" s="543">
        <f t="shared" si="53"/>
        <v>21292.347791208067</v>
      </c>
      <c r="AK182" s="300">
        <f t="shared" si="54"/>
        <v>8349347.6507726442</v>
      </c>
      <c r="AL182" s="543">
        <f t="shared" si="55"/>
        <v>72213.414645855955</v>
      </c>
      <c r="AM182" s="10">
        <f t="shared" si="56"/>
        <v>72213.414645855955</v>
      </c>
      <c r="AP182" s="437">
        <f t="shared" si="57"/>
        <v>146437.06756264935</v>
      </c>
    </row>
    <row r="183" spans="1:42" s="11" customFormat="1" hidden="1" x14ac:dyDescent="0.3">
      <c r="A183" s="775">
        <v>104</v>
      </c>
      <c r="B183" s="775">
        <f t="shared" si="38"/>
        <v>9</v>
      </c>
      <c r="C183" s="891">
        <f t="shared" si="60"/>
        <v>0.14489675614077413</v>
      </c>
      <c r="D183" s="891"/>
      <c r="E183" s="891">
        <f t="shared" si="60"/>
        <v>0.03</v>
      </c>
      <c r="F183" s="891">
        <f t="shared" si="31"/>
        <v>0.03</v>
      </c>
      <c r="G183" s="893">
        <f t="shared" si="40"/>
        <v>7676485.8918049969</v>
      </c>
      <c r="H183" s="436">
        <f t="shared" si="32"/>
        <v>47224.826604508009</v>
      </c>
      <c r="I183" s="302">
        <f t="shared" si="33"/>
        <v>0</v>
      </c>
      <c r="J183" s="301">
        <f t="shared" si="58"/>
        <v>19577.461195968539</v>
      </c>
      <c r="K183" s="301">
        <f t="shared" si="41"/>
        <v>66802.287800476552</v>
      </c>
      <c r="L183" s="10">
        <f t="shared" si="42"/>
        <v>66802.287800476552</v>
      </c>
      <c r="M183" s="302"/>
      <c r="N183" s="435">
        <f t="shared" si="43"/>
        <v>66802.287800476508</v>
      </c>
      <c r="O183" s="436">
        <f t="shared" si="34"/>
        <v>0</v>
      </c>
      <c r="P183" s="436">
        <f t="shared" si="44"/>
        <v>0</v>
      </c>
      <c r="R183" s="354">
        <f>+Hirdetmény!$AA$46</f>
        <v>0.13400000000000001</v>
      </c>
      <c r="S183" s="301">
        <f t="shared" si="45"/>
        <v>10080597.996217035</v>
      </c>
      <c r="T183" s="301">
        <f t="shared" si="35"/>
        <v>31146.332580819933</v>
      </c>
      <c r="U183" s="301">
        <f t="shared" si="46"/>
        <v>114482.73498182943</v>
      </c>
      <c r="V183" s="301">
        <f t="shared" si="47"/>
        <v>145629.06756264938</v>
      </c>
      <c r="W183" s="301">
        <f t="shared" si="48"/>
        <v>145629.06756264938</v>
      </c>
      <c r="AA183" s="12">
        <f>+paraméterek!$B$346</f>
        <v>6.4600000000000005E-2</v>
      </c>
      <c r="AB183" s="301">
        <f t="shared" si="49"/>
        <v>8607017.7614026964</v>
      </c>
      <c r="AC183" s="301">
        <f t="shared" si="36"/>
        <v>42609.848614511822</v>
      </c>
      <c r="AD183" s="301">
        <f t="shared" si="50"/>
        <v>47210.548476063843</v>
      </c>
      <c r="AE183" s="301">
        <f t="shared" si="51"/>
        <v>89820.397090575658</v>
      </c>
      <c r="AF183" s="477">
        <f t="shared" si="52"/>
        <v>89820.397090575658</v>
      </c>
      <c r="AI183" s="543">
        <f t="shared" si="37"/>
        <v>51050.137614383617</v>
      </c>
      <c r="AJ183" s="543">
        <f t="shared" si="53"/>
        <v>21163.277031472328</v>
      </c>
      <c r="AK183" s="300">
        <f t="shared" si="54"/>
        <v>8298297.5131582608</v>
      </c>
      <c r="AL183" s="543">
        <f t="shared" si="55"/>
        <v>72213.414645855941</v>
      </c>
      <c r="AM183" s="10">
        <f t="shared" si="56"/>
        <v>72213.414645855941</v>
      </c>
      <c r="AP183" s="437">
        <f t="shared" si="57"/>
        <v>146437.06756264938</v>
      </c>
    </row>
    <row r="184" spans="1:42" s="11" customFormat="1" hidden="1" x14ac:dyDescent="0.3">
      <c r="A184" s="775">
        <v>105</v>
      </c>
      <c r="B184" s="775">
        <f t="shared" si="38"/>
        <v>9</v>
      </c>
      <c r="C184" s="891">
        <f t="shared" si="60"/>
        <v>0.14489675614077413</v>
      </c>
      <c r="D184" s="891"/>
      <c r="E184" s="891">
        <f t="shared" si="60"/>
        <v>0.03</v>
      </c>
      <c r="F184" s="891">
        <f t="shared" si="31"/>
        <v>0.03</v>
      </c>
      <c r="G184" s="893">
        <f t="shared" si="40"/>
        <v>7629141.3633830538</v>
      </c>
      <c r="H184" s="436">
        <f t="shared" si="32"/>
        <v>47344.528421943047</v>
      </c>
      <c r="I184" s="302">
        <f t="shared" si="33"/>
        <v>0</v>
      </c>
      <c r="J184" s="301">
        <f t="shared" si="58"/>
        <v>19457.759378533498</v>
      </c>
      <c r="K184" s="301">
        <f t="shared" si="41"/>
        <v>66802.287800476537</v>
      </c>
      <c r="L184" s="10">
        <f t="shared" si="42"/>
        <v>66802.287800476537</v>
      </c>
      <c r="M184" s="302"/>
      <c r="N184" s="435">
        <f t="shared" si="43"/>
        <v>66802.287800476508</v>
      </c>
      <c r="O184" s="436">
        <f t="shared" si="34"/>
        <v>0</v>
      </c>
      <c r="P184" s="436">
        <f t="shared" si="44"/>
        <v>0</v>
      </c>
      <c r="R184" s="354">
        <f>+Hirdetmény!$AA$46</f>
        <v>0.13400000000000001</v>
      </c>
      <c r="S184" s="301">
        <f t="shared" si="45"/>
        <v>10049099.032356925</v>
      </c>
      <c r="T184" s="301">
        <f t="shared" si="35"/>
        <v>31498.963860108797</v>
      </c>
      <c r="U184" s="301">
        <f t="shared" si="46"/>
        <v>114130.10370254057</v>
      </c>
      <c r="V184" s="301">
        <f t="shared" si="47"/>
        <v>145629.06756264938</v>
      </c>
      <c r="W184" s="301">
        <f t="shared" si="48"/>
        <v>145629.06756264938</v>
      </c>
      <c r="AA184" s="12">
        <f>+paraméterek!$B$346</f>
        <v>6.4600000000000005E-2</v>
      </c>
      <c r="AB184" s="301">
        <f t="shared" si="49"/>
        <v>8564175.3438945543</v>
      </c>
      <c r="AC184" s="301">
        <f t="shared" si="36"/>
        <v>42842.417508141822</v>
      </c>
      <c r="AD184" s="301">
        <f t="shared" si="50"/>
        <v>46977.979582433836</v>
      </c>
      <c r="AE184" s="301">
        <f t="shared" si="51"/>
        <v>89820.397090575658</v>
      </c>
      <c r="AF184" s="477">
        <f t="shared" si="52"/>
        <v>89820.397090575658</v>
      </c>
      <c r="AI184" s="543">
        <f t="shared" si="37"/>
        <v>51179.535532642323</v>
      </c>
      <c r="AJ184" s="543">
        <f t="shared" si="53"/>
        <v>21033.879113213647</v>
      </c>
      <c r="AK184" s="300">
        <f t="shared" si="54"/>
        <v>8247117.9776256187</v>
      </c>
      <c r="AL184" s="543">
        <f t="shared" si="55"/>
        <v>72213.41464585597</v>
      </c>
      <c r="AM184" s="10">
        <f t="shared" si="56"/>
        <v>72213.41464585597</v>
      </c>
      <c r="AP184" s="437">
        <f t="shared" si="57"/>
        <v>146437.06756264938</v>
      </c>
    </row>
    <row r="185" spans="1:42" s="11" customFormat="1" hidden="1" x14ac:dyDescent="0.3">
      <c r="A185" s="775">
        <v>106</v>
      </c>
      <c r="B185" s="775">
        <f t="shared" si="38"/>
        <v>9</v>
      </c>
      <c r="C185" s="891">
        <f t="shared" si="60"/>
        <v>0.14489675614077413</v>
      </c>
      <c r="D185" s="891"/>
      <c r="E185" s="891">
        <f t="shared" si="60"/>
        <v>0.03</v>
      </c>
      <c r="F185" s="891">
        <f t="shared" si="31"/>
        <v>0.03</v>
      </c>
      <c r="G185" s="893">
        <f t="shared" si="40"/>
        <v>7581676.8297328195</v>
      </c>
      <c r="H185" s="436">
        <f t="shared" si="32"/>
        <v>47464.533650234771</v>
      </c>
      <c r="I185" s="302">
        <f t="shared" si="33"/>
        <v>0</v>
      </c>
      <c r="J185" s="301">
        <f t="shared" si="58"/>
        <v>19337.75415024177</v>
      </c>
      <c r="K185" s="301">
        <f t="shared" si="41"/>
        <v>66802.287800476537</v>
      </c>
      <c r="L185" s="10">
        <f t="shared" si="42"/>
        <v>66802.287800476537</v>
      </c>
      <c r="M185" s="302"/>
      <c r="N185" s="435">
        <f t="shared" si="43"/>
        <v>66802.287800476508</v>
      </c>
      <c r="O185" s="436">
        <f t="shared" si="34"/>
        <v>0</v>
      </c>
      <c r="P185" s="436">
        <f t="shared" si="44"/>
        <v>0</v>
      </c>
      <c r="R185" s="354">
        <f>+Hirdetmény!$AA$46</f>
        <v>0.13400000000000001</v>
      </c>
      <c r="S185" s="301">
        <f t="shared" si="45"/>
        <v>10017243.444811076</v>
      </c>
      <c r="T185" s="301">
        <f t="shared" si="35"/>
        <v>31855.587545849059</v>
      </c>
      <c r="U185" s="301">
        <f t="shared" si="46"/>
        <v>113773.4800168003</v>
      </c>
      <c r="V185" s="301">
        <f t="shared" si="47"/>
        <v>145629.06756264935</v>
      </c>
      <c r="W185" s="301">
        <f t="shared" si="48"/>
        <v>145629.06756264935</v>
      </c>
      <c r="AA185" s="12">
        <f>+paraméterek!$B$346</f>
        <v>6.4600000000000005E-2</v>
      </c>
      <c r="AB185" s="301">
        <f t="shared" si="49"/>
        <v>8521099.0881080739</v>
      </c>
      <c r="AC185" s="301">
        <f t="shared" si="36"/>
        <v>43076.255786480819</v>
      </c>
      <c r="AD185" s="301">
        <f t="shared" si="50"/>
        <v>46744.141304094839</v>
      </c>
      <c r="AE185" s="301">
        <f t="shared" si="51"/>
        <v>89820.397090575658</v>
      </c>
      <c r="AF185" s="477">
        <f t="shared" si="52"/>
        <v>89820.397090575658</v>
      </c>
      <c r="AI185" s="543">
        <f t="shared" si="37"/>
        <v>51309.261438679903</v>
      </c>
      <c r="AJ185" s="543">
        <f t="shared" si="53"/>
        <v>20904.153207176048</v>
      </c>
      <c r="AK185" s="300">
        <f t="shared" si="54"/>
        <v>8195808.7161869388</v>
      </c>
      <c r="AL185" s="543">
        <f t="shared" si="55"/>
        <v>72213.414645855955</v>
      </c>
      <c r="AM185" s="10">
        <f t="shared" si="56"/>
        <v>72213.414645855955</v>
      </c>
      <c r="AP185" s="437">
        <f t="shared" si="57"/>
        <v>146437.06756264935</v>
      </c>
    </row>
    <row r="186" spans="1:42" s="11" customFormat="1" hidden="1" x14ac:dyDescent="0.3">
      <c r="A186" s="775">
        <v>107</v>
      </c>
      <c r="B186" s="775">
        <f t="shared" si="38"/>
        <v>9</v>
      </c>
      <c r="C186" s="891">
        <f t="shared" si="60"/>
        <v>0.14489675614077413</v>
      </c>
      <c r="D186" s="891"/>
      <c r="E186" s="891">
        <f t="shared" si="60"/>
        <v>0.03</v>
      </c>
      <c r="F186" s="891">
        <f t="shared" si="31"/>
        <v>0.03</v>
      </c>
      <c r="G186" s="893">
        <f t="shared" si="40"/>
        <v>7534091.986674374</v>
      </c>
      <c r="H186" s="436">
        <f t="shared" si="32"/>
        <v>47584.84305844544</v>
      </c>
      <c r="I186" s="302">
        <f t="shared" si="33"/>
        <v>0</v>
      </c>
      <c r="J186" s="301">
        <f t="shared" si="58"/>
        <v>19217.444742031108</v>
      </c>
      <c r="K186" s="301">
        <f t="shared" si="41"/>
        <v>66802.287800476552</v>
      </c>
      <c r="L186" s="10">
        <f t="shared" si="42"/>
        <v>66802.287800476552</v>
      </c>
      <c r="M186" s="302"/>
      <c r="N186" s="435">
        <f t="shared" si="43"/>
        <v>66802.287800476508</v>
      </c>
      <c r="O186" s="436">
        <f t="shared" si="34"/>
        <v>0</v>
      </c>
      <c r="P186" s="436">
        <f t="shared" si="44"/>
        <v>0</v>
      </c>
      <c r="R186" s="354">
        <f>+Hirdetmény!$AA$46</f>
        <v>0.13400000000000001</v>
      </c>
      <c r="S186" s="301">
        <f t="shared" si="45"/>
        <v>9985027.1959719714</v>
      </c>
      <c r="T186" s="301">
        <f t="shared" si="35"/>
        <v>32216.248839105418</v>
      </c>
      <c r="U186" s="301">
        <f t="shared" si="46"/>
        <v>113412.81872354393</v>
      </c>
      <c r="V186" s="301">
        <f t="shared" si="47"/>
        <v>145629.06756264935</v>
      </c>
      <c r="W186" s="301">
        <f t="shared" si="48"/>
        <v>145629.06756264935</v>
      </c>
      <c r="AA186" s="12">
        <f>+paraméterek!$B$346</f>
        <v>6.4600000000000005E-2</v>
      </c>
      <c r="AB186" s="301">
        <f t="shared" si="49"/>
        <v>8477787.7177301142</v>
      </c>
      <c r="AC186" s="301">
        <f t="shared" si="36"/>
        <v>43311.370377959858</v>
      </c>
      <c r="AD186" s="301">
        <f t="shared" si="50"/>
        <v>46509.026712615814</v>
      </c>
      <c r="AE186" s="301">
        <f t="shared" si="51"/>
        <v>89820.397090575672</v>
      </c>
      <c r="AF186" s="477">
        <f t="shared" si="52"/>
        <v>89820.397090575672</v>
      </c>
      <c r="AI186" s="543">
        <f t="shared" si="37"/>
        <v>51439.316163854339</v>
      </c>
      <c r="AJ186" s="543">
        <f t="shared" si="53"/>
        <v>20774.098482001613</v>
      </c>
      <c r="AK186" s="300">
        <f t="shared" si="54"/>
        <v>8144369.4000230841</v>
      </c>
      <c r="AL186" s="543">
        <f t="shared" si="55"/>
        <v>72213.414645855955</v>
      </c>
      <c r="AM186" s="10">
        <f t="shared" si="56"/>
        <v>72213.414645855955</v>
      </c>
      <c r="AP186" s="437">
        <f t="shared" si="57"/>
        <v>146437.06756264935</v>
      </c>
    </row>
    <row r="187" spans="1:42" s="11" customFormat="1" hidden="1" x14ac:dyDescent="0.3">
      <c r="A187" s="775">
        <v>108</v>
      </c>
      <c r="B187" s="775">
        <f t="shared" si="38"/>
        <v>9</v>
      </c>
      <c r="C187" s="891">
        <f t="shared" si="60"/>
        <v>0.14489675614077413</v>
      </c>
      <c r="D187" s="891"/>
      <c r="E187" s="891">
        <f t="shared" si="60"/>
        <v>0.03</v>
      </c>
      <c r="F187" s="891">
        <f t="shared" si="31"/>
        <v>0.03</v>
      </c>
      <c r="G187" s="893">
        <f t="shared" si="40"/>
        <v>7486386.5292567872</v>
      </c>
      <c r="H187" s="436">
        <f t="shared" si="32"/>
        <v>47705.457417586636</v>
      </c>
      <c r="I187" s="302">
        <f t="shared" si="33"/>
        <v>0</v>
      </c>
      <c r="J187" s="301">
        <f t="shared" si="58"/>
        <v>19096.830382889908</v>
      </c>
      <c r="K187" s="301">
        <f t="shared" si="41"/>
        <v>66802.287800476537</v>
      </c>
      <c r="L187" s="10">
        <f t="shared" si="42"/>
        <v>66802.287800476537</v>
      </c>
      <c r="M187" s="302"/>
      <c r="N187" s="435">
        <f t="shared" si="43"/>
        <v>66802.287800476508</v>
      </c>
      <c r="O187" s="436">
        <f t="shared" si="34"/>
        <v>0</v>
      </c>
      <c r="P187" s="436">
        <f t="shared" si="44"/>
        <v>0</v>
      </c>
      <c r="R187" s="354">
        <f>+Hirdetmény!$AA$46</f>
        <v>0.13400000000000001</v>
      </c>
      <c r="S187" s="301">
        <f t="shared" si="45"/>
        <v>9952446.2025192734</v>
      </c>
      <c r="T187" s="301">
        <f t="shared" si="35"/>
        <v>32580.993452698152</v>
      </c>
      <c r="U187" s="301">
        <f t="shared" si="46"/>
        <v>113048.07410995119</v>
      </c>
      <c r="V187" s="301">
        <f t="shared" si="47"/>
        <v>145629.06756264935</v>
      </c>
      <c r="W187" s="301">
        <f t="shared" si="48"/>
        <v>145629.06756264935</v>
      </c>
      <c r="AA187" s="12">
        <f>+paraméterek!$B$346</f>
        <v>6.4600000000000005E-2</v>
      </c>
      <c r="AB187" s="301">
        <f t="shared" si="49"/>
        <v>8434239.949481288</v>
      </c>
      <c r="AC187" s="301">
        <f t="shared" si="36"/>
        <v>43547.76824882604</v>
      </c>
      <c r="AD187" s="301">
        <f t="shared" si="50"/>
        <v>46272.628841749625</v>
      </c>
      <c r="AE187" s="301">
        <f t="shared" si="51"/>
        <v>89820.397090575658</v>
      </c>
      <c r="AF187" s="477">
        <f t="shared" si="52"/>
        <v>89820.397090575658</v>
      </c>
      <c r="AI187" s="543">
        <f t="shared" si="37"/>
        <v>51569.700541630773</v>
      </c>
      <c r="AJ187" s="543">
        <f t="shared" si="53"/>
        <v>20643.714104225179</v>
      </c>
      <c r="AK187" s="300">
        <f t="shared" si="54"/>
        <v>8092799.6994814537</v>
      </c>
      <c r="AL187" s="543">
        <f t="shared" si="55"/>
        <v>72213.414645855955</v>
      </c>
      <c r="AM187" s="10">
        <f t="shared" si="56"/>
        <v>72213.414645855955</v>
      </c>
      <c r="AP187" s="437">
        <f t="shared" si="57"/>
        <v>146437.06756264935</v>
      </c>
    </row>
    <row r="188" spans="1:42" s="11" customFormat="1" hidden="1" x14ac:dyDescent="0.3">
      <c r="A188" s="775">
        <v>109</v>
      </c>
      <c r="B188" s="775">
        <f t="shared" si="38"/>
        <v>10</v>
      </c>
      <c r="C188" s="891">
        <f t="shared" si="60"/>
        <v>0.14489675614077413</v>
      </c>
      <c r="D188" s="891"/>
      <c r="E188" s="891">
        <f t="shared" si="60"/>
        <v>0.03</v>
      </c>
      <c r="F188" s="891">
        <f t="shared" si="31"/>
        <v>0.03</v>
      </c>
      <c r="G188" s="893">
        <f t="shared" si="40"/>
        <v>7438560.1517561628</v>
      </c>
      <c r="H188" s="436">
        <f t="shared" si="32"/>
        <v>47826.377500624272</v>
      </c>
      <c r="I188" s="302">
        <f t="shared" si="33"/>
        <v>0</v>
      </c>
      <c r="J188" s="301">
        <f t="shared" si="58"/>
        <v>18975.910299852272</v>
      </c>
      <c r="K188" s="301">
        <f t="shared" si="41"/>
        <v>66802.287800476537</v>
      </c>
      <c r="L188" s="10">
        <f t="shared" si="42"/>
        <v>66802.287800476537</v>
      </c>
      <c r="M188" s="302"/>
      <c r="N188" s="435">
        <f t="shared" si="43"/>
        <v>66802.287800476508</v>
      </c>
      <c r="O188" s="436">
        <f t="shared" si="34"/>
        <v>0</v>
      </c>
      <c r="P188" s="436">
        <f t="shared" si="44"/>
        <v>0</v>
      </c>
      <c r="R188" s="354">
        <f>+Hirdetmény!$AA$46</f>
        <v>0.13400000000000001</v>
      </c>
      <c r="S188" s="301">
        <f t="shared" si="45"/>
        <v>9919496.3349022754</v>
      </c>
      <c r="T188" s="301">
        <f t="shared" si="35"/>
        <v>32949.867616997108</v>
      </c>
      <c r="U188" s="301">
        <f t="shared" si="46"/>
        <v>112679.19994565223</v>
      </c>
      <c r="V188" s="301">
        <f t="shared" si="47"/>
        <v>145629.06756264935</v>
      </c>
      <c r="W188" s="301">
        <f t="shared" si="48"/>
        <v>145629.06756264935</v>
      </c>
      <c r="AA188" s="12">
        <f>+paraméterek!$B$346</f>
        <v>6.4600000000000005E-2</v>
      </c>
      <c r="AB188" s="301">
        <f t="shared" si="49"/>
        <v>8390454.4930779394</v>
      </c>
      <c r="AC188" s="301">
        <f t="shared" si="36"/>
        <v>43785.456403348973</v>
      </c>
      <c r="AD188" s="301">
        <f t="shared" si="50"/>
        <v>46034.940687226692</v>
      </c>
      <c r="AE188" s="301">
        <f t="shared" si="51"/>
        <v>89820.397090575658</v>
      </c>
      <c r="AF188" s="477">
        <f t="shared" si="52"/>
        <v>89820.397090575658</v>
      </c>
      <c r="AI188" s="543">
        <f t="shared" si="37"/>
        <v>51700.415407586996</v>
      </c>
      <c r="AJ188" s="543">
        <f t="shared" si="53"/>
        <v>20512.999238268963</v>
      </c>
      <c r="AK188" s="300">
        <f t="shared" si="54"/>
        <v>8041099.2840738669</v>
      </c>
      <c r="AL188" s="543">
        <f t="shared" si="55"/>
        <v>72213.414645855955</v>
      </c>
      <c r="AM188" s="10">
        <f t="shared" si="56"/>
        <v>72213.414645855955</v>
      </c>
      <c r="AP188" s="437">
        <f t="shared" si="57"/>
        <v>146437.06756264935</v>
      </c>
    </row>
    <row r="189" spans="1:42" s="11" customFormat="1" hidden="1" x14ac:dyDescent="0.3">
      <c r="A189" s="775">
        <v>110</v>
      </c>
      <c r="B189" s="775">
        <f t="shared" si="38"/>
        <v>10</v>
      </c>
      <c r="C189" s="891">
        <f t="shared" si="60"/>
        <v>0.14489675614077413</v>
      </c>
      <c r="D189" s="891"/>
      <c r="E189" s="891">
        <f t="shared" si="60"/>
        <v>0.03</v>
      </c>
      <c r="F189" s="891">
        <f t="shared" si="31"/>
        <v>0.03</v>
      </c>
      <c r="G189" s="893">
        <f t="shared" si="40"/>
        <v>7390612.547673679</v>
      </c>
      <c r="H189" s="436">
        <f t="shared" si="32"/>
        <v>47947.604082483478</v>
      </c>
      <c r="I189" s="302">
        <f t="shared" si="33"/>
        <v>0</v>
      </c>
      <c r="J189" s="301">
        <f t="shared" si="58"/>
        <v>18854.683717993052</v>
      </c>
      <c r="K189" s="301">
        <f t="shared" si="41"/>
        <v>66802.287800476537</v>
      </c>
      <c r="L189" s="10">
        <f t="shared" si="42"/>
        <v>66802.287800476537</v>
      </c>
      <c r="M189" s="302"/>
      <c r="N189" s="435">
        <f t="shared" si="43"/>
        <v>66802.287800476508</v>
      </c>
      <c r="O189" s="436">
        <f t="shared" si="34"/>
        <v>0</v>
      </c>
      <c r="P189" s="436">
        <f t="shared" si="44"/>
        <v>0</v>
      </c>
      <c r="R189" s="354">
        <f>+Hirdetmény!$AA$46</f>
        <v>0.13400000000000001</v>
      </c>
      <c r="S189" s="301">
        <f t="shared" si="45"/>
        <v>9886173.4168164935</v>
      </c>
      <c r="T189" s="301">
        <f t="shared" si="35"/>
        <v>33322.918085781217</v>
      </c>
      <c r="U189" s="301">
        <f t="shared" si="46"/>
        <v>112306.14947686814</v>
      </c>
      <c r="V189" s="301">
        <f t="shared" si="47"/>
        <v>145629.06756264938</v>
      </c>
      <c r="W189" s="301">
        <f t="shared" si="48"/>
        <v>145629.06756264938</v>
      </c>
      <c r="AA189" s="12">
        <f>+paraméterek!$B$346</f>
        <v>6.4600000000000005E-2</v>
      </c>
      <c r="AB189" s="301">
        <f t="shared" si="49"/>
        <v>8346430.0511939107</v>
      </c>
      <c r="AC189" s="301">
        <f t="shared" si="36"/>
        <v>44024.441884028274</v>
      </c>
      <c r="AD189" s="301">
        <f t="shared" si="50"/>
        <v>45795.955206547398</v>
      </c>
      <c r="AE189" s="301">
        <f t="shared" si="51"/>
        <v>89820.397090575672</v>
      </c>
      <c r="AF189" s="477">
        <f t="shared" si="52"/>
        <v>89820.397090575672</v>
      </c>
      <c r="AI189" s="543">
        <f t="shared" si="37"/>
        <v>51831.461599418726</v>
      </c>
      <c r="AJ189" s="543">
        <f t="shared" si="53"/>
        <v>20381.953046437233</v>
      </c>
      <c r="AK189" s="300">
        <f t="shared" si="54"/>
        <v>7989267.822474448</v>
      </c>
      <c r="AL189" s="543">
        <f t="shared" si="55"/>
        <v>72213.414645855955</v>
      </c>
      <c r="AM189" s="10">
        <f t="shared" si="56"/>
        <v>72213.414645855955</v>
      </c>
      <c r="AP189" s="437">
        <f t="shared" si="57"/>
        <v>146437.06756264938</v>
      </c>
    </row>
    <row r="190" spans="1:42" s="11" customFormat="1" hidden="1" x14ac:dyDescent="0.3">
      <c r="A190" s="775">
        <v>111</v>
      </c>
      <c r="B190" s="775">
        <f t="shared" si="38"/>
        <v>10</v>
      </c>
      <c r="C190" s="891">
        <f t="shared" si="60"/>
        <v>0.14489675614077413</v>
      </c>
      <c r="D190" s="891"/>
      <c r="E190" s="891">
        <f t="shared" si="60"/>
        <v>0.03</v>
      </c>
      <c r="F190" s="891">
        <f t="shared" si="31"/>
        <v>0.03</v>
      </c>
      <c r="G190" s="893">
        <f t="shared" si="40"/>
        <v>7342543.4097336251</v>
      </c>
      <c r="H190" s="436">
        <f t="shared" si="32"/>
        <v>48069.137940053675</v>
      </c>
      <c r="I190" s="302">
        <f t="shared" si="33"/>
        <v>0</v>
      </c>
      <c r="J190" s="301">
        <f t="shared" si="58"/>
        <v>18733.149860422865</v>
      </c>
      <c r="K190" s="301">
        <f t="shared" si="41"/>
        <v>66802.287800476537</v>
      </c>
      <c r="L190" s="10">
        <f t="shared" si="42"/>
        <v>66802.287800476537</v>
      </c>
      <c r="M190" s="302"/>
      <c r="N190" s="435">
        <f t="shared" si="43"/>
        <v>66802.287800476508</v>
      </c>
      <c r="O190" s="436">
        <f t="shared" si="34"/>
        <v>0</v>
      </c>
      <c r="P190" s="436">
        <f t="shared" si="44"/>
        <v>0</v>
      </c>
      <c r="R190" s="354">
        <f>+Hirdetmény!$AA$46</f>
        <v>0.13400000000000001</v>
      </c>
      <c r="S190" s="301">
        <f t="shared" si="45"/>
        <v>9852473.2246743292</v>
      </c>
      <c r="T190" s="301">
        <f t="shared" si="35"/>
        <v>33700.192142164444</v>
      </c>
      <c r="U190" s="301">
        <f t="shared" si="46"/>
        <v>111928.8754204849</v>
      </c>
      <c r="V190" s="301">
        <f t="shared" si="47"/>
        <v>145629.06756264935</v>
      </c>
      <c r="W190" s="301">
        <f t="shared" si="48"/>
        <v>145629.06756264935</v>
      </c>
      <c r="AA190" s="12">
        <f>+paraméterek!$B$346</f>
        <v>6.4600000000000005E-2</v>
      </c>
      <c r="AB190" s="301">
        <f t="shared" si="49"/>
        <v>8302165.3194221081</v>
      </c>
      <c r="AC190" s="301">
        <f t="shared" si="36"/>
        <v>44264.731771802231</v>
      </c>
      <c r="AD190" s="301">
        <f t="shared" si="50"/>
        <v>45555.665318773441</v>
      </c>
      <c r="AE190" s="301">
        <f t="shared" si="51"/>
        <v>89820.397090575672</v>
      </c>
      <c r="AF190" s="477">
        <f t="shared" si="52"/>
        <v>89820.397090575672</v>
      </c>
      <c r="AI190" s="543">
        <f t="shared" si="37"/>
        <v>51962.839956945027</v>
      </c>
      <c r="AJ190" s="543">
        <f t="shared" si="53"/>
        <v>20250.574688910929</v>
      </c>
      <c r="AK190" s="300">
        <f t="shared" si="54"/>
        <v>7937304.9825175032</v>
      </c>
      <c r="AL190" s="543">
        <f t="shared" si="55"/>
        <v>72213.414645855955</v>
      </c>
      <c r="AM190" s="10">
        <f t="shared" si="56"/>
        <v>72213.414645855955</v>
      </c>
      <c r="AP190" s="437">
        <f t="shared" si="57"/>
        <v>146437.06756264935</v>
      </c>
    </row>
    <row r="191" spans="1:42" s="11" customFormat="1" hidden="1" x14ac:dyDescent="0.3">
      <c r="A191" s="775">
        <v>112</v>
      </c>
      <c r="B191" s="775">
        <f t="shared" si="38"/>
        <v>10</v>
      </c>
      <c r="C191" s="891">
        <f t="shared" si="60"/>
        <v>0.14489675614077413</v>
      </c>
      <c r="D191" s="891"/>
      <c r="E191" s="891">
        <f t="shared" si="60"/>
        <v>0.03</v>
      </c>
      <c r="F191" s="891">
        <f t="shared" si="31"/>
        <v>0.03</v>
      </c>
      <c r="G191" s="893">
        <f t="shared" si="40"/>
        <v>7294352.4298814321</v>
      </c>
      <c r="H191" s="436">
        <f t="shared" si="32"/>
        <v>48190.979852193392</v>
      </c>
      <c r="I191" s="302">
        <f t="shared" si="33"/>
        <v>0</v>
      </c>
      <c r="J191" s="301">
        <f t="shared" si="58"/>
        <v>18611.307948283149</v>
      </c>
      <c r="K191" s="301">
        <f t="shared" si="41"/>
        <v>66802.287800476537</v>
      </c>
      <c r="L191" s="10">
        <f t="shared" si="42"/>
        <v>66802.287800476537</v>
      </c>
      <c r="M191" s="302"/>
      <c r="N191" s="435">
        <f t="shared" si="43"/>
        <v>66802.287800476508</v>
      </c>
      <c r="O191" s="436">
        <f t="shared" si="34"/>
        <v>0</v>
      </c>
      <c r="P191" s="436">
        <f t="shared" si="44"/>
        <v>0</v>
      </c>
      <c r="R191" s="354">
        <f>+Hirdetmény!$AA$46</f>
        <v>0.13400000000000001</v>
      </c>
      <c r="S191" s="301">
        <f t="shared" si="45"/>
        <v>9818391.4870697409</v>
      </c>
      <c r="T191" s="301">
        <f t="shared" si="35"/>
        <v>34081.737604588809</v>
      </c>
      <c r="U191" s="301">
        <f t="shared" si="46"/>
        <v>111547.32995806052</v>
      </c>
      <c r="V191" s="301">
        <f t="shared" si="47"/>
        <v>145629.06756264932</v>
      </c>
      <c r="W191" s="301">
        <f t="shared" si="48"/>
        <v>145629.06756264932</v>
      </c>
      <c r="AA191" s="12">
        <f>+paraméterek!$B$346</f>
        <v>6.4600000000000005E-2</v>
      </c>
      <c r="AB191" s="301">
        <f t="shared" si="49"/>
        <v>8257658.9862358505</v>
      </c>
      <c r="AC191" s="301">
        <f t="shared" si="36"/>
        <v>44506.333186257616</v>
      </c>
      <c r="AD191" s="301">
        <f t="shared" si="50"/>
        <v>45314.063904318034</v>
      </c>
      <c r="AE191" s="301">
        <f t="shared" si="51"/>
        <v>89820.397090575658</v>
      </c>
      <c r="AF191" s="477">
        <f t="shared" si="52"/>
        <v>89820.397090575658</v>
      </c>
      <c r="AI191" s="543">
        <f t="shared" si="37"/>
        <v>52094.551322113672</v>
      </c>
      <c r="AJ191" s="543">
        <f t="shared" si="53"/>
        <v>20118.863323742284</v>
      </c>
      <c r="AK191" s="300">
        <f t="shared" si="54"/>
        <v>7885210.4311953895</v>
      </c>
      <c r="AL191" s="543">
        <f t="shared" si="55"/>
        <v>72213.414645855955</v>
      </c>
      <c r="AM191" s="10">
        <f t="shared" si="56"/>
        <v>72213.414645855955</v>
      </c>
      <c r="AP191" s="437">
        <f t="shared" si="57"/>
        <v>146437.06756264932</v>
      </c>
    </row>
    <row r="192" spans="1:42" s="11" customFormat="1" hidden="1" x14ac:dyDescent="0.3">
      <c r="A192" s="775">
        <v>113</v>
      </c>
      <c r="B192" s="775">
        <f t="shared" si="38"/>
        <v>10</v>
      </c>
      <c r="C192" s="891">
        <f t="shared" si="60"/>
        <v>0.14489675614077413</v>
      </c>
      <c r="D192" s="891"/>
      <c r="E192" s="891">
        <f t="shared" si="60"/>
        <v>0.03</v>
      </c>
      <c r="F192" s="891">
        <f t="shared" si="31"/>
        <v>0.03</v>
      </c>
      <c r="G192" s="893">
        <f t="shared" si="40"/>
        <v>7246039.2992816968</v>
      </c>
      <c r="H192" s="436">
        <f t="shared" si="32"/>
        <v>48313.130599735414</v>
      </c>
      <c r="I192" s="302">
        <f t="shared" si="33"/>
        <v>0</v>
      </c>
      <c r="J192" s="301">
        <f t="shared" si="58"/>
        <v>18489.157200741131</v>
      </c>
      <c r="K192" s="301">
        <f t="shared" si="41"/>
        <v>66802.287800476537</v>
      </c>
      <c r="L192" s="10">
        <f t="shared" si="42"/>
        <v>66802.287800476537</v>
      </c>
      <c r="M192" s="302"/>
      <c r="N192" s="435">
        <f t="shared" si="43"/>
        <v>66802.287800476508</v>
      </c>
      <c r="O192" s="436">
        <f t="shared" si="34"/>
        <v>0</v>
      </c>
      <c r="P192" s="436">
        <f t="shared" si="44"/>
        <v>0</v>
      </c>
      <c r="R192" s="354">
        <f>+Hirdetmény!$AA$46</f>
        <v>0.13400000000000001</v>
      </c>
      <c r="S192" s="301">
        <f t="shared" si="45"/>
        <v>9783923.8842368554</v>
      </c>
      <c r="T192" s="301">
        <f t="shared" si="35"/>
        <v>34467.602832885204</v>
      </c>
      <c r="U192" s="301">
        <f t="shared" si="46"/>
        <v>111161.46472976413</v>
      </c>
      <c r="V192" s="301">
        <f t="shared" si="47"/>
        <v>145629.06756264935</v>
      </c>
      <c r="W192" s="301">
        <f t="shared" si="48"/>
        <v>145629.06756264935</v>
      </c>
      <c r="AA192" s="12">
        <f>+paraméterek!$B$346</f>
        <v>6.4600000000000005E-2</v>
      </c>
      <c r="AB192" s="301">
        <f t="shared" si="49"/>
        <v>8212909.7329500094</v>
      </c>
      <c r="AC192" s="301">
        <f t="shared" si="36"/>
        <v>44749.253285840663</v>
      </c>
      <c r="AD192" s="301">
        <f t="shared" si="50"/>
        <v>45071.14380473498</v>
      </c>
      <c r="AE192" s="301">
        <f t="shared" si="51"/>
        <v>89820.397090575643</v>
      </c>
      <c r="AF192" s="477">
        <f t="shared" si="52"/>
        <v>89820.397090575643</v>
      </c>
      <c r="AI192" s="543">
        <f t="shared" si="37"/>
        <v>52226.596539006539</v>
      </c>
      <c r="AJ192" s="543">
        <f t="shared" si="53"/>
        <v>19986.818106849423</v>
      </c>
      <c r="AK192" s="300">
        <f t="shared" si="54"/>
        <v>7832983.8346563829</v>
      </c>
      <c r="AL192" s="543">
        <f t="shared" si="55"/>
        <v>72213.414645855955</v>
      </c>
      <c r="AM192" s="10">
        <f t="shared" si="56"/>
        <v>72213.414645855955</v>
      </c>
      <c r="AP192" s="437">
        <f t="shared" si="57"/>
        <v>146437.06756264935</v>
      </c>
    </row>
    <row r="193" spans="1:42" s="11" customFormat="1" hidden="1" x14ac:dyDescent="0.3">
      <c r="A193" s="775">
        <v>114</v>
      </c>
      <c r="B193" s="775">
        <f t="shared" si="38"/>
        <v>10</v>
      </c>
      <c r="C193" s="891">
        <f t="shared" ref="C193:E208" si="61">+C192</f>
        <v>0.14489675614077413</v>
      </c>
      <c r="D193" s="891"/>
      <c r="E193" s="891">
        <f t="shared" si="61"/>
        <v>0.03</v>
      </c>
      <c r="F193" s="891">
        <f t="shared" si="31"/>
        <v>0.03</v>
      </c>
      <c r="G193" s="893">
        <f t="shared" si="40"/>
        <v>7197603.7083162051</v>
      </c>
      <c r="H193" s="436">
        <f t="shared" si="32"/>
        <v>48435.590965491683</v>
      </c>
      <c r="I193" s="302">
        <f t="shared" si="33"/>
        <v>0</v>
      </c>
      <c r="J193" s="301">
        <f t="shared" si="58"/>
        <v>18366.696834984854</v>
      </c>
      <c r="K193" s="301">
        <f t="shared" si="41"/>
        <v>66802.287800476537</v>
      </c>
      <c r="L193" s="10">
        <f t="shared" si="42"/>
        <v>66802.287800476537</v>
      </c>
      <c r="M193" s="302"/>
      <c r="N193" s="435">
        <f t="shared" si="43"/>
        <v>66802.287800476508</v>
      </c>
      <c r="O193" s="436">
        <f t="shared" si="34"/>
        <v>0</v>
      </c>
      <c r="P193" s="436">
        <f t="shared" si="44"/>
        <v>0</v>
      </c>
      <c r="R193" s="354">
        <f>+Hirdetmény!$AA$46</f>
        <v>0.13400000000000001</v>
      </c>
      <c r="S193" s="301">
        <f t="shared" si="45"/>
        <v>9749066.0475024525</v>
      </c>
      <c r="T193" s="301">
        <f t="shared" si="35"/>
        <v>34857.836734402896</v>
      </c>
      <c r="U193" s="301">
        <f t="shared" si="46"/>
        <v>110771.23082824645</v>
      </c>
      <c r="V193" s="301">
        <f t="shared" si="47"/>
        <v>145629.06756264935</v>
      </c>
      <c r="W193" s="301">
        <f t="shared" si="48"/>
        <v>145629.06756264935</v>
      </c>
      <c r="AA193" s="12">
        <f>+paraméterek!$B$346</f>
        <v>6.4600000000000005E-2</v>
      </c>
      <c r="AB193" s="301">
        <f t="shared" si="49"/>
        <v>8167916.2336819405</v>
      </c>
      <c r="AC193" s="301">
        <f t="shared" si="36"/>
        <v>44993.499268069099</v>
      </c>
      <c r="AD193" s="301">
        <f t="shared" si="50"/>
        <v>44826.897822506551</v>
      </c>
      <c r="AE193" s="301">
        <f t="shared" si="51"/>
        <v>89820.397090575658</v>
      </c>
      <c r="AF193" s="477">
        <f t="shared" si="52"/>
        <v>89820.397090575658</v>
      </c>
      <c r="AI193" s="543">
        <f t="shared" si="37"/>
        <v>52358.976453844996</v>
      </c>
      <c r="AJ193" s="543">
        <f t="shared" si="53"/>
        <v>19854.43819201097</v>
      </c>
      <c r="AK193" s="300">
        <f t="shared" si="54"/>
        <v>7780624.8582025375</v>
      </c>
      <c r="AL193" s="543">
        <f t="shared" si="55"/>
        <v>72213.41464585597</v>
      </c>
      <c r="AM193" s="10">
        <f t="shared" si="56"/>
        <v>72213.41464585597</v>
      </c>
      <c r="AP193" s="437">
        <f t="shared" si="57"/>
        <v>146437.06756264935</v>
      </c>
    </row>
    <row r="194" spans="1:42" s="11" customFormat="1" hidden="1" x14ac:dyDescent="0.3">
      <c r="A194" s="775">
        <v>115</v>
      </c>
      <c r="B194" s="775">
        <f t="shared" si="38"/>
        <v>10</v>
      </c>
      <c r="C194" s="891">
        <f t="shared" si="61"/>
        <v>0.14489675614077413</v>
      </c>
      <c r="D194" s="891"/>
      <c r="E194" s="891">
        <f t="shared" si="61"/>
        <v>0.03</v>
      </c>
      <c r="F194" s="891">
        <f t="shared" si="31"/>
        <v>0.03</v>
      </c>
      <c r="G194" s="893">
        <f t="shared" si="40"/>
        <v>7149045.3465819471</v>
      </c>
      <c r="H194" s="436">
        <f t="shared" si="32"/>
        <v>48558.361734258382</v>
      </c>
      <c r="I194" s="302">
        <f t="shared" si="33"/>
        <v>0</v>
      </c>
      <c r="J194" s="301">
        <f t="shared" si="58"/>
        <v>18243.926066218155</v>
      </c>
      <c r="K194" s="301">
        <f t="shared" si="41"/>
        <v>66802.287800476537</v>
      </c>
      <c r="L194" s="10">
        <f t="shared" si="42"/>
        <v>66802.287800476537</v>
      </c>
      <c r="M194" s="302"/>
      <c r="N194" s="435">
        <f t="shared" si="43"/>
        <v>66802.287800476508</v>
      </c>
      <c r="O194" s="436">
        <f t="shared" si="34"/>
        <v>0</v>
      </c>
      <c r="P194" s="436">
        <f t="shared" si="44"/>
        <v>0</v>
      </c>
      <c r="R194" s="354">
        <f>+Hirdetmény!$AA$46</f>
        <v>0.13400000000000001</v>
      </c>
      <c r="S194" s="301">
        <f t="shared" si="45"/>
        <v>9713813.5587322433</v>
      </c>
      <c r="T194" s="301">
        <f t="shared" si="35"/>
        <v>35252.488770208365</v>
      </c>
      <c r="U194" s="301">
        <f t="shared" si="46"/>
        <v>110376.57879244097</v>
      </c>
      <c r="V194" s="301">
        <f t="shared" si="47"/>
        <v>145629.06756264932</v>
      </c>
      <c r="W194" s="301">
        <f t="shared" si="48"/>
        <v>145629.06756264932</v>
      </c>
      <c r="AA194" s="12">
        <f>+paraméterek!$B$346</f>
        <v>6.4600000000000005E-2</v>
      </c>
      <c r="AB194" s="301">
        <f t="shared" si="49"/>
        <v>8122677.1553121954</v>
      </c>
      <c r="AC194" s="301">
        <f t="shared" si="36"/>
        <v>45239.078369745439</v>
      </c>
      <c r="AD194" s="301">
        <f t="shared" si="50"/>
        <v>44581.318720830204</v>
      </c>
      <c r="AE194" s="301">
        <f t="shared" si="51"/>
        <v>89820.397090575643</v>
      </c>
      <c r="AF194" s="477">
        <f t="shared" si="52"/>
        <v>89820.397090575643</v>
      </c>
      <c r="AI194" s="543">
        <f t="shared" si="37"/>
        <v>52491.691914995361</v>
      </c>
      <c r="AJ194" s="543">
        <f t="shared" si="53"/>
        <v>19721.722730860598</v>
      </c>
      <c r="AK194" s="300">
        <f t="shared" si="54"/>
        <v>7728133.1662875423</v>
      </c>
      <c r="AL194" s="543">
        <f t="shared" si="55"/>
        <v>72213.414645855955</v>
      </c>
      <c r="AM194" s="10">
        <f t="shared" si="56"/>
        <v>72213.414645855955</v>
      </c>
      <c r="AP194" s="437">
        <f t="shared" si="57"/>
        <v>146437.06756264932</v>
      </c>
    </row>
    <row r="195" spans="1:42" s="11" customFormat="1" hidden="1" x14ac:dyDescent="0.3">
      <c r="A195" s="775">
        <v>116</v>
      </c>
      <c r="B195" s="775">
        <f t="shared" si="38"/>
        <v>10</v>
      </c>
      <c r="C195" s="891">
        <f t="shared" si="61"/>
        <v>0.14489675614077413</v>
      </c>
      <c r="D195" s="891"/>
      <c r="E195" s="891">
        <f t="shared" si="61"/>
        <v>0.03</v>
      </c>
      <c r="F195" s="891">
        <f t="shared" si="31"/>
        <v>0.03</v>
      </c>
      <c r="G195" s="893">
        <f t="shared" si="40"/>
        <v>7100363.902889126</v>
      </c>
      <c r="H195" s="436">
        <f t="shared" si="32"/>
        <v>48681.443692820918</v>
      </c>
      <c r="I195" s="302">
        <f t="shared" si="33"/>
        <v>0</v>
      </c>
      <c r="J195" s="301">
        <f t="shared" si="58"/>
        <v>18120.84410765563</v>
      </c>
      <c r="K195" s="301">
        <f t="shared" si="41"/>
        <v>66802.287800476552</v>
      </c>
      <c r="L195" s="10">
        <f t="shared" si="42"/>
        <v>66802.287800476552</v>
      </c>
      <c r="M195" s="302"/>
      <c r="N195" s="435">
        <f t="shared" si="43"/>
        <v>66802.287800476508</v>
      </c>
      <c r="O195" s="436">
        <f t="shared" si="34"/>
        <v>0</v>
      </c>
      <c r="P195" s="436">
        <f t="shared" si="44"/>
        <v>0</v>
      </c>
      <c r="R195" s="354">
        <f>+Hirdetmény!$AA$46</f>
        <v>0.13400000000000001</v>
      </c>
      <c r="S195" s="301">
        <f t="shared" si="45"/>
        <v>9678161.9497708883</v>
      </c>
      <c r="T195" s="301">
        <f t="shared" si="35"/>
        <v>35651.608961354403</v>
      </c>
      <c r="U195" s="301">
        <f t="shared" si="46"/>
        <v>109977.45860129493</v>
      </c>
      <c r="V195" s="301">
        <f t="shared" si="47"/>
        <v>145629.06756264932</v>
      </c>
      <c r="W195" s="301">
        <f t="shared" si="48"/>
        <v>145629.06756264932</v>
      </c>
      <c r="AA195" s="12">
        <f>+paraméterek!$B$346</f>
        <v>6.4600000000000005E-2</v>
      </c>
      <c r="AB195" s="301">
        <f t="shared" si="49"/>
        <v>8077191.1574450238</v>
      </c>
      <c r="AC195" s="301">
        <f t="shared" si="36"/>
        <v>45485.997867171427</v>
      </c>
      <c r="AD195" s="301">
        <f t="shared" si="50"/>
        <v>44334.399223404238</v>
      </c>
      <c r="AE195" s="301">
        <f t="shared" si="51"/>
        <v>89820.397090575658</v>
      </c>
      <c r="AF195" s="477">
        <f t="shared" si="52"/>
        <v>89820.397090575658</v>
      </c>
      <c r="AI195" s="543">
        <f t="shared" si="37"/>
        <v>52624.743772974347</v>
      </c>
      <c r="AJ195" s="543">
        <f t="shared" si="53"/>
        <v>19588.670872881616</v>
      </c>
      <c r="AK195" s="300">
        <f t="shared" si="54"/>
        <v>7675508.4225145681</v>
      </c>
      <c r="AL195" s="543">
        <f t="shared" si="55"/>
        <v>72213.414645855955</v>
      </c>
      <c r="AM195" s="10">
        <f t="shared" si="56"/>
        <v>72213.414645855955</v>
      </c>
      <c r="AP195" s="437">
        <f t="shared" si="57"/>
        <v>146437.06756264932</v>
      </c>
    </row>
    <row r="196" spans="1:42" s="11" customFormat="1" hidden="1" x14ac:dyDescent="0.3">
      <c r="A196" s="775">
        <v>117</v>
      </c>
      <c r="B196" s="775">
        <f t="shared" si="38"/>
        <v>10</v>
      </c>
      <c r="C196" s="891">
        <f t="shared" si="61"/>
        <v>0.14489675614077413</v>
      </c>
      <c r="D196" s="891"/>
      <c r="E196" s="891">
        <f t="shared" si="61"/>
        <v>0.03</v>
      </c>
      <c r="F196" s="891">
        <f t="shared" si="31"/>
        <v>0.03</v>
      </c>
      <c r="G196" s="893">
        <f t="shared" si="40"/>
        <v>7051559.065259167</v>
      </c>
      <c r="H196" s="436">
        <f t="shared" si="32"/>
        <v>48804.837629958958</v>
      </c>
      <c r="I196" s="302">
        <f t="shared" si="33"/>
        <v>0</v>
      </c>
      <c r="J196" s="301">
        <f t="shared" si="58"/>
        <v>17997.450170517579</v>
      </c>
      <c r="K196" s="301">
        <f t="shared" si="41"/>
        <v>66802.287800476537</v>
      </c>
      <c r="L196" s="10">
        <f t="shared" si="42"/>
        <v>66802.287800476537</v>
      </c>
      <c r="M196" s="302"/>
      <c r="N196" s="435">
        <f t="shared" si="43"/>
        <v>66802.287800476508</v>
      </c>
      <c r="O196" s="436">
        <f t="shared" si="34"/>
        <v>0</v>
      </c>
      <c r="P196" s="436">
        <f t="shared" si="44"/>
        <v>0</v>
      </c>
      <c r="R196" s="354">
        <f>+Hirdetmény!$AA$46</f>
        <v>0.13400000000000001</v>
      </c>
      <c r="S196" s="301">
        <f t="shared" si="45"/>
        <v>9642106.701875668</v>
      </c>
      <c r="T196" s="301">
        <f t="shared" si="35"/>
        <v>36055.247895220113</v>
      </c>
      <c r="U196" s="301">
        <f t="shared" si="46"/>
        <v>109573.81966742921</v>
      </c>
      <c r="V196" s="301">
        <f t="shared" si="47"/>
        <v>145629.06756264932</v>
      </c>
      <c r="W196" s="301">
        <f t="shared" si="48"/>
        <v>145629.06756264932</v>
      </c>
      <c r="AA196" s="12">
        <f>+paraméterek!$B$346</f>
        <v>6.4600000000000005E-2</v>
      </c>
      <c r="AB196" s="301">
        <f t="shared" si="49"/>
        <v>8031456.8923686603</v>
      </c>
      <c r="AC196" s="301">
        <f t="shared" si="36"/>
        <v>45734.265076363568</v>
      </c>
      <c r="AD196" s="301">
        <f t="shared" si="50"/>
        <v>44086.132014212089</v>
      </c>
      <c r="AE196" s="301">
        <f t="shared" si="51"/>
        <v>89820.397090575658</v>
      </c>
      <c r="AF196" s="477">
        <f t="shared" si="52"/>
        <v>89820.397090575658</v>
      </c>
      <c r="AI196" s="543">
        <f t="shared" si="37"/>
        <v>52758.132880454446</v>
      </c>
      <c r="AJ196" s="543">
        <f t="shared" si="53"/>
        <v>19455.281765401513</v>
      </c>
      <c r="AK196" s="300">
        <f t="shared" si="54"/>
        <v>7622750.2896341132</v>
      </c>
      <c r="AL196" s="543">
        <f t="shared" si="55"/>
        <v>72213.414645855955</v>
      </c>
      <c r="AM196" s="10">
        <f t="shared" si="56"/>
        <v>72213.414645855955</v>
      </c>
      <c r="AP196" s="437">
        <f t="shared" si="57"/>
        <v>146437.06756264932</v>
      </c>
    </row>
    <row r="197" spans="1:42" s="11" customFormat="1" hidden="1" x14ac:dyDescent="0.3">
      <c r="A197" s="775">
        <v>118</v>
      </c>
      <c r="B197" s="775">
        <f t="shared" si="38"/>
        <v>10</v>
      </c>
      <c r="C197" s="891">
        <f t="shared" si="61"/>
        <v>0.14489675614077413</v>
      </c>
      <c r="D197" s="891"/>
      <c r="E197" s="891">
        <f t="shared" si="61"/>
        <v>0.03</v>
      </c>
      <c r="F197" s="891">
        <f t="shared" si="31"/>
        <v>0.03</v>
      </c>
      <c r="G197" s="893">
        <f t="shared" si="40"/>
        <v>7002630.5209227158</v>
      </c>
      <c r="H197" s="436">
        <f t="shared" si="32"/>
        <v>48928.544336451574</v>
      </c>
      <c r="I197" s="302">
        <f t="shared" si="33"/>
        <v>0</v>
      </c>
      <c r="J197" s="301">
        <f t="shared" si="58"/>
        <v>17873.74346402497</v>
      </c>
      <c r="K197" s="301">
        <f t="shared" si="41"/>
        <v>66802.287800476537</v>
      </c>
      <c r="L197" s="10">
        <f t="shared" si="42"/>
        <v>66802.287800476537</v>
      </c>
      <c r="M197" s="302"/>
      <c r="N197" s="435">
        <f t="shared" si="43"/>
        <v>66802.287800476508</v>
      </c>
      <c r="O197" s="436">
        <f t="shared" si="34"/>
        <v>0</v>
      </c>
      <c r="P197" s="436">
        <f t="shared" si="44"/>
        <v>0</v>
      </c>
      <c r="R197" s="354">
        <f>+Hirdetmény!$AA$46</f>
        <v>0.13400000000000001</v>
      </c>
      <c r="S197" s="301">
        <f t="shared" si="45"/>
        <v>9605643.2451437451</v>
      </c>
      <c r="T197" s="301">
        <f t="shared" si="35"/>
        <v>36463.456731922699</v>
      </c>
      <c r="U197" s="301">
        <f t="shared" si="46"/>
        <v>109165.61083072661</v>
      </c>
      <c r="V197" s="301">
        <f t="shared" si="47"/>
        <v>145629.06756264932</v>
      </c>
      <c r="W197" s="301">
        <f t="shared" si="48"/>
        <v>145629.06756264932</v>
      </c>
      <c r="AA197" s="12">
        <f>+paraméterek!$B$346</f>
        <v>6.4600000000000005E-2</v>
      </c>
      <c r="AB197" s="301">
        <f t="shared" si="49"/>
        <v>7985473.00501539</v>
      </c>
      <c r="AC197" s="301">
        <f t="shared" si="36"/>
        <v>45983.887353269944</v>
      </c>
      <c r="AD197" s="301">
        <f t="shared" si="50"/>
        <v>43836.509737305707</v>
      </c>
      <c r="AE197" s="301">
        <f t="shared" si="51"/>
        <v>89820.397090575658</v>
      </c>
      <c r="AF197" s="477">
        <f t="shared" si="52"/>
        <v>89820.397090575658</v>
      </c>
      <c r="AI197" s="543">
        <f t="shared" si="37"/>
        <v>52891.86009226949</v>
      </c>
      <c r="AJ197" s="543">
        <f t="shared" si="53"/>
        <v>19321.554553586466</v>
      </c>
      <c r="AK197" s="300">
        <f t="shared" si="54"/>
        <v>7569858.4295418439</v>
      </c>
      <c r="AL197" s="543">
        <f t="shared" si="55"/>
        <v>72213.414645855955</v>
      </c>
      <c r="AM197" s="10">
        <f t="shared" si="56"/>
        <v>72213.414645855955</v>
      </c>
      <c r="AP197" s="437">
        <f t="shared" si="57"/>
        <v>146437.06756264932</v>
      </c>
    </row>
    <row r="198" spans="1:42" s="11" customFormat="1" hidden="1" x14ac:dyDescent="0.3">
      <c r="A198" s="775">
        <v>119</v>
      </c>
      <c r="B198" s="775">
        <f t="shared" si="38"/>
        <v>10</v>
      </c>
      <c r="C198" s="891">
        <f t="shared" si="61"/>
        <v>0.14489675614077413</v>
      </c>
      <c r="D198" s="891"/>
      <c r="E198" s="891">
        <f t="shared" si="61"/>
        <v>0.03</v>
      </c>
      <c r="F198" s="891">
        <f t="shared" si="31"/>
        <v>0.03</v>
      </c>
      <c r="G198" s="893">
        <f t="shared" si="40"/>
        <v>6953577.9563176334</v>
      </c>
      <c r="H198" s="436">
        <f t="shared" si="32"/>
        <v>49052.56460508216</v>
      </c>
      <c r="I198" s="302">
        <f t="shared" si="33"/>
        <v>0</v>
      </c>
      <c r="J198" s="301">
        <f t="shared" si="58"/>
        <v>17749.723195394385</v>
      </c>
      <c r="K198" s="301">
        <f t="shared" si="41"/>
        <v>66802.287800476537</v>
      </c>
      <c r="L198" s="10">
        <f t="shared" si="42"/>
        <v>66802.287800476537</v>
      </c>
      <c r="M198" s="302"/>
      <c r="N198" s="435">
        <f t="shared" si="43"/>
        <v>66802.287800476508</v>
      </c>
      <c r="O198" s="436">
        <f t="shared" si="34"/>
        <v>0</v>
      </c>
      <c r="P198" s="436">
        <f t="shared" si="44"/>
        <v>0</v>
      </c>
      <c r="R198" s="354">
        <f>+Hirdetmény!$AA$46</f>
        <v>0.13400000000000001</v>
      </c>
      <c r="S198" s="301">
        <f t="shared" si="45"/>
        <v>9568766.9579329435</v>
      </c>
      <c r="T198" s="301">
        <f t="shared" si="35"/>
        <v>36876.287210801951</v>
      </c>
      <c r="U198" s="301">
        <f t="shared" si="46"/>
        <v>108752.78035184737</v>
      </c>
      <c r="V198" s="301">
        <f t="shared" si="47"/>
        <v>145629.06756264932</v>
      </c>
      <c r="W198" s="301">
        <f t="shared" si="48"/>
        <v>145629.06756264932</v>
      </c>
      <c r="AA198" s="12">
        <f>+paraméterek!$B$346</f>
        <v>6.4600000000000005E-2</v>
      </c>
      <c r="AB198" s="301">
        <f t="shared" si="49"/>
        <v>7939238.1329214014</v>
      </c>
      <c r="AC198" s="301">
        <f t="shared" si="36"/>
        <v>46234.872093988168</v>
      </c>
      <c r="AD198" s="301">
        <f t="shared" si="50"/>
        <v>43585.524996587475</v>
      </c>
      <c r="AE198" s="301">
        <f t="shared" si="51"/>
        <v>89820.397090575643</v>
      </c>
      <c r="AF198" s="477">
        <f t="shared" si="52"/>
        <v>89820.397090575643</v>
      </c>
      <c r="AI198" s="543">
        <f t="shared" si="37"/>
        <v>53025.926265420028</v>
      </c>
      <c r="AJ198" s="543">
        <f t="shared" si="53"/>
        <v>19187.488380435923</v>
      </c>
      <c r="AK198" s="300">
        <f t="shared" si="54"/>
        <v>7516832.5032764236</v>
      </c>
      <c r="AL198" s="543">
        <f t="shared" si="55"/>
        <v>72213.414645855955</v>
      </c>
      <c r="AM198" s="10">
        <f t="shared" si="56"/>
        <v>72213.414645855955</v>
      </c>
      <c r="AP198" s="437">
        <f t="shared" si="57"/>
        <v>146437.06756264932</v>
      </c>
    </row>
    <row r="199" spans="1:42" s="11" customFormat="1" hidden="1" x14ac:dyDescent="0.3">
      <c r="A199" s="775">
        <v>120</v>
      </c>
      <c r="B199" s="775">
        <f t="shared" si="38"/>
        <v>10</v>
      </c>
      <c r="C199" s="891">
        <f t="shared" si="61"/>
        <v>0.14489675614077413</v>
      </c>
      <c r="D199" s="891"/>
      <c r="E199" s="891">
        <f t="shared" si="61"/>
        <v>0.03</v>
      </c>
      <c r="F199" s="891">
        <f t="shared" si="31"/>
        <v>0.03</v>
      </c>
      <c r="G199" s="893">
        <f t="shared" si="40"/>
        <v>6904401.0570869893</v>
      </c>
      <c r="H199" s="436">
        <f t="shared" si="32"/>
        <v>49176.899230643656</v>
      </c>
      <c r="I199" s="302">
        <f t="shared" si="33"/>
        <v>0</v>
      </c>
      <c r="J199" s="301">
        <f t="shared" si="58"/>
        <v>17625.388569832889</v>
      </c>
      <c r="K199" s="301">
        <f t="shared" si="41"/>
        <v>66802.287800476537</v>
      </c>
      <c r="L199" s="10">
        <f t="shared" si="42"/>
        <v>66802.287800476537</v>
      </c>
      <c r="M199" s="302"/>
      <c r="N199" s="435">
        <f t="shared" si="43"/>
        <v>66802.287800476508</v>
      </c>
      <c r="O199" s="436">
        <f t="shared" si="34"/>
        <v>0</v>
      </c>
      <c r="P199" s="436">
        <f t="shared" si="44"/>
        <v>0</v>
      </c>
      <c r="R199" s="354">
        <f>+Hirdetmény!$AA$46</f>
        <v>0.13400000000000001</v>
      </c>
      <c r="S199" s="301">
        <f t="shared" si="45"/>
        <v>9531473.166275965</v>
      </c>
      <c r="T199" s="301">
        <f t="shared" si="35"/>
        <v>37293.791656977955</v>
      </c>
      <c r="U199" s="301">
        <f t="shared" si="46"/>
        <v>108335.27590567137</v>
      </c>
      <c r="V199" s="301">
        <f t="shared" si="47"/>
        <v>145629.06756264932</v>
      </c>
      <c r="W199" s="301">
        <f t="shared" si="48"/>
        <v>145629.06756264932</v>
      </c>
      <c r="AA199" s="12">
        <f>+paraméterek!$B$346</f>
        <v>6.4600000000000005E-2</v>
      </c>
      <c r="AB199" s="301">
        <f t="shared" si="49"/>
        <v>7892750.9061864167</v>
      </c>
      <c r="AC199" s="301">
        <f t="shared" si="36"/>
        <v>46487.226734984506</v>
      </c>
      <c r="AD199" s="301">
        <f t="shared" si="50"/>
        <v>43333.170355591144</v>
      </c>
      <c r="AE199" s="301">
        <f t="shared" si="51"/>
        <v>89820.397090575658</v>
      </c>
      <c r="AF199" s="477">
        <f t="shared" si="52"/>
        <v>89820.397090575658</v>
      </c>
      <c r="AI199" s="543">
        <f t="shared" si="37"/>
        <v>53160.332259078918</v>
      </c>
      <c r="AJ199" s="543">
        <f t="shared" si="53"/>
        <v>19053.082386777045</v>
      </c>
      <c r="AK199" s="300">
        <f t="shared" si="54"/>
        <v>7463672.171017345</v>
      </c>
      <c r="AL199" s="543">
        <f t="shared" si="55"/>
        <v>72213.414645855955</v>
      </c>
      <c r="AM199" s="10">
        <f t="shared" si="56"/>
        <v>72213.414645855955</v>
      </c>
      <c r="AP199" s="437">
        <f t="shared" si="57"/>
        <v>146437.06756264932</v>
      </c>
    </row>
    <row r="200" spans="1:42" s="11" customFormat="1" hidden="1" x14ac:dyDescent="0.3">
      <c r="A200" s="775">
        <v>121</v>
      </c>
      <c r="B200" s="775">
        <f t="shared" si="38"/>
        <v>11</v>
      </c>
      <c r="C200" s="891">
        <f t="shared" si="61"/>
        <v>0.14489675614077413</v>
      </c>
      <c r="D200" s="891"/>
      <c r="E200" s="891">
        <f t="shared" si="61"/>
        <v>0.03</v>
      </c>
      <c r="F200" s="891">
        <f t="shared" si="31"/>
        <v>0.03</v>
      </c>
      <c r="G200" s="893">
        <f t="shared" si="40"/>
        <v>6855099.5080770459</v>
      </c>
      <c r="H200" s="436">
        <f t="shared" si="32"/>
        <v>49301.549009943548</v>
      </c>
      <c r="I200" s="302">
        <f t="shared" si="33"/>
        <v>0</v>
      </c>
      <c r="J200" s="301">
        <f t="shared" si="58"/>
        <v>17500.738790532992</v>
      </c>
      <c r="K200" s="301">
        <f t="shared" si="41"/>
        <v>66802.287800476537</v>
      </c>
      <c r="L200" s="10">
        <f t="shared" si="42"/>
        <v>66802.287800476537</v>
      </c>
      <c r="M200" s="302"/>
      <c r="N200" s="435">
        <f t="shared" si="43"/>
        <v>66802.287800476508</v>
      </c>
      <c r="O200" s="436">
        <f t="shared" si="34"/>
        <v>0</v>
      </c>
      <c r="P200" s="436">
        <f t="shared" si="44"/>
        <v>0</v>
      </c>
      <c r="R200" s="354">
        <f>+Hirdetmény!$AA$46</f>
        <v>0.13400000000000001</v>
      </c>
      <c r="S200" s="301">
        <f t="shared" si="45"/>
        <v>9493757.1432879809</v>
      </c>
      <c r="T200" s="301">
        <f t="shared" si="35"/>
        <v>37716.022987983226</v>
      </c>
      <c r="U200" s="301">
        <f t="shared" si="46"/>
        <v>107913.04457466608</v>
      </c>
      <c r="V200" s="301">
        <f t="shared" si="47"/>
        <v>145629.06756264932</v>
      </c>
      <c r="W200" s="301">
        <f t="shared" si="48"/>
        <v>145629.06756264932</v>
      </c>
      <c r="AA200" s="12">
        <f>+paraméterek!$B$346</f>
        <v>6.4600000000000005E-2</v>
      </c>
      <c r="AB200" s="301">
        <f t="shared" si="49"/>
        <v>7846009.9474331029</v>
      </c>
      <c r="AC200" s="301">
        <f t="shared" si="36"/>
        <v>46740.958753314182</v>
      </c>
      <c r="AD200" s="301">
        <f t="shared" si="50"/>
        <v>43079.438337261468</v>
      </c>
      <c r="AE200" s="301">
        <f t="shared" si="51"/>
        <v>89820.397090575658</v>
      </c>
      <c r="AF200" s="477">
        <f t="shared" si="52"/>
        <v>89820.397090575658</v>
      </c>
      <c r="AI200" s="543">
        <f t="shared" si="37"/>
        <v>53295.078934596721</v>
      </c>
      <c r="AJ200" s="543">
        <f t="shared" si="53"/>
        <v>18918.335711259246</v>
      </c>
      <c r="AK200" s="300">
        <f t="shared" si="54"/>
        <v>7410377.0920827482</v>
      </c>
      <c r="AL200" s="543">
        <f t="shared" si="55"/>
        <v>72213.41464585597</v>
      </c>
      <c r="AM200" s="10">
        <f t="shared" si="56"/>
        <v>72213.41464585597</v>
      </c>
      <c r="AP200" s="437">
        <f t="shared" si="57"/>
        <v>146437.06756264932</v>
      </c>
    </row>
    <row r="201" spans="1:42" s="11" customFormat="1" hidden="1" x14ac:dyDescent="0.3">
      <c r="A201" s="775">
        <v>122</v>
      </c>
      <c r="B201" s="775">
        <f t="shared" si="38"/>
        <v>11</v>
      </c>
      <c r="C201" s="891">
        <f t="shared" si="61"/>
        <v>0.14489675614077413</v>
      </c>
      <c r="D201" s="891"/>
      <c r="E201" s="891">
        <f t="shared" si="61"/>
        <v>0.03</v>
      </c>
      <c r="F201" s="891">
        <f t="shared" si="31"/>
        <v>0.03</v>
      </c>
      <c r="G201" s="893">
        <f t="shared" si="40"/>
        <v>6805672.9933352368</v>
      </c>
      <c r="H201" s="436">
        <f t="shared" si="32"/>
        <v>49426.514741809027</v>
      </c>
      <c r="I201" s="302">
        <f t="shared" si="33"/>
        <v>0</v>
      </c>
      <c r="J201" s="301">
        <f t="shared" si="58"/>
        <v>17375.77305866751</v>
      </c>
      <c r="K201" s="301">
        <f t="shared" si="41"/>
        <v>66802.287800476537</v>
      </c>
      <c r="L201" s="10">
        <f t="shared" si="42"/>
        <v>66802.287800476537</v>
      </c>
      <c r="M201" s="302"/>
      <c r="N201" s="435">
        <f t="shared" si="43"/>
        <v>66802.287800476508</v>
      </c>
      <c r="O201" s="436">
        <f t="shared" si="34"/>
        <v>0</v>
      </c>
      <c r="P201" s="436">
        <f t="shared" si="44"/>
        <v>0</v>
      </c>
      <c r="R201" s="354">
        <f>+Hirdetmény!$AA$46</f>
        <v>0.13400000000000001</v>
      </c>
      <c r="S201" s="301">
        <f t="shared" si="45"/>
        <v>9455614.1085675117</v>
      </c>
      <c r="T201" s="301">
        <f t="shared" si="35"/>
        <v>38143.034720469848</v>
      </c>
      <c r="U201" s="301">
        <f t="shared" si="46"/>
        <v>107486.03284217944</v>
      </c>
      <c r="V201" s="301">
        <f t="shared" si="47"/>
        <v>145629.06756264929</v>
      </c>
      <c r="W201" s="301">
        <f t="shared" si="48"/>
        <v>145629.06756264929</v>
      </c>
      <c r="AA201" s="12">
        <f>+paraméterek!$B$346</f>
        <v>6.4600000000000005E-2</v>
      </c>
      <c r="AB201" s="301">
        <f t="shared" si="49"/>
        <v>7799013.8717662599</v>
      </c>
      <c r="AC201" s="301">
        <f t="shared" si="36"/>
        <v>46996.07566684296</v>
      </c>
      <c r="AD201" s="301">
        <f t="shared" si="50"/>
        <v>42824.321423732676</v>
      </c>
      <c r="AE201" s="301">
        <f t="shared" si="51"/>
        <v>89820.397090575629</v>
      </c>
      <c r="AF201" s="477">
        <f t="shared" si="52"/>
        <v>89820.397090575629</v>
      </c>
      <c r="AI201" s="543">
        <f t="shared" si="37"/>
        <v>53430.167155507326</v>
      </c>
      <c r="AJ201" s="543">
        <f t="shared" si="53"/>
        <v>18783.247490348633</v>
      </c>
      <c r="AK201" s="300">
        <f t="shared" si="54"/>
        <v>7356946.9249272412</v>
      </c>
      <c r="AL201" s="543">
        <f t="shared" si="55"/>
        <v>72213.414645855955</v>
      </c>
      <c r="AM201" s="10">
        <f t="shared" si="56"/>
        <v>72213.414645855955</v>
      </c>
      <c r="AP201" s="437">
        <f t="shared" si="57"/>
        <v>146437.06756264929</v>
      </c>
    </row>
    <row r="202" spans="1:42" s="11" customFormat="1" hidden="1" x14ac:dyDescent="0.3">
      <c r="A202" s="775">
        <v>123</v>
      </c>
      <c r="B202" s="775">
        <f t="shared" si="38"/>
        <v>11</v>
      </c>
      <c r="C202" s="891">
        <f t="shared" si="61"/>
        <v>0.14489675614077413</v>
      </c>
      <c r="D202" s="891"/>
      <c r="E202" s="891">
        <f t="shared" si="61"/>
        <v>0.03</v>
      </c>
      <c r="F202" s="891">
        <f t="shared" si="31"/>
        <v>0.03</v>
      </c>
      <c r="G202" s="893">
        <f t="shared" si="40"/>
        <v>6756121.1961081447</v>
      </c>
      <c r="H202" s="436">
        <f t="shared" si="32"/>
        <v>49551.797227092095</v>
      </c>
      <c r="I202" s="302">
        <f t="shared" si="33"/>
        <v>0</v>
      </c>
      <c r="J202" s="301">
        <f t="shared" si="58"/>
        <v>17250.490573384453</v>
      </c>
      <c r="K202" s="301">
        <f t="shared" si="41"/>
        <v>66802.287800476552</v>
      </c>
      <c r="L202" s="10">
        <f t="shared" si="42"/>
        <v>66802.287800476552</v>
      </c>
      <c r="M202" s="302"/>
      <c r="N202" s="435">
        <f t="shared" si="43"/>
        <v>66802.287800476508</v>
      </c>
      <c r="O202" s="436">
        <f t="shared" si="34"/>
        <v>0</v>
      </c>
      <c r="P202" s="436">
        <f t="shared" si="44"/>
        <v>0</v>
      </c>
      <c r="R202" s="354">
        <f>+Hirdetmény!$AA$46</f>
        <v>0.13400000000000001</v>
      </c>
      <c r="S202" s="301">
        <f t="shared" si="45"/>
        <v>9417039.2275905199</v>
      </c>
      <c r="T202" s="301">
        <f t="shared" si="35"/>
        <v>38574.880976992587</v>
      </c>
      <c r="U202" s="301">
        <f t="shared" si="46"/>
        <v>107054.18658565672</v>
      </c>
      <c r="V202" s="301">
        <f t="shared" si="47"/>
        <v>145629.06756264932</v>
      </c>
      <c r="W202" s="301">
        <f t="shared" si="48"/>
        <v>145629.06756264932</v>
      </c>
      <c r="AA202" s="12">
        <f>+paraméterek!$B$346</f>
        <v>6.4600000000000005E-2</v>
      </c>
      <c r="AB202" s="301">
        <f t="shared" si="49"/>
        <v>7751761.2867317898</v>
      </c>
      <c r="AC202" s="301">
        <f t="shared" si="36"/>
        <v>47252.585034469936</v>
      </c>
      <c r="AD202" s="301">
        <f t="shared" si="50"/>
        <v>42567.812056105715</v>
      </c>
      <c r="AE202" s="301">
        <f t="shared" si="51"/>
        <v>89820.397090575658</v>
      </c>
      <c r="AF202" s="477">
        <f t="shared" si="52"/>
        <v>89820.397090575658</v>
      </c>
      <c r="AI202" s="543">
        <f t="shared" si="37"/>
        <v>53565.597787533436</v>
      </c>
      <c r="AJ202" s="543">
        <f t="shared" si="53"/>
        <v>18647.81685832252</v>
      </c>
      <c r="AK202" s="300">
        <f t="shared" si="54"/>
        <v>7303381.3271397073</v>
      </c>
      <c r="AL202" s="543">
        <f t="shared" si="55"/>
        <v>72213.414645855955</v>
      </c>
      <c r="AM202" s="10">
        <f t="shared" si="56"/>
        <v>72213.414645855955</v>
      </c>
      <c r="AP202" s="437">
        <f t="shared" si="57"/>
        <v>146437.06756264932</v>
      </c>
    </row>
    <row r="203" spans="1:42" s="11" customFormat="1" hidden="1" x14ac:dyDescent="0.3">
      <c r="A203" s="775">
        <v>124</v>
      </c>
      <c r="B203" s="775">
        <f t="shared" si="38"/>
        <v>11</v>
      </c>
      <c r="C203" s="891">
        <f t="shared" si="61"/>
        <v>0.14489675614077413</v>
      </c>
      <c r="D203" s="891"/>
      <c r="E203" s="891">
        <f t="shared" si="61"/>
        <v>0.03</v>
      </c>
      <c r="F203" s="891">
        <f t="shared" si="31"/>
        <v>0.03</v>
      </c>
      <c r="G203" s="893">
        <f t="shared" si="40"/>
        <v>6706443.7988394704</v>
      </c>
      <c r="H203" s="436">
        <f t="shared" si="32"/>
        <v>49677.397268674642</v>
      </c>
      <c r="I203" s="302">
        <f t="shared" si="33"/>
        <v>0</v>
      </c>
      <c r="J203" s="301">
        <f t="shared" si="58"/>
        <v>17124.890531801895</v>
      </c>
      <c r="K203" s="301">
        <f t="shared" si="41"/>
        <v>66802.287800476537</v>
      </c>
      <c r="L203" s="10">
        <f t="shared" si="42"/>
        <v>66802.287800476537</v>
      </c>
      <c r="M203" s="302"/>
      <c r="N203" s="435">
        <f t="shared" si="43"/>
        <v>66802.287800476508</v>
      </c>
      <c r="O203" s="436">
        <f t="shared" si="34"/>
        <v>0</v>
      </c>
      <c r="P203" s="436">
        <f t="shared" si="44"/>
        <v>0</v>
      </c>
      <c r="R203" s="354">
        <f>+Hirdetmény!$AA$46</f>
        <v>0.13400000000000001</v>
      </c>
      <c r="S203" s="301">
        <f t="shared" si="45"/>
        <v>9378027.6110976506</v>
      </c>
      <c r="T203" s="301">
        <f t="shared" si="35"/>
        <v>39011.616492868678</v>
      </c>
      <c r="U203" s="301">
        <f t="shared" si="46"/>
        <v>106617.45106978065</v>
      </c>
      <c r="V203" s="301">
        <f t="shared" si="47"/>
        <v>145629.06756264932</v>
      </c>
      <c r="W203" s="301">
        <f t="shared" si="48"/>
        <v>145629.06756264932</v>
      </c>
      <c r="AA203" s="12">
        <f>+paraméterek!$B$346</f>
        <v>6.4600000000000005E-2</v>
      </c>
      <c r="AB203" s="301">
        <f t="shared" si="49"/>
        <v>7704250.7922754381</v>
      </c>
      <c r="AC203" s="301">
        <f t="shared" si="36"/>
        <v>47510.494456351364</v>
      </c>
      <c r="AD203" s="301">
        <f t="shared" si="50"/>
        <v>42309.90263422428</v>
      </c>
      <c r="AE203" s="301">
        <f t="shared" si="51"/>
        <v>89820.397090575643</v>
      </c>
      <c r="AF203" s="477">
        <f t="shared" si="52"/>
        <v>89820.397090575643</v>
      </c>
      <c r="AI203" s="543">
        <f t="shared" si="37"/>
        <v>53701.371698592113</v>
      </c>
      <c r="AJ203" s="543">
        <f t="shared" si="53"/>
        <v>18512.042947263843</v>
      </c>
      <c r="AK203" s="300">
        <f t="shared" si="54"/>
        <v>7249679.9554411154</v>
      </c>
      <c r="AL203" s="543">
        <f t="shared" si="55"/>
        <v>72213.414645855955</v>
      </c>
      <c r="AM203" s="10">
        <f t="shared" si="56"/>
        <v>72213.414645855955</v>
      </c>
      <c r="AP203" s="437">
        <f t="shared" si="57"/>
        <v>146437.06756264932</v>
      </c>
    </row>
    <row r="204" spans="1:42" s="11" customFormat="1" hidden="1" x14ac:dyDescent="0.3">
      <c r="A204" s="775">
        <v>125</v>
      </c>
      <c r="B204" s="775">
        <f t="shared" si="38"/>
        <v>11</v>
      </c>
      <c r="C204" s="891">
        <f t="shared" si="61"/>
        <v>0.14489675614077413</v>
      </c>
      <c r="D204" s="891"/>
      <c r="E204" s="891">
        <f t="shared" si="61"/>
        <v>0.03</v>
      </c>
      <c r="F204" s="891">
        <f t="shared" si="31"/>
        <v>0.03</v>
      </c>
      <c r="G204" s="893">
        <f t="shared" si="40"/>
        <v>6656640.4831679966</v>
      </c>
      <c r="H204" s="436">
        <f t="shared" si="32"/>
        <v>49803.315671473712</v>
      </c>
      <c r="I204" s="302">
        <f t="shared" si="33"/>
        <v>0</v>
      </c>
      <c r="J204" s="301">
        <f t="shared" si="58"/>
        <v>16998.972129002821</v>
      </c>
      <c r="K204" s="301">
        <f t="shared" si="41"/>
        <v>66802.287800476537</v>
      </c>
      <c r="L204" s="10">
        <f t="shared" si="42"/>
        <v>66802.287800476537</v>
      </c>
      <c r="M204" s="302"/>
      <c r="N204" s="435">
        <f t="shared" si="43"/>
        <v>66802.287800476508</v>
      </c>
      <c r="O204" s="436">
        <f t="shared" si="34"/>
        <v>0</v>
      </c>
      <c r="P204" s="436">
        <f t="shared" si="44"/>
        <v>0</v>
      </c>
      <c r="R204" s="354">
        <f>+Hirdetmény!$AA$46</f>
        <v>0.13400000000000001</v>
      </c>
      <c r="S204" s="301">
        <f t="shared" si="45"/>
        <v>9338574.3144745342</v>
      </c>
      <c r="T204" s="301">
        <f t="shared" si="35"/>
        <v>39453.296623115486</v>
      </c>
      <c r="U204" s="301">
        <f t="shared" si="46"/>
        <v>106175.77093953383</v>
      </c>
      <c r="V204" s="301">
        <f t="shared" si="47"/>
        <v>145629.06756264932</v>
      </c>
      <c r="W204" s="301">
        <f t="shared" si="48"/>
        <v>145629.06756264932</v>
      </c>
      <c r="AA204" s="12">
        <f>+paraméterek!$B$346</f>
        <v>6.4600000000000005E-2</v>
      </c>
      <c r="AB204" s="301">
        <f t="shared" si="49"/>
        <v>7656480.9807013124</v>
      </c>
      <c r="AC204" s="301">
        <f t="shared" si="36"/>
        <v>47769.811574125968</v>
      </c>
      <c r="AD204" s="301">
        <f t="shared" si="50"/>
        <v>42050.585516449668</v>
      </c>
      <c r="AE204" s="301">
        <f t="shared" si="51"/>
        <v>89820.397090575629</v>
      </c>
      <c r="AF204" s="477">
        <f t="shared" si="52"/>
        <v>89820.397090575629</v>
      </c>
      <c r="AI204" s="543">
        <f t="shared" si="37"/>
        <v>53837.489758800351</v>
      </c>
      <c r="AJ204" s="543">
        <f t="shared" si="53"/>
        <v>18375.924887055604</v>
      </c>
      <c r="AK204" s="300">
        <f t="shared" si="54"/>
        <v>7195842.4656823147</v>
      </c>
      <c r="AL204" s="543">
        <f t="shared" si="55"/>
        <v>72213.414645855955</v>
      </c>
      <c r="AM204" s="10">
        <f t="shared" si="56"/>
        <v>72213.414645855955</v>
      </c>
      <c r="AP204" s="437">
        <f t="shared" si="57"/>
        <v>146437.06756264932</v>
      </c>
    </row>
    <row r="205" spans="1:42" s="11" customFormat="1" hidden="1" x14ac:dyDescent="0.3">
      <c r="A205" s="775">
        <v>126</v>
      </c>
      <c r="B205" s="775">
        <f t="shared" si="38"/>
        <v>11</v>
      </c>
      <c r="C205" s="891">
        <f t="shared" si="61"/>
        <v>0.14489675614077413</v>
      </c>
      <c r="D205" s="891"/>
      <c r="E205" s="891">
        <f t="shared" si="61"/>
        <v>0.03</v>
      </c>
      <c r="F205" s="891">
        <f t="shared" si="31"/>
        <v>0.03</v>
      </c>
      <c r="G205" s="893">
        <f t="shared" si="40"/>
        <v>6606710.9299255498</v>
      </c>
      <c r="H205" s="436">
        <f t="shared" si="32"/>
        <v>49929.553242446549</v>
      </c>
      <c r="I205" s="302">
        <f t="shared" si="33"/>
        <v>0</v>
      </c>
      <c r="J205" s="301">
        <f t="shared" si="58"/>
        <v>16872.734558029992</v>
      </c>
      <c r="K205" s="301">
        <f t="shared" si="41"/>
        <v>66802.287800476537</v>
      </c>
      <c r="L205" s="10">
        <f t="shared" si="42"/>
        <v>66802.287800476537</v>
      </c>
      <c r="M205" s="302"/>
      <c r="N205" s="435">
        <f t="shared" si="43"/>
        <v>66802.287800476508</v>
      </c>
      <c r="O205" s="436">
        <f t="shared" si="34"/>
        <v>0</v>
      </c>
      <c r="P205" s="436">
        <f t="shared" si="44"/>
        <v>0</v>
      </c>
      <c r="R205" s="354">
        <f>+Hirdetmény!$AA$46</f>
        <v>0.13400000000000001</v>
      </c>
      <c r="S205" s="301">
        <f t="shared" si="45"/>
        <v>9298674.3371250685</v>
      </c>
      <c r="T205" s="301">
        <f t="shared" si="35"/>
        <v>39899.977349466542</v>
      </c>
      <c r="U205" s="301">
        <f t="shared" si="46"/>
        <v>105729.09021318276</v>
      </c>
      <c r="V205" s="301">
        <f t="shared" si="47"/>
        <v>145629.06756264932</v>
      </c>
      <c r="W205" s="301">
        <f t="shared" si="48"/>
        <v>145629.06756264932</v>
      </c>
      <c r="AA205" s="12">
        <f>+paraméterek!$B$346</f>
        <v>6.4600000000000005E-2</v>
      </c>
      <c r="AB205" s="301">
        <f t="shared" si="49"/>
        <v>7608450.4366301708</v>
      </c>
      <c r="AC205" s="301">
        <f t="shared" si="36"/>
        <v>48030.544071141325</v>
      </c>
      <c r="AD205" s="301">
        <f t="shared" si="50"/>
        <v>41789.853019434318</v>
      </c>
      <c r="AE205" s="301">
        <f t="shared" si="51"/>
        <v>89820.397090575643</v>
      </c>
      <c r="AF205" s="477">
        <f t="shared" si="52"/>
        <v>89820.397090575643</v>
      </c>
      <c r="AI205" s="543">
        <f t="shared" si="37"/>
        <v>53973.952840480633</v>
      </c>
      <c r="AJ205" s="543">
        <f t="shared" si="53"/>
        <v>18239.461805375311</v>
      </c>
      <c r="AK205" s="300">
        <f t="shared" si="54"/>
        <v>7141868.5128418338</v>
      </c>
      <c r="AL205" s="543">
        <f t="shared" si="55"/>
        <v>72213.414645855941</v>
      </c>
      <c r="AM205" s="10">
        <f t="shared" si="56"/>
        <v>72213.414645855941</v>
      </c>
      <c r="AP205" s="437">
        <f t="shared" si="57"/>
        <v>146437.06756264932</v>
      </c>
    </row>
    <row r="206" spans="1:42" s="11" customFormat="1" hidden="1" x14ac:dyDescent="0.3">
      <c r="A206" s="775">
        <v>127</v>
      </c>
      <c r="B206" s="775">
        <f t="shared" si="38"/>
        <v>11</v>
      </c>
      <c r="C206" s="891">
        <f t="shared" si="61"/>
        <v>0.14489675614077413</v>
      </c>
      <c r="D206" s="891"/>
      <c r="E206" s="891">
        <f t="shared" si="61"/>
        <v>0.03</v>
      </c>
      <c r="F206" s="891">
        <f t="shared" si="31"/>
        <v>0.03</v>
      </c>
      <c r="G206" s="893">
        <f t="shared" si="40"/>
        <v>6556654.8191349544</v>
      </c>
      <c r="H206" s="436">
        <f t="shared" si="32"/>
        <v>50056.110790595812</v>
      </c>
      <c r="I206" s="302">
        <f t="shared" si="33"/>
        <v>0</v>
      </c>
      <c r="J206" s="301">
        <f t="shared" si="58"/>
        <v>16746.177009880732</v>
      </c>
      <c r="K206" s="301">
        <f t="shared" si="41"/>
        <v>66802.287800476537</v>
      </c>
      <c r="L206" s="10">
        <f t="shared" si="42"/>
        <v>66802.287800476537</v>
      </c>
      <c r="M206" s="302"/>
      <c r="N206" s="435">
        <f t="shared" si="43"/>
        <v>66802.287800476508</v>
      </c>
      <c r="O206" s="436">
        <f t="shared" si="34"/>
        <v>0</v>
      </c>
      <c r="P206" s="436">
        <f t="shared" si="44"/>
        <v>0</v>
      </c>
      <c r="R206" s="354">
        <f>+Hirdetmény!$AA$46</f>
        <v>0.13400000000000001</v>
      </c>
      <c r="S206" s="301">
        <f t="shared" si="45"/>
        <v>9258322.6218376011</v>
      </c>
      <c r="T206" s="301">
        <f t="shared" si="35"/>
        <v>40351.715287467086</v>
      </c>
      <c r="U206" s="301">
        <f t="shared" si="46"/>
        <v>105277.3522751822</v>
      </c>
      <c r="V206" s="301">
        <f t="shared" si="47"/>
        <v>145629.06756264929</v>
      </c>
      <c r="W206" s="301">
        <f t="shared" si="48"/>
        <v>145629.06756264929</v>
      </c>
      <c r="AA206" s="12">
        <f>+paraméterek!$B$346</f>
        <v>6.4600000000000005E-2</v>
      </c>
      <c r="AB206" s="301">
        <f t="shared" si="49"/>
        <v>7560157.7369574895</v>
      </c>
      <c r="AC206" s="301">
        <f t="shared" si="36"/>
        <v>48292.699672681476</v>
      </c>
      <c r="AD206" s="301">
        <f t="shared" si="50"/>
        <v>41527.697417894167</v>
      </c>
      <c r="AE206" s="301">
        <f t="shared" si="51"/>
        <v>89820.397090575643</v>
      </c>
      <c r="AF206" s="477">
        <f t="shared" si="52"/>
        <v>89820.397090575643</v>
      </c>
      <c r="AI206" s="543">
        <f t="shared" si="37"/>
        <v>54110.761818166575</v>
      </c>
      <c r="AJ206" s="543">
        <f t="shared" si="53"/>
        <v>18102.65282768937</v>
      </c>
      <c r="AK206" s="300">
        <f t="shared" si="54"/>
        <v>7087757.7510236669</v>
      </c>
      <c r="AL206" s="543">
        <f t="shared" si="55"/>
        <v>72213.414645855941</v>
      </c>
      <c r="AM206" s="10">
        <f t="shared" si="56"/>
        <v>72213.414645855941</v>
      </c>
      <c r="AP206" s="437">
        <f t="shared" si="57"/>
        <v>146437.06756264929</v>
      </c>
    </row>
    <row r="207" spans="1:42" s="11" customFormat="1" hidden="1" x14ac:dyDescent="0.3">
      <c r="A207" s="775">
        <v>128</v>
      </c>
      <c r="B207" s="775">
        <f t="shared" si="38"/>
        <v>11</v>
      </c>
      <c r="C207" s="891">
        <f t="shared" si="61"/>
        <v>0.14489675614077413</v>
      </c>
      <c r="D207" s="891"/>
      <c r="E207" s="891">
        <f t="shared" si="61"/>
        <v>0.03</v>
      </c>
      <c r="F207" s="891">
        <f t="shared" si="31"/>
        <v>0.03</v>
      </c>
      <c r="G207" s="893">
        <f t="shared" si="40"/>
        <v>6506471.8300079796</v>
      </c>
      <c r="H207" s="436">
        <f t="shared" si="32"/>
        <v>50182.989126974753</v>
      </c>
      <c r="I207" s="302">
        <f t="shared" si="33"/>
        <v>0</v>
      </c>
      <c r="J207" s="301">
        <f t="shared" si="58"/>
        <v>16619.298673501798</v>
      </c>
      <c r="K207" s="301">
        <f t="shared" si="41"/>
        <v>66802.287800476552</v>
      </c>
      <c r="L207" s="10">
        <f t="shared" si="42"/>
        <v>66802.287800476552</v>
      </c>
      <c r="M207" s="302"/>
      <c r="N207" s="435">
        <f t="shared" si="43"/>
        <v>66802.287800476508</v>
      </c>
      <c r="O207" s="436">
        <f t="shared" si="34"/>
        <v>0</v>
      </c>
      <c r="P207" s="436">
        <f t="shared" si="44"/>
        <v>0</v>
      </c>
      <c r="R207" s="354">
        <f>+Hirdetmény!$AA$46</f>
        <v>0.13400000000000001</v>
      </c>
      <c r="S207" s="301">
        <f t="shared" si="45"/>
        <v>9217514.0541439503</v>
      </c>
      <c r="T207" s="301">
        <f t="shared" si="35"/>
        <v>40808.567693649966</v>
      </c>
      <c r="U207" s="301">
        <f t="shared" si="46"/>
        <v>104820.49986899934</v>
      </c>
      <c r="V207" s="301">
        <f t="shared" si="47"/>
        <v>145629.06756264932</v>
      </c>
      <c r="W207" s="301">
        <f t="shared" si="48"/>
        <v>145629.06756264932</v>
      </c>
      <c r="AA207" s="12">
        <f>+paraméterek!$B$346</f>
        <v>6.4600000000000005E-2</v>
      </c>
      <c r="AB207" s="301">
        <f t="shared" si="49"/>
        <v>7511601.4508112939</v>
      </c>
      <c r="AC207" s="301">
        <f t="shared" si="36"/>
        <v>48556.286146195867</v>
      </c>
      <c r="AD207" s="301">
        <f t="shared" si="50"/>
        <v>41264.110944379783</v>
      </c>
      <c r="AE207" s="301">
        <f t="shared" si="51"/>
        <v>89820.397090575658</v>
      </c>
      <c r="AF207" s="477">
        <f t="shared" si="52"/>
        <v>89820.397090575658</v>
      </c>
      <c r="AI207" s="543">
        <f t="shared" si="37"/>
        <v>54247.917568608456</v>
      </c>
      <c r="AJ207" s="543">
        <f t="shared" si="53"/>
        <v>17965.497077247488</v>
      </c>
      <c r="AK207" s="300">
        <f t="shared" si="54"/>
        <v>7033509.8334550587</v>
      </c>
      <c r="AL207" s="543">
        <f t="shared" si="55"/>
        <v>72213.414645855941</v>
      </c>
      <c r="AM207" s="10">
        <f t="shared" si="56"/>
        <v>72213.414645855941</v>
      </c>
      <c r="AP207" s="437">
        <f t="shared" si="57"/>
        <v>146437.06756264932</v>
      </c>
    </row>
    <row r="208" spans="1:42" s="11" customFormat="1" hidden="1" x14ac:dyDescent="0.3">
      <c r="A208" s="775">
        <v>129</v>
      </c>
      <c r="B208" s="775">
        <f t="shared" si="38"/>
        <v>11</v>
      </c>
      <c r="C208" s="891">
        <f t="shared" si="61"/>
        <v>0.14489675614077413</v>
      </c>
      <c r="D208" s="891"/>
      <c r="E208" s="891">
        <f t="shared" si="61"/>
        <v>0.03</v>
      </c>
      <c r="F208" s="891">
        <f t="shared" ref="F208:F271" si="62">$F$7</f>
        <v>0.03</v>
      </c>
      <c r="G208" s="893">
        <f t="shared" si="40"/>
        <v>6456161.6409432869</v>
      </c>
      <c r="H208" s="436">
        <f t="shared" ref="H208:H271" si="63">IF(A208&lt;=$B$16,0,IF(A208&lt;=$B$10,PPMT(F208/360*(365/12),A208-$B$16,$B$10-$B$16,-$G$79),0))</f>
        <v>50310.189064692437</v>
      </c>
      <c r="I208" s="302">
        <f t="shared" ref="I208:I271" si="64">+IF(A208=$B$10,$C$47,0)</f>
        <v>0</v>
      </c>
      <c r="J208" s="301">
        <f t="shared" si="58"/>
        <v>16492.098735784115</v>
      </c>
      <c r="K208" s="301">
        <f t="shared" si="41"/>
        <v>66802.287800476552</v>
      </c>
      <c r="L208" s="10">
        <f t="shared" si="42"/>
        <v>66802.287800476552</v>
      </c>
      <c r="M208" s="302"/>
      <c r="N208" s="435">
        <f t="shared" si="43"/>
        <v>66802.287800476508</v>
      </c>
      <c r="O208" s="436">
        <f t="shared" ref="O208:O271" si="65">IF(A208&lt;=$B$10,$B$54,0)</f>
        <v>0</v>
      </c>
      <c r="P208" s="436">
        <f t="shared" si="44"/>
        <v>0</v>
      </c>
      <c r="R208" s="354">
        <f>+Hirdetmény!$AA$46</f>
        <v>0.13400000000000001</v>
      </c>
      <c r="S208" s="301">
        <f t="shared" si="45"/>
        <v>9176243.4616711568</v>
      </c>
      <c r="T208" s="301">
        <f t="shared" ref="T208:T271" si="66">IF(A208&lt;=$B$10,IF(A208&gt;$B$16,PPMT(R208/360*(365/12),1,$B$10-A207,S207,$C$47*-1),0)*-1,0)</f>
        <v>41270.592472792661</v>
      </c>
      <c r="U208" s="301">
        <f t="shared" si="46"/>
        <v>104358.47508985663</v>
      </c>
      <c r="V208" s="301">
        <f t="shared" si="47"/>
        <v>145629.06756264929</v>
      </c>
      <c r="W208" s="301">
        <f t="shared" si="48"/>
        <v>145629.06756264929</v>
      </c>
      <c r="AA208" s="12">
        <f>+paraméterek!$B$346</f>
        <v>6.4600000000000005E-2</v>
      </c>
      <c r="AB208" s="301">
        <f t="shared" si="49"/>
        <v>7462780.1395097645</v>
      </c>
      <c r="AC208" s="301">
        <f t="shared" ref="AC208:AC271" si="67">IF(A208&lt;=$B$10,IF(A208&gt;$B$16,PPMT(AA208/360*(365/12),1,$B$10-A207,AB207,$C$47*-1),0)*-1,0)</f>
        <v>48821.311301529466</v>
      </c>
      <c r="AD208" s="301">
        <f t="shared" si="50"/>
        <v>40999.085789046185</v>
      </c>
      <c r="AE208" s="301">
        <f t="shared" si="51"/>
        <v>89820.397090575658</v>
      </c>
      <c r="AF208" s="477">
        <f t="shared" si="52"/>
        <v>89820.397090575658</v>
      </c>
      <c r="AI208" s="543">
        <f t="shared" ref="AI208:AI271" si="68">IF(A208&lt;=24,0,IF(A208&lt;=$B$10,IF(A208&gt;$G$22,PPMT(E208/360*(365/12),1,$B$10-A207,AK207,$G$16*-1),0)*-1,0))</f>
        <v>54385.420970778898</v>
      </c>
      <c r="AJ208" s="543">
        <f t="shared" si="53"/>
        <v>17827.993675077058</v>
      </c>
      <c r="AK208" s="300">
        <f t="shared" si="54"/>
        <v>6979124.4124842798</v>
      </c>
      <c r="AL208" s="543">
        <f t="shared" si="55"/>
        <v>72213.414645855955</v>
      </c>
      <c r="AM208" s="10">
        <f t="shared" si="56"/>
        <v>72213.414645855955</v>
      </c>
      <c r="AP208" s="437">
        <f t="shared" si="57"/>
        <v>146437.06756264929</v>
      </c>
    </row>
    <row r="209" spans="1:42" s="11" customFormat="1" hidden="1" x14ac:dyDescent="0.3">
      <c r="A209" s="775">
        <v>130</v>
      </c>
      <c r="B209" s="775">
        <f t="shared" ref="B209:B272" si="69">+ROUNDUP(A209/12,0)</f>
        <v>11</v>
      </c>
      <c r="C209" s="891">
        <f t="shared" ref="C209:E224" si="70">+C208</f>
        <v>0.14489675614077413</v>
      </c>
      <c r="D209" s="891"/>
      <c r="E209" s="891">
        <f t="shared" si="70"/>
        <v>0.03</v>
      </c>
      <c r="F209" s="891">
        <f t="shared" si="62"/>
        <v>0.03</v>
      </c>
      <c r="G209" s="893">
        <f t="shared" ref="G209:G272" si="71">+G208-H209-I209</f>
        <v>6405723.9295243677</v>
      </c>
      <c r="H209" s="436">
        <f t="shared" si="63"/>
        <v>50437.711418918901</v>
      </c>
      <c r="I209" s="302">
        <f t="shared" si="64"/>
        <v>0</v>
      </c>
      <c r="J209" s="301">
        <f t="shared" si="58"/>
        <v>16364.576381557639</v>
      </c>
      <c r="K209" s="301">
        <f t="shared" ref="K209:K272" si="72">+(H209+J209)+IF($B$15="nem",$B$58,IF(A209&lt;$B$16+1,$B$57,$B$58)+O209)+P209+I209</f>
        <v>66802.287800476537</v>
      </c>
      <c r="L209" s="10">
        <f t="shared" ref="L209:L272" si="73">H209+I209+J209</f>
        <v>66802.287800476537</v>
      </c>
      <c r="M209" s="302"/>
      <c r="N209" s="435">
        <f t="shared" ref="N209:N272" si="74">IF(A209&lt;=$B$10,PMT($F$7*365/360/12,$B$10,-$F$66)+O209+P209+$F$52)+IF($B$15="nem",$B$58,IF(A209&lt;$B$16+1,$B$57,$B$58))</f>
        <v>66802.287800476508</v>
      </c>
      <c r="O209" s="436">
        <f t="shared" si="65"/>
        <v>0</v>
      </c>
      <c r="P209" s="436">
        <f t="shared" ref="P209:P272" si="75">IF(A209&lt;=$B$10,IF($B$30="havi",$B$28,0)+IF($B$30="negyedéves",$B$28,0)+IF($B$30="féléves",$B$28,0)+IF($B$66="éves",$B$28,0),0)</f>
        <v>0</v>
      </c>
      <c r="R209" s="354">
        <f>+Hirdetmény!$AA$46</f>
        <v>0.13400000000000001</v>
      </c>
      <c r="S209" s="301">
        <f t="shared" ref="S209:S272" si="76">+S208-T209</f>
        <v>9134505.6134859007</v>
      </c>
      <c r="T209" s="301">
        <f t="shared" si="66"/>
        <v>41737.848185256611</v>
      </c>
      <c r="U209" s="301">
        <f t="shared" ref="U209:U272" si="77">+S208*R209/360*(365/12)</f>
        <v>103891.21937739267</v>
      </c>
      <c r="V209" s="301">
        <f t="shared" ref="V209:V272" si="78">+T209+U209</f>
        <v>145629.06756264929</v>
      </c>
      <c r="W209" s="301">
        <f t="shared" ref="W209:W272" si="79">+V209+IF($B$15="nem",$B$58,IF(A209&lt;$B$16+1,$B$57,$B$58))+IF(A209&lt;=$B$10,$B$54+$F$52+P209,0)</f>
        <v>145629.06756264929</v>
      </c>
      <c r="AA209" s="12">
        <f>+paraméterek!$B$346</f>
        <v>6.4600000000000005E-2</v>
      </c>
      <c r="AB209" s="301">
        <f t="shared" ref="AB209:AB272" si="80">+AB208-AC209</f>
        <v>7413692.3565186104</v>
      </c>
      <c r="AC209" s="301">
        <f t="shared" si="67"/>
        <v>49087.782991154178</v>
      </c>
      <c r="AD209" s="301">
        <f t="shared" ref="AD209:AD272" si="81">+AB208*AA209/360*(365/12)</f>
        <v>40732.614099421473</v>
      </c>
      <c r="AE209" s="301">
        <f t="shared" ref="AE209:AE272" si="82">+AC209+AD209</f>
        <v>89820.397090575658</v>
      </c>
      <c r="AF209" s="477">
        <f t="shared" ref="AF209:AF272" si="83">+AE209+IF($B$15="nem",$B$58,IF(A209&lt;$B$16+1,$B$57,$B$58)+IF(A209&lt;=$B$10,$B$54+$F$52+P209,0))</f>
        <v>89820.397090575658</v>
      </c>
      <c r="AI209" s="543">
        <f t="shared" si="68"/>
        <v>54523.272905878424</v>
      </c>
      <c r="AJ209" s="543">
        <f t="shared" ref="AJ209:AJ272" si="84">+AK208*E209/360*(365/12)</f>
        <v>17690.141739977516</v>
      </c>
      <c r="AK209" s="300">
        <f t="shared" ref="AK209:AK272" si="85">AK208-AI209</f>
        <v>6924601.1395784011</v>
      </c>
      <c r="AL209" s="543">
        <f t="shared" ref="AL209:AL272" si="86">AI209+AJ209</f>
        <v>72213.414645855941</v>
      </c>
      <c r="AM209" s="10">
        <f t="shared" ref="AM209:AM272" si="87">AL209+IF($B$15="nem",$B$58,IF(A209&lt;$B$16+1,$B$57,$B$58)+IF(A209&lt;=$B$10,$B$54+$F$52+P209,0))</f>
        <v>72213.414645855941</v>
      </c>
      <c r="AP209" s="437">
        <f t="shared" ref="AP209:AP272" si="88">+V209+IF($B$15="nem",$B$58,IF(A209&lt;$B$16+1,$B$57,$B$58)+O209)+IF(A209&gt;$B$10,0,IF($B$28=0,$F$58,$B$28)+I209)</f>
        <v>146437.06756264929</v>
      </c>
    </row>
    <row r="210" spans="1:42" s="11" customFormat="1" hidden="1" x14ac:dyDescent="0.3">
      <c r="A210" s="775">
        <v>131</v>
      </c>
      <c r="B210" s="775">
        <f t="shared" si="69"/>
        <v>11</v>
      </c>
      <c r="C210" s="891">
        <f t="shared" si="70"/>
        <v>0.14489675614077413</v>
      </c>
      <c r="D210" s="891"/>
      <c r="E210" s="891">
        <f t="shared" si="70"/>
        <v>0.03</v>
      </c>
      <c r="F210" s="891">
        <f t="shared" si="62"/>
        <v>0.03</v>
      </c>
      <c r="G210" s="893">
        <f t="shared" si="71"/>
        <v>6355158.3725174768</v>
      </c>
      <c r="H210" s="436">
        <f t="shared" si="63"/>
        <v>50565.557006890471</v>
      </c>
      <c r="I210" s="302">
        <f t="shared" si="64"/>
        <v>0</v>
      </c>
      <c r="J210" s="301">
        <f t="shared" ref="J210:J273" si="89">+G209*F210/360*(365/12)</f>
        <v>16236.730793586072</v>
      </c>
      <c r="K210" s="301">
        <f t="shared" si="72"/>
        <v>66802.287800476537</v>
      </c>
      <c r="L210" s="10">
        <f t="shared" si="73"/>
        <v>66802.287800476537</v>
      </c>
      <c r="M210" s="302"/>
      <c r="N210" s="435">
        <f t="shared" si="74"/>
        <v>66802.287800476508</v>
      </c>
      <c r="O210" s="436">
        <f t="shared" si="65"/>
        <v>0</v>
      </c>
      <c r="P210" s="436">
        <f t="shared" si="75"/>
        <v>0</v>
      </c>
      <c r="R210" s="354">
        <f>+Hirdetmény!$AA$46</f>
        <v>0.13400000000000001</v>
      </c>
      <c r="S210" s="301">
        <f t="shared" si="76"/>
        <v>9092295.2194314916</v>
      </c>
      <c r="T210" s="301">
        <f t="shared" si="66"/>
        <v>42210.394054409589</v>
      </c>
      <c r="U210" s="301">
        <f t="shared" si="77"/>
        <v>103418.67350823971</v>
      </c>
      <c r="V210" s="301">
        <f t="shared" si="78"/>
        <v>145629.06756264929</v>
      </c>
      <c r="W210" s="301">
        <f t="shared" si="79"/>
        <v>145629.06756264929</v>
      </c>
      <c r="AA210" s="12">
        <f>+paraméterek!$B$346</f>
        <v>6.4600000000000005E-2</v>
      </c>
      <c r="AB210" s="301">
        <f t="shared" si="80"/>
        <v>7364336.6474082088</v>
      </c>
      <c r="AC210" s="301">
        <f t="shared" si="67"/>
        <v>49355.709110401491</v>
      </c>
      <c r="AD210" s="301">
        <f t="shared" si="81"/>
        <v>40464.687980174145</v>
      </c>
      <c r="AE210" s="301">
        <f t="shared" si="82"/>
        <v>89820.397090575629</v>
      </c>
      <c r="AF210" s="477">
        <f t="shared" si="83"/>
        <v>89820.397090575629</v>
      </c>
      <c r="AI210" s="543">
        <f t="shared" si="68"/>
        <v>54661.474257341244</v>
      </c>
      <c r="AJ210" s="543">
        <f t="shared" si="84"/>
        <v>17551.940388514697</v>
      </c>
      <c r="AK210" s="300">
        <f t="shared" si="85"/>
        <v>6869939.6653210595</v>
      </c>
      <c r="AL210" s="543">
        <f t="shared" si="86"/>
        <v>72213.414645855941</v>
      </c>
      <c r="AM210" s="10">
        <f t="shared" si="87"/>
        <v>72213.414645855941</v>
      </c>
      <c r="AP210" s="437">
        <f t="shared" si="88"/>
        <v>146437.06756264929</v>
      </c>
    </row>
    <row r="211" spans="1:42" s="11" customFormat="1" hidden="1" x14ac:dyDescent="0.3">
      <c r="A211" s="775">
        <v>132</v>
      </c>
      <c r="B211" s="775">
        <f t="shared" si="69"/>
        <v>11</v>
      </c>
      <c r="C211" s="891">
        <f t="shared" si="70"/>
        <v>0.14489675614077413</v>
      </c>
      <c r="D211" s="891"/>
      <c r="E211" s="891">
        <f t="shared" si="70"/>
        <v>0.03</v>
      </c>
      <c r="F211" s="891">
        <f t="shared" si="62"/>
        <v>0.03</v>
      </c>
      <c r="G211" s="893">
        <f t="shared" si="71"/>
        <v>6304464.6458695615</v>
      </c>
      <c r="H211" s="436">
        <f t="shared" si="63"/>
        <v>50693.726647914882</v>
      </c>
      <c r="I211" s="302">
        <f t="shared" si="64"/>
        <v>0</v>
      </c>
      <c r="J211" s="301">
        <f t="shared" si="89"/>
        <v>16108.56115256166</v>
      </c>
      <c r="K211" s="301">
        <f t="shared" si="72"/>
        <v>66802.287800476537</v>
      </c>
      <c r="L211" s="10">
        <f t="shared" si="73"/>
        <v>66802.287800476537</v>
      </c>
      <c r="M211" s="302"/>
      <c r="N211" s="435">
        <f t="shared" si="74"/>
        <v>66802.287800476508</v>
      </c>
      <c r="O211" s="436">
        <f t="shared" si="65"/>
        <v>0</v>
      </c>
      <c r="P211" s="436">
        <f t="shared" si="75"/>
        <v>0</v>
      </c>
      <c r="R211" s="354">
        <f>+Hirdetmény!$AA$46</f>
        <v>0.13400000000000001</v>
      </c>
      <c r="S211" s="301">
        <f t="shared" si="76"/>
        <v>9049606.929457359</v>
      </c>
      <c r="T211" s="301">
        <f t="shared" si="66"/>
        <v>42688.289974132094</v>
      </c>
      <c r="U211" s="301">
        <f t="shared" si="77"/>
        <v>102940.7775885172</v>
      </c>
      <c r="V211" s="301">
        <f t="shared" si="78"/>
        <v>145629.06756264929</v>
      </c>
      <c r="W211" s="301">
        <f t="shared" si="79"/>
        <v>145629.06756264929</v>
      </c>
      <c r="AA211" s="12">
        <f>+paraméterek!$B$346</f>
        <v>6.4600000000000005E-2</v>
      </c>
      <c r="AB211" s="301">
        <f t="shared" si="80"/>
        <v>7314711.549810512</v>
      </c>
      <c r="AC211" s="301">
        <f t="shared" si="67"/>
        <v>49625.097597696433</v>
      </c>
      <c r="AD211" s="301">
        <f t="shared" si="81"/>
        <v>40195.29949287921</v>
      </c>
      <c r="AE211" s="301">
        <f t="shared" si="82"/>
        <v>89820.397090575643</v>
      </c>
      <c r="AF211" s="477">
        <f t="shared" si="83"/>
        <v>89820.397090575643</v>
      </c>
      <c r="AI211" s="543">
        <f t="shared" si="68"/>
        <v>54800.025910840748</v>
      </c>
      <c r="AJ211" s="543">
        <f t="shared" si="84"/>
        <v>17413.388735015185</v>
      </c>
      <c r="AK211" s="300">
        <f t="shared" si="85"/>
        <v>6815139.6394102192</v>
      </c>
      <c r="AL211" s="543">
        <f t="shared" si="86"/>
        <v>72213.414645855926</v>
      </c>
      <c r="AM211" s="10">
        <f t="shared" si="87"/>
        <v>72213.414645855926</v>
      </c>
      <c r="AP211" s="437">
        <f t="shared" si="88"/>
        <v>146437.06756264929</v>
      </c>
    </row>
    <row r="212" spans="1:42" s="11" customFormat="1" hidden="1" x14ac:dyDescent="0.3">
      <c r="A212" s="775">
        <v>133</v>
      </c>
      <c r="B212" s="775">
        <f t="shared" si="69"/>
        <v>12</v>
      </c>
      <c r="C212" s="891">
        <f t="shared" si="70"/>
        <v>0.14489675614077413</v>
      </c>
      <c r="D212" s="891"/>
      <c r="E212" s="891">
        <f t="shared" si="70"/>
        <v>0.03</v>
      </c>
      <c r="F212" s="891">
        <f t="shared" si="62"/>
        <v>0.03</v>
      </c>
      <c r="G212" s="893">
        <f t="shared" si="71"/>
        <v>6253642.4247061852</v>
      </c>
      <c r="H212" s="436">
        <f t="shared" si="63"/>
        <v>50822.221163376606</v>
      </c>
      <c r="I212" s="302">
        <f t="shared" si="64"/>
        <v>0</v>
      </c>
      <c r="J212" s="301">
        <f t="shared" si="89"/>
        <v>15980.066637099932</v>
      </c>
      <c r="K212" s="301">
        <f t="shared" si="72"/>
        <v>66802.287800476537</v>
      </c>
      <c r="L212" s="10">
        <f t="shared" si="73"/>
        <v>66802.287800476537</v>
      </c>
      <c r="M212" s="302"/>
      <c r="N212" s="435">
        <f t="shared" si="74"/>
        <v>66802.287800476508</v>
      </c>
      <c r="O212" s="436">
        <f t="shared" si="65"/>
        <v>0</v>
      </c>
      <c r="P212" s="436">
        <f t="shared" si="75"/>
        <v>0</v>
      </c>
      <c r="R212" s="354">
        <f>+Hirdetmény!$AA$46</f>
        <v>0.13400000000000001</v>
      </c>
      <c r="S212" s="301">
        <f t="shared" si="76"/>
        <v>9006435.332940951</v>
      </c>
      <c r="T212" s="301">
        <f t="shared" si="66"/>
        <v>43171.596516408659</v>
      </c>
      <c r="U212" s="301">
        <f t="shared" si="77"/>
        <v>102457.47104624061</v>
      </c>
      <c r="V212" s="301">
        <f t="shared" si="78"/>
        <v>145629.06756264926</v>
      </c>
      <c r="W212" s="301">
        <f t="shared" si="79"/>
        <v>145629.06756264926</v>
      </c>
      <c r="AA212" s="12">
        <f>+paraméterek!$B$346</f>
        <v>6.4600000000000005E-2</v>
      </c>
      <c r="AB212" s="301">
        <f t="shared" si="80"/>
        <v>7264815.5933757192</v>
      </c>
      <c r="AC212" s="301">
        <f t="shared" si="67"/>
        <v>49895.956434792737</v>
      </c>
      <c r="AD212" s="301">
        <f t="shared" si="81"/>
        <v>39924.440655782884</v>
      </c>
      <c r="AE212" s="301">
        <f t="shared" si="82"/>
        <v>89820.397090575629</v>
      </c>
      <c r="AF212" s="477">
        <f t="shared" si="83"/>
        <v>89820.397090575629</v>
      </c>
      <c r="AI212" s="543">
        <f t="shared" si="68"/>
        <v>54938.928754295324</v>
      </c>
      <c r="AJ212" s="543">
        <f t="shared" si="84"/>
        <v>17274.485891560627</v>
      </c>
      <c r="AK212" s="300">
        <f t="shared" si="85"/>
        <v>6760200.7106559239</v>
      </c>
      <c r="AL212" s="543">
        <f t="shared" si="86"/>
        <v>72213.414645855955</v>
      </c>
      <c r="AM212" s="10">
        <f t="shared" si="87"/>
        <v>72213.414645855955</v>
      </c>
      <c r="AP212" s="437">
        <f t="shared" si="88"/>
        <v>146437.06756264926</v>
      </c>
    </row>
    <row r="213" spans="1:42" s="11" customFormat="1" hidden="1" x14ac:dyDescent="0.3">
      <c r="A213" s="775">
        <v>134</v>
      </c>
      <c r="B213" s="775">
        <f t="shared" si="69"/>
        <v>12</v>
      </c>
      <c r="C213" s="891">
        <f t="shared" si="70"/>
        <v>0.14489675614077413</v>
      </c>
      <c r="D213" s="891"/>
      <c r="E213" s="891">
        <f t="shared" si="70"/>
        <v>0.03</v>
      </c>
      <c r="F213" s="891">
        <f t="shared" si="62"/>
        <v>0.03</v>
      </c>
      <c r="G213" s="893">
        <f t="shared" si="71"/>
        <v>6202691.3833294427</v>
      </c>
      <c r="H213" s="436">
        <f t="shared" si="63"/>
        <v>50951.041376742112</v>
      </c>
      <c r="I213" s="302">
        <f t="shared" si="64"/>
        <v>0</v>
      </c>
      <c r="J213" s="301">
        <f t="shared" si="89"/>
        <v>15851.246423734428</v>
      </c>
      <c r="K213" s="301">
        <f t="shared" si="72"/>
        <v>66802.287800476537</v>
      </c>
      <c r="L213" s="10">
        <f t="shared" si="73"/>
        <v>66802.287800476537</v>
      </c>
      <c r="M213" s="302"/>
      <c r="N213" s="435">
        <f t="shared" si="74"/>
        <v>66802.287800476508</v>
      </c>
      <c r="O213" s="436">
        <f t="shared" si="65"/>
        <v>0</v>
      </c>
      <c r="P213" s="436">
        <f t="shared" si="75"/>
        <v>0</v>
      </c>
      <c r="R213" s="354">
        <f>+Hirdetmény!$AA$46</f>
        <v>0.13400000000000001</v>
      </c>
      <c r="S213" s="301">
        <f t="shared" si="76"/>
        <v>8962774.9580019452</v>
      </c>
      <c r="T213" s="301">
        <f t="shared" si="66"/>
        <v>43660.37493900532</v>
      </c>
      <c r="U213" s="301">
        <f t="shared" si="77"/>
        <v>101968.69262364398</v>
      </c>
      <c r="V213" s="301">
        <f t="shared" si="78"/>
        <v>145629.06756264929</v>
      </c>
      <c r="W213" s="301">
        <f t="shared" si="79"/>
        <v>145629.06756264929</v>
      </c>
      <c r="AA213" s="12">
        <f>+paraméterek!$B$346</f>
        <v>6.4600000000000005E-2</v>
      </c>
      <c r="AB213" s="301">
        <f t="shared" si="80"/>
        <v>7214647.2997287102</v>
      </c>
      <c r="AC213" s="301">
        <f t="shared" si="67"/>
        <v>50168.293647009414</v>
      </c>
      <c r="AD213" s="301">
        <f t="shared" si="81"/>
        <v>39652.10344356623</v>
      </c>
      <c r="AE213" s="301">
        <f t="shared" si="82"/>
        <v>89820.397090575643</v>
      </c>
      <c r="AF213" s="477">
        <f t="shared" si="83"/>
        <v>89820.397090575643</v>
      </c>
      <c r="AI213" s="543">
        <f t="shared" si="68"/>
        <v>55078.183677873931</v>
      </c>
      <c r="AJ213" s="543">
        <f t="shared" si="84"/>
        <v>17135.230967982032</v>
      </c>
      <c r="AK213" s="300">
        <f t="shared" si="85"/>
        <v>6705122.5269780504</v>
      </c>
      <c r="AL213" s="543">
        <f t="shared" si="86"/>
        <v>72213.414645855955</v>
      </c>
      <c r="AM213" s="10">
        <f t="shared" si="87"/>
        <v>72213.414645855955</v>
      </c>
      <c r="AP213" s="437">
        <f t="shared" si="88"/>
        <v>146437.06756264929</v>
      </c>
    </row>
    <row r="214" spans="1:42" s="11" customFormat="1" hidden="1" x14ac:dyDescent="0.3">
      <c r="A214" s="775">
        <v>135</v>
      </c>
      <c r="B214" s="775">
        <f t="shared" si="69"/>
        <v>12</v>
      </c>
      <c r="C214" s="891">
        <f t="shared" si="70"/>
        <v>0.14489675614077413</v>
      </c>
      <c r="D214" s="891"/>
      <c r="E214" s="891">
        <f t="shared" si="70"/>
        <v>0.03</v>
      </c>
      <c r="F214" s="891">
        <f t="shared" si="62"/>
        <v>0.03</v>
      </c>
      <c r="G214" s="893">
        <f t="shared" si="71"/>
        <v>6151611.1952158771</v>
      </c>
      <c r="H214" s="436">
        <f t="shared" si="63"/>
        <v>51080.188113565106</v>
      </c>
      <c r="I214" s="302">
        <f t="shared" si="64"/>
        <v>0</v>
      </c>
      <c r="J214" s="301">
        <f t="shared" si="89"/>
        <v>15722.099686911433</v>
      </c>
      <c r="K214" s="301">
        <f t="shared" si="72"/>
        <v>66802.287800476537</v>
      </c>
      <c r="L214" s="10">
        <f t="shared" si="73"/>
        <v>66802.287800476537</v>
      </c>
      <c r="M214" s="302"/>
      <c r="N214" s="435">
        <f t="shared" si="74"/>
        <v>66802.287800476508</v>
      </c>
      <c r="O214" s="436">
        <f t="shared" si="65"/>
        <v>0</v>
      </c>
      <c r="P214" s="436">
        <f t="shared" si="75"/>
        <v>0</v>
      </c>
      <c r="R214" s="354">
        <f>+Hirdetmény!$AA$46</f>
        <v>0.13400000000000001</v>
      </c>
      <c r="S214" s="301">
        <f t="shared" si="76"/>
        <v>8918620.2708087116</v>
      </c>
      <c r="T214" s="301">
        <f t="shared" si="66"/>
        <v>44154.687193233738</v>
      </c>
      <c r="U214" s="301">
        <f t="shared" si="77"/>
        <v>101474.38036941554</v>
      </c>
      <c r="V214" s="301">
        <f t="shared" si="78"/>
        <v>145629.06756264926</v>
      </c>
      <c r="W214" s="301">
        <f t="shared" si="79"/>
        <v>145629.06756264926</v>
      </c>
      <c r="AA214" s="12">
        <f>+paraméterek!$B$346</f>
        <v>6.4600000000000005E-2</v>
      </c>
      <c r="AB214" s="301">
        <f t="shared" si="80"/>
        <v>7164205.1824252419</v>
      </c>
      <c r="AC214" s="301">
        <f t="shared" si="67"/>
        <v>50442.117303468411</v>
      </c>
      <c r="AD214" s="301">
        <f t="shared" si="81"/>
        <v>39378.27978710724</v>
      </c>
      <c r="AE214" s="301">
        <f t="shared" si="82"/>
        <v>89820.397090575658</v>
      </c>
      <c r="AF214" s="477">
        <f t="shared" si="83"/>
        <v>89820.397090575658</v>
      </c>
      <c r="AI214" s="543">
        <f t="shared" si="68"/>
        <v>55217.791574001865</v>
      </c>
      <c r="AJ214" s="543">
        <f t="shared" si="84"/>
        <v>16995.623071854086</v>
      </c>
      <c r="AK214" s="300">
        <f t="shared" si="85"/>
        <v>6649904.7354040481</v>
      </c>
      <c r="AL214" s="543">
        <f t="shared" si="86"/>
        <v>72213.414645855955</v>
      </c>
      <c r="AM214" s="10">
        <f t="shared" si="87"/>
        <v>72213.414645855955</v>
      </c>
      <c r="AP214" s="437">
        <f t="shared" si="88"/>
        <v>146437.06756264926</v>
      </c>
    </row>
    <row r="215" spans="1:42" s="11" customFormat="1" hidden="1" x14ac:dyDescent="0.3">
      <c r="A215" s="775">
        <v>136</v>
      </c>
      <c r="B215" s="775">
        <f t="shared" si="69"/>
        <v>12</v>
      </c>
      <c r="C215" s="891">
        <f t="shared" si="70"/>
        <v>0.14489675614077413</v>
      </c>
      <c r="D215" s="891"/>
      <c r="E215" s="891">
        <f t="shared" si="70"/>
        <v>0.03</v>
      </c>
      <c r="F215" s="891">
        <f t="shared" si="62"/>
        <v>0.03</v>
      </c>
      <c r="G215" s="893">
        <f t="shared" si="71"/>
        <v>6100401.533014385</v>
      </c>
      <c r="H215" s="436">
        <f t="shared" si="63"/>
        <v>51209.662201491847</v>
      </c>
      <c r="I215" s="302">
        <f t="shared" si="64"/>
        <v>0</v>
      </c>
      <c r="J215" s="301">
        <f t="shared" si="89"/>
        <v>15592.625598984687</v>
      </c>
      <c r="K215" s="301">
        <f t="shared" si="72"/>
        <v>66802.287800476537</v>
      </c>
      <c r="L215" s="10">
        <f t="shared" si="73"/>
        <v>66802.287800476537</v>
      </c>
      <c r="M215" s="302"/>
      <c r="N215" s="435">
        <f t="shared" si="74"/>
        <v>66802.287800476508</v>
      </c>
      <c r="O215" s="436">
        <f t="shared" si="65"/>
        <v>0</v>
      </c>
      <c r="P215" s="436">
        <f t="shared" si="75"/>
        <v>0</v>
      </c>
      <c r="R215" s="354">
        <f>+Hirdetmény!$AA$46</f>
        <v>0.13400000000000001</v>
      </c>
      <c r="S215" s="301">
        <f t="shared" si="76"/>
        <v>8873965.6748769078</v>
      </c>
      <c r="T215" s="301">
        <f t="shared" si="66"/>
        <v>44654.595931803429</v>
      </c>
      <c r="U215" s="301">
        <f t="shared" si="77"/>
        <v>100974.47163084586</v>
      </c>
      <c r="V215" s="301">
        <f t="shared" si="78"/>
        <v>145629.06756264929</v>
      </c>
      <c r="W215" s="301">
        <f t="shared" si="79"/>
        <v>145629.06756264929</v>
      </c>
      <c r="AA215" s="12">
        <f>+paraméterek!$B$346</f>
        <v>6.4600000000000005E-2</v>
      </c>
      <c r="AB215" s="301">
        <f t="shared" si="80"/>
        <v>7113487.7469079085</v>
      </c>
      <c r="AC215" s="301">
        <f t="shared" si="67"/>
        <v>50717.435517333797</v>
      </c>
      <c r="AD215" s="301">
        <f t="shared" si="81"/>
        <v>39102.961573241853</v>
      </c>
      <c r="AE215" s="301">
        <f t="shared" si="82"/>
        <v>89820.397090575658</v>
      </c>
      <c r="AF215" s="477">
        <f t="shared" si="83"/>
        <v>89820.397090575658</v>
      </c>
      <c r="AI215" s="543">
        <f t="shared" si="68"/>
        <v>55357.753337366514</v>
      </c>
      <c r="AJ215" s="543">
        <f t="shared" si="84"/>
        <v>16855.661308489431</v>
      </c>
      <c r="AK215" s="300">
        <f t="shared" si="85"/>
        <v>6594546.9820666816</v>
      </c>
      <c r="AL215" s="543">
        <f t="shared" si="86"/>
        <v>72213.414645855941</v>
      </c>
      <c r="AM215" s="10">
        <f t="shared" si="87"/>
        <v>72213.414645855941</v>
      </c>
      <c r="AP215" s="437">
        <f t="shared" si="88"/>
        <v>146437.06756264929</v>
      </c>
    </row>
    <row r="216" spans="1:42" s="11" customFormat="1" hidden="1" x14ac:dyDescent="0.3">
      <c r="A216" s="775">
        <v>137</v>
      </c>
      <c r="B216" s="775">
        <f t="shared" si="69"/>
        <v>12</v>
      </c>
      <c r="C216" s="891">
        <f t="shared" si="70"/>
        <v>0.14489675614077413</v>
      </c>
      <c r="D216" s="891"/>
      <c r="E216" s="891">
        <f t="shared" si="70"/>
        <v>0.03</v>
      </c>
      <c r="F216" s="891">
        <f t="shared" si="62"/>
        <v>0.03</v>
      </c>
      <c r="G216" s="893">
        <f t="shared" si="71"/>
        <v>6049062.0685441187</v>
      </c>
      <c r="H216" s="436">
        <f t="shared" si="63"/>
        <v>51339.464470266459</v>
      </c>
      <c r="I216" s="302">
        <f t="shared" si="64"/>
        <v>0</v>
      </c>
      <c r="J216" s="301">
        <f t="shared" si="89"/>
        <v>15462.823330210073</v>
      </c>
      <c r="K216" s="301">
        <f t="shared" si="72"/>
        <v>66802.287800476537</v>
      </c>
      <c r="L216" s="10">
        <f t="shared" si="73"/>
        <v>66802.287800476537</v>
      </c>
      <c r="M216" s="302"/>
      <c r="N216" s="435">
        <f t="shared" si="74"/>
        <v>66802.287800476508</v>
      </c>
      <c r="O216" s="436">
        <f t="shared" si="65"/>
        <v>0</v>
      </c>
      <c r="P216" s="436">
        <f t="shared" si="75"/>
        <v>0</v>
      </c>
      <c r="R216" s="354">
        <f>+Hirdetmény!$AA$46</f>
        <v>0.13400000000000001</v>
      </c>
      <c r="S216" s="301">
        <f t="shared" si="76"/>
        <v>8828805.5103601459</v>
      </c>
      <c r="T216" s="301">
        <f t="shared" si="66"/>
        <v>45160.164516762808</v>
      </c>
      <c r="U216" s="301">
        <f t="shared" si="77"/>
        <v>100468.90304588649</v>
      </c>
      <c r="V216" s="301">
        <f t="shared" si="78"/>
        <v>145629.06756264929</v>
      </c>
      <c r="W216" s="301">
        <f t="shared" si="79"/>
        <v>145629.06756264929</v>
      </c>
      <c r="AA216" s="12">
        <f>+paraméterek!$B$346</f>
        <v>6.4600000000000005E-2</v>
      </c>
      <c r="AB216" s="301">
        <f t="shared" si="80"/>
        <v>7062493.4904618561</v>
      </c>
      <c r="AC216" s="301">
        <f t="shared" si="67"/>
        <v>50994.256446052139</v>
      </c>
      <c r="AD216" s="301">
        <f t="shared" si="81"/>
        <v>38826.140644523519</v>
      </c>
      <c r="AE216" s="301">
        <f t="shared" si="82"/>
        <v>89820.397090575658</v>
      </c>
      <c r="AF216" s="477">
        <f t="shared" si="83"/>
        <v>89820.397090575658</v>
      </c>
      <c r="AI216" s="543">
        <f t="shared" si="68"/>
        <v>55498.06986492304</v>
      </c>
      <c r="AJ216" s="543">
        <f t="shared" si="84"/>
        <v>16715.344780932908</v>
      </c>
      <c r="AK216" s="300">
        <f t="shared" si="85"/>
        <v>6539048.9122017585</v>
      </c>
      <c r="AL216" s="543">
        <f t="shared" si="86"/>
        <v>72213.414645855955</v>
      </c>
      <c r="AM216" s="10">
        <f t="shared" si="87"/>
        <v>72213.414645855955</v>
      </c>
      <c r="AP216" s="437">
        <f t="shared" si="88"/>
        <v>146437.06756264929</v>
      </c>
    </row>
    <row r="217" spans="1:42" s="11" customFormat="1" hidden="1" x14ac:dyDescent="0.3">
      <c r="A217" s="775">
        <v>138</v>
      </c>
      <c r="B217" s="775">
        <f t="shared" si="69"/>
        <v>12</v>
      </c>
      <c r="C217" s="891">
        <f t="shared" si="70"/>
        <v>0.14489675614077413</v>
      </c>
      <c r="D217" s="891"/>
      <c r="E217" s="891">
        <f t="shared" si="70"/>
        <v>0.03</v>
      </c>
      <c r="F217" s="891">
        <f t="shared" si="62"/>
        <v>0.03</v>
      </c>
      <c r="G217" s="893">
        <f t="shared" si="71"/>
        <v>5997592.4727923824</v>
      </c>
      <c r="H217" s="436">
        <f t="shared" si="63"/>
        <v>51469.595751736233</v>
      </c>
      <c r="I217" s="302">
        <f t="shared" si="64"/>
        <v>0</v>
      </c>
      <c r="J217" s="301">
        <f t="shared" si="89"/>
        <v>15332.6920487403</v>
      </c>
      <c r="K217" s="301">
        <f t="shared" si="72"/>
        <v>66802.287800476537</v>
      </c>
      <c r="L217" s="10">
        <f t="shared" si="73"/>
        <v>66802.287800476537</v>
      </c>
      <c r="M217" s="302"/>
      <c r="N217" s="435">
        <f t="shared" si="74"/>
        <v>66802.287800476508</v>
      </c>
      <c r="O217" s="436">
        <f t="shared" si="65"/>
        <v>0</v>
      </c>
      <c r="P217" s="436">
        <f t="shared" si="75"/>
        <v>0</v>
      </c>
      <c r="R217" s="354">
        <f>+Hirdetmény!$AA$46</f>
        <v>0.13400000000000001</v>
      </c>
      <c r="S217" s="301">
        <f t="shared" si="76"/>
        <v>8783134.0533326156</v>
      </c>
      <c r="T217" s="301">
        <f t="shared" si="66"/>
        <v>45671.457027530138</v>
      </c>
      <c r="U217" s="301">
        <f t="shared" si="77"/>
        <v>99957.610535119151</v>
      </c>
      <c r="V217" s="301">
        <f t="shared" si="78"/>
        <v>145629.06756264929</v>
      </c>
      <c r="W217" s="301">
        <f t="shared" si="79"/>
        <v>145629.06756264929</v>
      </c>
      <c r="AA217" s="12">
        <f>+paraméterek!$B$346</f>
        <v>6.4600000000000005E-2</v>
      </c>
      <c r="AB217" s="301">
        <f t="shared" si="80"/>
        <v>7011220.9021702623</v>
      </c>
      <c r="AC217" s="301">
        <f t="shared" si="67"/>
        <v>51272.58829159414</v>
      </c>
      <c r="AD217" s="301">
        <f t="shared" si="81"/>
        <v>38547.80879898151</v>
      </c>
      <c r="AE217" s="301">
        <f t="shared" si="82"/>
        <v>89820.397090575658</v>
      </c>
      <c r="AF217" s="477">
        <f t="shared" si="83"/>
        <v>89820.397090575658</v>
      </c>
      <c r="AI217" s="543">
        <f t="shared" si="68"/>
        <v>55638.742055900097</v>
      </c>
      <c r="AJ217" s="543">
        <f t="shared" si="84"/>
        <v>16574.672589955844</v>
      </c>
      <c r="AK217" s="300">
        <f t="shared" si="85"/>
        <v>6483410.1701458581</v>
      </c>
      <c r="AL217" s="543">
        <f t="shared" si="86"/>
        <v>72213.414645855941</v>
      </c>
      <c r="AM217" s="10">
        <f t="shared" si="87"/>
        <v>72213.414645855941</v>
      </c>
      <c r="AP217" s="437">
        <f t="shared" si="88"/>
        <v>146437.06756264929</v>
      </c>
    </row>
    <row r="218" spans="1:42" s="11" customFormat="1" hidden="1" x14ac:dyDescent="0.3">
      <c r="A218" s="775">
        <v>139</v>
      </c>
      <c r="B218" s="775">
        <f t="shared" si="69"/>
        <v>12</v>
      </c>
      <c r="C218" s="891">
        <f t="shared" si="70"/>
        <v>0.14489675614077413</v>
      </c>
      <c r="D218" s="891"/>
      <c r="E218" s="891">
        <f t="shared" si="70"/>
        <v>0.03</v>
      </c>
      <c r="F218" s="891">
        <f t="shared" si="62"/>
        <v>0.03</v>
      </c>
      <c r="G218" s="893">
        <f t="shared" si="71"/>
        <v>5945992.4159125257</v>
      </c>
      <c r="H218" s="436">
        <f t="shared" si="63"/>
        <v>51600.056879856958</v>
      </c>
      <c r="I218" s="302">
        <f t="shared" si="64"/>
        <v>0</v>
      </c>
      <c r="J218" s="301">
        <f t="shared" si="89"/>
        <v>15202.230920619579</v>
      </c>
      <c r="K218" s="301">
        <f t="shared" si="72"/>
        <v>66802.287800476537</v>
      </c>
      <c r="L218" s="10">
        <f t="shared" si="73"/>
        <v>66802.287800476537</v>
      </c>
      <c r="M218" s="302"/>
      <c r="N218" s="435">
        <f t="shared" si="74"/>
        <v>66802.287800476508</v>
      </c>
      <c r="O218" s="436">
        <f t="shared" si="65"/>
        <v>0</v>
      </c>
      <c r="P218" s="436">
        <f t="shared" si="75"/>
        <v>0</v>
      </c>
      <c r="R218" s="354">
        <f>+Hirdetmény!$AA$46</f>
        <v>0.13400000000000001</v>
      </c>
      <c r="S218" s="301">
        <f t="shared" si="76"/>
        <v>8736945.5150636006</v>
      </c>
      <c r="T218" s="301">
        <f t="shared" si="66"/>
        <v>46188.538269015437</v>
      </c>
      <c r="U218" s="301">
        <f t="shared" si="77"/>
        <v>99440.529293633866</v>
      </c>
      <c r="V218" s="301">
        <f t="shared" si="78"/>
        <v>145629.06756264932</v>
      </c>
      <c r="W218" s="301">
        <f t="shared" si="79"/>
        <v>145629.06756264932</v>
      </c>
      <c r="AA218" s="12">
        <f>+paraméterek!$B$346</f>
        <v>6.4600000000000005E-2</v>
      </c>
      <c r="AB218" s="301">
        <f t="shared" si="80"/>
        <v>6959668.462869565</v>
      </c>
      <c r="AC218" s="301">
        <f t="shared" si="67"/>
        <v>51552.439300697741</v>
      </c>
      <c r="AD218" s="301">
        <f t="shared" si="81"/>
        <v>38267.957789877924</v>
      </c>
      <c r="AE218" s="301">
        <f t="shared" si="82"/>
        <v>89820.397090575658</v>
      </c>
      <c r="AF218" s="477">
        <f t="shared" si="83"/>
        <v>89820.397090575658</v>
      </c>
      <c r="AI218" s="543">
        <f t="shared" si="68"/>
        <v>55779.770811805683</v>
      </c>
      <c r="AJ218" s="543">
        <f t="shared" si="84"/>
        <v>16433.643834050265</v>
      </c>
      <c r="AK218" s="300">
        <f t="shared" si="85"/>
        <v>6427630.3993340526</v>
      </c>
      <c r="AL218" s="543">
        <f t="shared" si="86"/>
        <v>72213.414645855955</v>
      </c>
      <c r="AM218" s="10">
        <f t="shared" si="87"/>
        <v>72213.414645855955</v>
      </c>
      <c r="AP218" s="437">
        <f t="shared" si="88"/>
        <v>146437.06756264932</v>
      </c>
    </row>
    <row r="219" spans="1:42" s="11" customFormat="1" hidden="1" x14ac:dyDescent="0.3">
      <c r="A219" s="775">
        <v>140</v>
      </c>
      <c r="B219" s="775">
        <f t="shared" si="69"/>
        <v>12</v>
      </c>
      <c r="C219" s="891">
        <f t="shared" si="70"/>
        <v>0.14489675614077413</v>
      </c>
      <c r="D219" s="891"/>
      <c r="E219" s="891">
        <f t="shared" si="70"/>
        <v>0.03</v>
      </c>
      <c r="F219" s="891">
        <f t="shared" si="62"/>
        <v>0.03</v>
      </c>
      <c r="G219" s="893">
        <f t="shared" si="71"/>
        <v>5894261.5672218278</v>
      </c>
      <c r="H219" s="436">
        <f t="shared" si="63"/>
        <v>51730.848690698265</v>
      </c>
      <c r="I219" s="302">
        <f t="shared" si="64"/>
        <v>0</v>
      </c>
      <c r="J219" s="301">
        <f t="shared" si="89"/>
        <v>15071.439109778275</v>
      </c>
      <c r="K219" s="301">
        <f t="shared" si="72"/>
        <v>66802.287800476537</v>
      </c>
      <c r="L219" s="10">
        <f t="shared" si="73"/>
        <v>66802.287800476537</v>
      </c>
      <c r="M219" s="302"/>
      <c r="N219" s="435">
        <f t="shared" si="74"/>
        <v>66802.287800476508</v>
      </c>
      <c r="O219" s="436">
        <f t="shared" si="65"/>
        <v>0</v>
      </c>
      <c r="P219" s="436">
        <f t="shared" si="75"/>
        <v>0</v>
      </c>
      <c r="R219" s="354">
        <f>+Hirdetmény!$AA$46</f>
        <v>0.13400000000000001</v>
      </c>
      <c r="S219" s="301">
        <f t="shared" si="76"/>
        <v>8690234.0412837658</v>
      </c>
      <c r="T219" s="301">
        <f t="shared" si="66"/>
        <v>46711.473779834319</v>
      </c>
      <c r="U219" s="301">
        <f t="shared" si="77"/>
        <v>98917.593782814991</v>
      </c>
      <c r="V219" s="301">
        <f t="shared" si="78"/>
        <v>145629.06756264932</v>
      </c>
      <c r="W219" s="301">
        <f t="shared" si="79"/>
        <v>145629.06756264932</v>
      </c>
      <c r="AA219" s="12">
        <f>+paraméterek!$B$346</f>
        <v>6.4600000000000005E-2</v>
      </c>
      <c r="AB219" s="301">
        <f t="shared" si="80"/>
        <v>6907834.645104453</v>
      </c>
      <c r="AC219" s="301">
        <f t="shared" si="67"/>
        <v>51833.817765112355</v>
      </c>
      <c r="AD219" s="301">
        <f t="shared" si="81"/>
        <v>37986.57932546331</v>
      </c>
      <c r="AE219" s="301">
        <f t="shared" si="82"/>
        <v>89820.397090575658</v>
      </c>
      <c r="AF219" s="477">
        <f t="shared" si="83"/>
        <v>89820.397090575658</v>
      </c>
      <c r="AI219" s="543">
        <f t="shared" si="68"/>
        <v>55921.157036432836</v>
      </c>
      <c r="AJ219" s="543">
        <f t="shared" si="84"/>
        <v>16292.257609423121</v>
      </c>
      <c r="AK219" s="300">
        <f t="shared" si="85"/>
        <v>6371709.2422976196</v>
      </c>
      <c r="AL219" s="543">
        <f t="shared" si="86"/>
        <v>72213.414645855955</v>
      </c>
      <c r="AM219" s="10">
        <f t="shared" si="87"/>
        <v>72213.414645855955</v>
      </c>
      <c r="AP219" s="437">
        <f t="shared" si="88"/>
        <v>146437.06756264932</v>
      </c>
    </row>
    <row r="220" spans="1:42" s="11" customFormat="1" hidden="1" x14ac:dyDescent="0.3">
      <c r="A220" s="775">
        <v>141</v>
      </c>
      <c r="B220" s="775">
        <f t="shared" si="69"/>
        <v>12</v>
      </c>
      <c r="C220" s="891">
        <f t="shared" si="70"/>
        <v>0.14489675614077413</v>
      </c>
      <c r="D220" s="891"/>
      <c r="E220" s="891">
        <f t="shared" si="70"/>
        <v>0.03</v>
      </c>
      <c r="F220" s="891">
        <f t="shared" si="62"/>
        <v>0.03</v>
      </c>
      <c r="G220" s="893">
        <f t="shared" si="71"/>
        <v>5842399.5951993791</v>
      </c>
      <c r="H220" s="436">
        <f t="shared" si="63"/>
        <v>51861.972022448994</v>
      </c>
      <c r="I220" s="302">
        <f t="shared" si="64"/>
        <v>0</v>
      </c>
      <c r="J220" s="301">
        <f t="shared" si="89"/>
        <v>14940.315778027551</v>
      </c>
      <c r="K220" s="301">
        <f t="shared" si="72"/>
        <v>66802.287800476537</v>
      </c>
      <c r="L220" s="10">
        <f t="shared" si="73"/>
        <v>66802.287800476537</v>
      </c>
      <c r="M220" s="302"/>
      <c r="N220" s="435">
        <f t="shared" si="74"/>
        <v>66802.287800476508</v>
      </c>
      <c r="O220" s="436">
        <f t="shared" si="65"/>
        <v>0</v>
      </c>
      <c r="P220" s="436">
        <f t="shared" si="75"/>
        <v>0</v>
      </c>
      <c r="R220" s="354">
        <f>+Hirdetmény!$AA$46</f>
        <v>0.13400000000000001</v>
      </c>
      <c r="S220" s="301">
        <f t="shared" si="76"/>
        <v>8642993.7114431504</v>
      </c>
      <c r="T220" s="301">
        <f t="shared" si="66"/>
        <v>47240.329840614802</v>
      </c>
      <c r="U220" s="301">
        <f t="shared" si="77"/>
        <v>98388.737722034493</v>
      </c>
      <c r="V220" s="301">
        <f t="shared" si="78"/>
        <v>145629.06756264929</v>
      </c>
      <c r="W220" s="301">
        <f t="shared" si="79"/>
        <v>145629.06756264929</v>
      </c>
      <c r="AA220" s="12">
        <f>+paraméterek!$B$346</f>
        <v>6.4600000000000005E-2</v>
      </c>
      <c r="AB220" s="301">
        <f t="shared" si="80"/>
        <v>6855717.913082608</v>
      </c>
      <c r="AC220" s="301">
        <f t="shared" si="67"/>
        <v>52116.732021844669</v>
      </c>
      <c r="AD220" s="301">
        <f t="shared" si="81"/>
        <v>37703.665068730996</v>
      </c>
      <c r="AE220" s="301">
        <f t="shared" si="82"/>
        <v>89820.397090575658</v>
      </c>
      <c r="AF220" s="477">
        <f t="shared" si="83"/>
        <v>89820.397090575658</v>
      </c>
      <c r="AI220" s="543">
        <f t="shared" si="68"/>
        <v>56062.901635865455</v>
      </c>
      <c r="AJ220" s="543">
        <f t="shared" si="84"/>
        <v>16150.513009990495</v>
      </c>
      <c r="AK220" s="300">
        <f t="shared" si="85"/>
        <v>6315646.3406617539</v>
      </c>
      <c r="AL220" s="543">
        <f t="shared" si="86"/>
        <v>72213.414645855955</v>
      </c>
      <c r="AM220" s="10">
        <f t="shared" si="87"/>
        <v>72213.414645855955</v>
      </c>
      <c r="AP220" s="437">
        <f t="shared" si="88"/>
        <v>146437.06756264929</v>
      </c>
    </row>
    <row r="221" spans="1:42" s="11" customFormat="1" hidden="1" x14ac:dyDescent="0.3">
      <c r="A221" s="775">
        <v>142</v>
      </c>
      <c r="B221" s="775">
        <f t="shared" si="69"/>
        <v>12</v>
      </c>
      <c r="C221" s="891">
        <f t="shared" si="70"/>
        <v>0.14489675614077413</v>
      </c>
      <c r="D221" s="891"/>
      <c r="E221" s="891">
        <f t="shared" si="70"/>
        <v>0.03</v>
      </c>
      <c r="F221" s="891">
        <f t="shared" si="62"/>
        <v>0.03</v>
      </c>
      <c r="G221" s="893">
        <f t="shared" si="71"/>
        <v>5790406.1674839566</v>
      </c>
      <c r="H221" s="436">
        <f t="shared" si="63"/>
        <v>51993.427715422557</v>
      </c>
      <c r="I221" s="302">
        <f t="shared" si="64"/>
        <v>0</v>
      </c>
      <c r="J221" s="301">
        <f t="shared" si="89"/>
        <v>14808.860085053981</v>
      </c>
      <c r="K221" s="301">
        <f t="shared" si="72"/>
        <v>66802.287800476537</v>
      </c>
      <c r="L221" s="10">
        <f t="shared" si="73"/>
        <v>66802.287800476537</v>
      </c>
      <c r="M221" s="302"/>
      <c r="N221" s="435">
        <f t="shared" si="74"/>
        <v>66802.287800476508</v>
      </c>
      <c r="O221" s="436">
        <f t="shared" si="65"/>
        <v>0</v>
      </c>
      <c r="P221" s="436">
        <f t="shared" si="75"/>
        <v>0</v>
      </c>
      <c r="R221" s="354">
        <f>+Hirdetmény!$AA$46</f>
        <v>0.13400000000000001</v>
      </c>
      <c r="S221" s="301">
        <f t="shared" si="76"/>
        <v>8595218.5379607528</v>
      </c>
      <c r="T221" s="301">
        <f t="shared" si="66"/>
        <v>47775.173482398248</v>
      </c>
      <c r="U221" s="301">
        <f t="shared" si="77"/>
        <v>97853.894080251048</v>
      </c>
      <c r="V221" s="301">
        <f t="shared" si="78"/>
        <v>145629.06756264929</v>
      </c>
      <c r="W221" s="301">
        <f t="shared" si="79"/>
        <v>145629.06756264929</v>
      </c>
      <c r="AA221" s="12">
        <f>+paraméterek!$B$346</f>
        <v>6.4600000000000005E-2</v>
      </c>
      <c r="AB221" s="301">
        <f t="shared" si="80"/>
        <v>6803316.7226292025</v>
      </c>
      <c r="AC221" s="301">
        <f t="shared" si="67"/>
        <v>52401.190453405572</v>
      </c>
      <c r="AD221" s="301">
        <f t="shared" si="81"/>
        <v>37419.2066371701</v>
      </c>
      <c r="AE221" s="301">
        <f t="shared" si="82"/>
        <v>89820.397090575672</v>
      </c>
      <c r="AF221" s="477">
        <f t="shared" si="83"/>
        <v>89820.397090575672</v>
      </c>
      <c r="AI221" s="543">
        <f t="shared" si="68"/>
        <v>56205.005518484148</v>
      </c>
      <c r="AJ221" s="543">
        <f t="shared" si="84"/>
        <v>16008.409127371808</v>
      </c>
      <c r="AK221" s="300">
        <f t="shared" si="85"/>
        <v>6259441.33514327</v>
      </c>
      <c r="AL221" s="543">
        <f t="shared" si="86"/>
        <v>72213.414645855955</v>
      </c>
      <c r="AM221" s="10">
        <f t="shared" si="87"/>
        <v>72213.414645855955</v>
      </c>
      <c r="AP221" s="437">
        <f t="shared" si="88"/>
        <v>146437.06756264929</v>
      </c>
    </row>
    <row r="222" spans="1:42" s="11" customFormat="1" hidden="1" x14ac:dyDescent="0.3">
      <c r="A222" s="775">
        <v>143</v>
      </c>
      <c r="B222" s="775">
        <f t="shared" si="69"/>
        <v>12</v>
      </c>
      <c r="C222" s="891">
        <f t="shared" si="70"/>
        <v>0.14489675614077413</v>
      </c>
      <c r="D222" s="891"/>
      <c r="E222" s="891">
        <f t="shared" si="70"/>
        <v>0.03</v>
      </c>
      <c r="F222" s="891">
        <f t="shared" si="62"/>
        <v>0.03</v>
      </c>
      <c r="G222" s="893">
        <f t="shared" si="71"/>
        <v>5738280.9508718941</v>
      </c>
      <c r="H222" s="436">
        <f t="shared" si="63"/>
        <v>52125.216612062344</v>
      </c>
      <c r="I222" s="302">
        <f t="shared" si="64"/>
        <v>0</v>
      </c>
      <c r="J222" s="301">
        <f t="shared" si="89"/>
        <v>14677.071188414197</v>
      </c>
      <c r="K222" s="301">
        <f t="shared" si="72"/>
        <v>66802.287800476537</v>
      </c>
      <c r="L222" s="10">
        <f t="shared" si="73"/>
        <v>66802.287800476537</v>
      </c>
      <c r="M222" s="302"/>
      <c r="N222" s="435">
        <f t="shared" si="74"/>
        <v>66802.287800476508</v>
      </c>
      <c r="O222" s="436">
        <f t="shared" si="65"/>
        <v>0</v>
      </c>
      <c r="P222" s="436">
        <f t="shared" si="75"/>
        <v>0</v>
      </c>
      <c r="R222" s="354">
        <f>+Hirdetmény!$AA$46</f>
        <v>0.13400000000000001</v>
      </c>
      <c r="S222" s="301">
        <f t="shared" si="76"/>
        <v>8546902.4654656183</v>
      </c>
      <c r="T222" s="301">
        <f t="shared" si="66"/>
        <v>48316.072495135297</v>
      </c>
      <c r="U222" s="301">
        <f t="shared" si="77"/>
        <v>97312.995067513999</v>
      </c>
      <c r="V222" s="301">
        <f t="shared" si="78"/>
        <v>145629.06756264929</v>
      </c>
      <c r="W222" s="301">
        <f t="shared" si="79"/>
        <v>145629.06756264929</v>
      </c>
      <c r="AA222" s="12">
        <f>+paraméterek!$B$346</f>
        <v>6.4600000000000005E-2</v>
      </c>
      <c r="AB222" s="301">
        <f t="shared" si="80"/>
        <v>6750629.5211411444</v>
      </c>
      <c r="AC222" s="301">
        <f t="shared" si="67"/>
        <v>52687.201488058534</v>
      </c>
      <c r="AD222" s="301">
        <f t="shared" si="81"/>
        <v>37133.195602517124</v>
      </c>
      <c r="AE222" s="301">
        <f t="shared" si="82"/>
        <v>89820.397090575658</v>
      </c>
      <c r="AF222" s="477">
        <f t="shared" si="83"/>
        <v>89820.397090575658</v>
      </c>
      <c r="AI222" s="543">
        <f t="shared" si="68"/>
        <v>56347.469594971968</v>
      </c>
      <c r="AJ222" s="543">
        <f t="shared" si="84"/>
        <v>15865.945050883985</v>
      </c>
      <c r="AK222" s="300">
        <f t="shared" si="85"/>
        <v>6203093.8655482978</v>
      </c>
      <c r="AL222" s="543">
        <f t="shared" si="86"/>
        <v>72213.414645855955</v>
      </c>
      <c r="AM222" s="10">
        <f t="shared" si="87"/>
        <v>72213.414645855955</v>
      </c>
      <c r="AP222" s="437">
        <f t="shared" si="88"/>
        <v>146437.06756264929</v>
      </c>
    </row>
    <row r="223" spans="1:42" s="11" customFormat="1" hidden="1" x14ac:dyDescent="0.3">
      <c r="A223" s="775">
        <v>144</v>
      </c>
      <c r="B223" s="775">
        <f t="shared" si="69"/>
        <v>12</v>
      </c>
      <c r="C223" s="891">
        <f t="shared" si="70"/>
        <v>0.14489675614077413</v>
      </c>
      <c r="D223" s="891"/>
      <c r="E223" s="891">
        <f t="shared" si="70"/>
        <v>0.03</v>
      </c>
      <c r="F223" s="891">
        <f t="shared" si="62"/>
        <v>0.03</v>
      </c>
      <c r="G223" s="893">
        <f t="shared" si="71"/>
        <v>5686023.6113149468</v>
      </c>
      <c r="H223" s="436">
        <f t="shared" si="63"/>
        <v>52257.339556947089</v>
      </c>
      <c r="I223" s="302">
        <f t="shared" si="64"/>
        <v>0</v>
      </c>
      <c r="J223" s="301">
        <f t="shared" si="89"/>
        <v>14544.948243529452</v>
      </c>
      <c r="K223" s="301">
        <f t="shared" si="72"/>
        <v>66802.287800476537</v>
      </c>
      <c r="L223" s="10">
        <f t="shared" si="73"/>
        <v>66802.287800476537</v>
      </c>
      <c r="M223" s="302"/>
      <c r="N223" s="435">
        <f t="shared" si="74"/>
        <v>66802.287800476508</v>
      </c>
      <c r="O223" s="436">
        <f t="shared" si="65"/>
        <v>0</v>
      </c>
      <c r="P223" s="436">
        <f t="shared" si="75"/>
        <v>0</v>
      </c>
      <c r="R223" s="354">
        <f>+Hirdetmény!$AA$46</f>
        <v>0.13400000000000001</v>
      </c>
      <c r="S223" s="301">
        <f t="shared" si="76"/>
        <v>8498039.3700293396</v>
      </c>
      <c r="T223" s="301">
        <f t="shared" si="66"/>
        <v>48863.095436278163</v>
      </c>
      <c r="U223" s="301">
        <f t="shared" si="77"/>
        <v>96765.972126371169</v>
      </c>
      <c r="V223" s="301">
        <f t="shared" si="78"/>
        <v>145629.06756264932</v>
      </c>
      <c r="W223" s="301">
        <f t="shared" si="79"/>
        <v>145629.06756264932</v>
      </c>
      <c r="AA223" s="12">
        <f>+paraméterek!$B$346</f>
        <v>6.4600000000000005E-2</v>
      </c>
      <c r="AB223" s="301">
        <f t="shared" si="80"/>
        <v>6697654.7475410746</v>
      </c>
      <c r="AC223" s="301">
        <f t="shared" si="67"/>
        <v>52974.773600069399</v>
      </c>
      <c r="AD223" s="301">
        <f t="shared" si="81"/>
        <v>36845.623490506267</v>
      </c>
      <c r="AE223" s="301">
        <f t="shared" si="82"/>
        <v>89820.397090575658</v>
      </c>
      <c r="AF223" s="477">
        <f t="shared" si="83"/>
        <v>89820.397090575658</v>
      </c>
      <c r="AI223" s="543">
        <f t="shared" si="68"/>
        <v>56490.29477832032</v>
      </c>
      <c r="AJ223" s="543">
        <f t="shared" si="84"/>
        <v>15723.119867535615</v>
      </c>
      <c r="AK223" s="300">
        <f t="shared" si="85"/>
        <v>6146603.5707699778</v>
      </c>
      <c r="AL223" s="543">
        <f t="shared" si="86"/>
        <v>72213.414645855941</v>
      </c>
      <c r="AM223" s="10">
        <f t="shared" si="87"/>
        <v>72213.414645855941</v>
      </c>
      <c r="AP223" s="437">
        <f t="shared" si="88"/>
        <v>146437.06756264932</v>
      </c>
    </row>
    <row r="224" spans="1:42" s="11" customFormat="1" hidden="1" x14ac:dyDescent="0.3">
      <c r="A224" s="775">
        <v>145</v>
      </c>
      <c r="B224" s="775">
        <f t="shared" si="69"/>
        <v>13</v>
      </c>
      <c r="C224" s="891">
        <f t="shared" si="70"/>
        <v>0.14489675614077413</v>
      </c>
      <c r="D224" s="891"/>
      <c r="E224" s="891">
        <f t="shared" si="70"/>
        <v>0.03</v>
      </c>
      <c r="F224" s="891">
        <f t="shared" si="62"/>
        <v>0.03</v>
      </c>
      <c r="G224" s="893">
        <f t="shared" si="71"/>
        <v>5633633.813918151</v>
      </c>
      <c r="H224" s="436">
        <f t="shared" si="63"/>
        <v>52389.79739679629</v>
      </c>
      <c r="I224" s="302">
        <f t="shared" si="64"/>
        <v>0</v>
      </c>
      <c r="J224" s="301">
        <f t="shared" si="89"/>
        <v>14412.490403680247</v>
      </c>
      <c r="K224" s="301">
        <f t="shared" si="72"/>
        <v>66802.287800476537</v>
      </c>
      <c r="L224" s="10">
        <f t="shared" si="73"/>
        <v>66802.287800476537</v>
      </c>
      <c r="M224" s="302"/>
      <c r="N224" s="435">
        <f t="shared" si="74"/>
        <v>66802.287800476508</v>
      </c>
      <c r="O224" s="436">
        <f t="shared" si="65"/>
        <v>0</v>
      </c>
      <c r="P224" s="436">
        <f t="shared" si="75"/>
        <v>0</v>
      </c>
      <c r="R224" s="354">
        <f>+Hirdetmény!$AA$46</f>
        <v>0.13400000000000001</v>
      </c>
      <c r="S224" s="301">
        <f t="shared" si="76"/>
        <v>8448623.0583898704</v>
      </c>
      <c r="T224" s="301">
        <f t="shared" si="66"/>
        <v>49416.311639469874</v>
      </c>
      <c r="U224" s="301">
        <f t="shared" si="77"/>
        <v>96212.7559231794</v>
      </c>
      <c r="V224" s="301">
        <f t="shared" si="78"/>
        <v>145629.06756264926</v>
      </c>
      <c r="W224" s="301">
        <f t="shared" si="79"/>
        <v>145629.06756264926</v>
      </c>
      <c r="AA224" s="12">
        <f>+paraméterek!$B$346</f>
        <v>6.4600000000000005E-2</v>
      </c>
      <c r="AB224" s="301">
        <f t="shared" si="80"/>
        <v>6644390.8322311174</v>
      </c>
      <c r="AC224" s="301">
        <f t="shared" si="67"/>
        <v>53263.915309957374</v>
      </c>
      <c r="AD224" s="301">
        <f t="shared" si="81"/>
        <v>36556.481780618291</v>
      </c>
      <c r="AE224" s="301">
        <f t="shared" si="82"/>
        <v>89820.397090575658</v>
      </c>
      <c r="AF224" s="477">
        <f t="shared" si="83"/>
        <v>89820.397090575658</v>
      </c>
      <c r="AI224" s="543">
        <f t="shared" si="68"/>
        <v>56633.481983834819</v>
      </c>
      <c r="AJ224" s="543">
        <f t="shared" si="84"/>
        <v>15579.932662021123</v>
      </c>
      <c r="AK224" s="300">
        <f t="shared" si="85"/>
        <v>6089970.0887861429</v>
      </c>
      <c r="AL224" s="543">
        <f t="shared" si="86"/>
        <v>72213.414645855941</v>
      </c>
      <c r="AM224" s="10">
        <f t="shared" si="87"/>
        <v>72213.414645855941</v>
      </c>
      <c r="AP224" s="437">
        <f t="shared" si="88"/>
        <v>146437.06756264926</v>
      </c>
    </row>
    <row r="225" spans="1:42" s="11" customFormat="1" hidden="1" x14ac:dyDescent="0.3">
      <c r="A225" s="775">
        <v>146</v>
      </c>
      <c r="B225" s="775">
        <f t="shared" si="69"/>
        <v>13</v>
      </c>
      <c r="C225" s="891">
        <f t="shared" ref="C225:E240" si="90">+C224</f>
        <v>0.14489675614077413</v>
      </c>
      <c r="D225" s="891"/>
      <c r="E225" s="891">
        <f t="shared" si="90"/>
        <v>0.03</v>
      </c>
      <c r="F225" s="891">
        <f t="shared" si="62"/>
        <v>0.03</v>
      </c>
      <c r="G225" s="893">
        <f t="shared" si="71"/>
        <v>5581111.2229376752</v>
      </c>
      <c r="H225" s="436">
        <f t="shared" si="63"/>
        <v>52522.590980475674</v>
      </c>
      <c r="I225" s="302">
        <f t="shared" si="64"/>
        <v>0</v>
      </c>
      <c r="J225" s="301">
        <f t="shared" si="89"/>
        <v>14279.696820000871</v>
      </c>
      <c r="K225" s="301">
        <f t="shared" si="72"/>
        <v>66802.287800476537</v>
      </c>
      <c r="L225" s="10">
        <f t="shared" si="73"/>
        <v>66802.287800476537</v>
      </c>
      <c r="M225" s="302"/>
      <c r="N225" s="435">
        <f t="shared" si="74"/>
        <v>66802.287800476508</v>
      </c>
      <c r="O225" s="436">
        <f t="shared" si="65"/>
        <v>0</v>
      </c>
      <c r="P225" s="436">
        <f t="shared" si="75"/>
        <v>0</v>
      </c>
      <c r="R225" s="354">
        <f>+Hirdetmény!$AA$46</f>
        <v>0.13400000000000001</v>
      </c>
      <c r="S225" s="301">
        <f t="shared" si="76"/>
        <v>8398647.2671665382</v>
      </c>
      <c r="T225" s="301">
        <f t="shared" si="66"/>
        <v>49975.791223332511</v>
      </c>
      <c r="U225" s="301">
        <f t="shared" si="77"/>
        <v>95653.276339316799</v>
      </c>
      <c r="V225" s="301">
        <f t="shared" si="78"/>
        <v>145629.06756264932</v>
      </c>
      <c r="W225" s="301">
        <f t="shared" si="79"/>
        <v>145629.06756264932</v>
      </c>
      <c r="AA225" s="12">
        <f>+paraméterek!$B$346</f>
        <v>6.4600000000000005E-2</v>
      </c>
      <c r="AB225" s="301">
        <f t="shared" si="80"/>
        <v>6590836.1970463702</v>
      </c>
      <c r="AC225" s="301">
        <f t="shared" si="67"/>
        <v>53554.635184747523</v>
      </c>
      <c r="AD225" s="301">
        <f t="shared" si="81"/>
        <v>36265.761905828127</v>
      </c>
      <c r="AE225" s="301">
        <f t="shared" si="82"/>
        <v>89820.397090575658</v>
      </c>
      <c r="AF225" s="477">
        <f t="shared" si="83"/>
        <v>89820.397090575658</v>
      </c>
      <c r="AI225" s="543">
        <f t="shared" si="68"/>
        <v>56777.032129141073</v>
      </c>
      <c r="AJ225" s="543">
        <f t="shared" si="84"/>
        <v>15436.382516714877</v>
      </c>
      <c r="AK225" s="300">
        <f t="shared" si="85"/>
        <v>6033193.0566570014</v>
      </c>
      <c r="AL225" s="543">
        <f t="shared" si="86"/>
        <v>72213.414645855955</v>
      </c>
      <c r="AM225" s="10">
        <f t="shared" si="87"/>
        <v>72213.414645855955</v>
      </c>
      <c r="AP225" s="437">
        <f t="shared" si="88"/>
        <v>146437.06756264932</v>
      </c>
    </row>
    <row r="226" spans="1:42" s="11" customFormat="1" hidden="1" x14ac:dyDescent="0.3">
      <c r="A226" s="775">
        <v>147</v>
      </c>
      <c r="B226" s="775">
        <f t="shared" si="69"/>
        <v>13</v>
      </c>
      <c r="C226" s="891">
        <f t="shared" si="90"/>
        <v>0.14489675614077413</v>
      </c>
      <c r="D226" s="891"/>
      <c r="E226" s="891">
        <f t="shared" si="90"/>
        <v>0.03</v>
      </c>
      <c r="F226" s="891">
        <f t="shared" si="62"/>
        <v>0.03</v>
      </c>
      <c r="G226" s="893">
        <f t="shared" si="71"/>
        <v>5528455.5017786724</v>
      </c>
      <c r="H226" s="436">
        <f t="shared" si="63"/>
        <v>52655.721159002569</v>
      </c>
      <c r="I226" s="302">
        <f t="shared" si="64"/>
        <v>0</v>
      </c>
      <c r="J226" s="301">
        <f t="shared" si="89"/>
        <v>14146.566641473968</v>
      </c>
      <c r="K226" s="301">
        <f t="shared" si="72"/>
        <v>66802.287800476537</v>
      </c>
      <c r="L226" s="10">
        <f t="shared" si="73"/>
        <v>66802.287800476537</v>
      </c>
      <c r="M226" s="302"/>
      <c r="N226" s="435">
        <f t="shared" si="74"/>
        <v>66802.287800476508</v>
      </c>
      <c r="O226" s="436">
        <f t="shared" si="65"/>
        <v>0</v>
      </c>
      <c r="P226" s="436">
        <f t="shared" si="75"/>
        <v>0</v>
      </c>
      <c r="R226" s="354">
        <f>+Hirdetmény!$AA$46</f>
        <v>0.13400000000000001</v>
      </c>
      <c r="S226" s="301">
        <f t="shared" si="76"/>
        <v>8348105.662066184</v>
      </c>
      <c r="T226" s="301">
        <f t="shared" si="66"/>
        <v>50541.605100354092</v>
      </c>
      <c r="U226" s="301">
        <f t="shared" si="77"/>
        <v>95087.46246229524</v>
      </c>
      <c r="V226" s="301">
        <f t="shared" si="78"/>
        <v>145629.06756264932</v>
      </c>
      <c r="W226" s="301">
        <f t="shared" si="79"/>
        <v>145629.06756264932</v>
      </c>
      <c r="AA226" s="12">
        <f>+paraméterek!$B$346</f>
        <v>6.4600000000000005E-2</v>
      </c>
      <c r="AB226" s="301">
        <f t="shared" si="80"/>
        <v>6536989.2552081458</v>
      </c>
      <c r="AC226" s="301">
        <f t="shared" si="67"/>
        <v>53846.941838224651</v>
      </c>
      <c r="AD226" s="301">
        <f t="shared" si="81"/>
        <v>35973.455252351021</v>
      </c>
      <c r="AE226" s="301">
        <f t="shared" si="82"/>
        <v>89820.397090575672</v>
      </c>
      <c r="AF226" s="477">
        <f t="shared" si="83"/>
        <v>89820.397090575672</v>
      </c>
      <c r="AI226" s="543">
        <f t="shared" si="68"/>
        <v>56920.946134190628</v>
      </c>
      <c r="AJ226" s="543">
        <f t="shared" si="84"/>
        <v>15292.468511665316</v>
      </c>
      <c r="AK226" s="300">
        <f t="shared" si="85"/>
        <v>5976272.1105228104</v>
      </c>
      <c r="AL226" s="543">
        <f t="shared" si="86"/>
        <v>72213.414645855941</v>
      </c>
      <c r="AM226" s="10">
        <f t="shared" si="87"/>
        <v>72213.414645855941</v>
      </c>
      <c r="AP226" s="437">
        <f t="shared" si="88"/>
        <v>146437.06756264932</v>
      </c>
    </row>
    <row r="227" spans="1:42" s="11" customFormat="1" hidden="1" x14ac:dyDescent="0.3">
      <c r="A227" s="775">
        <v>148</v>
      </c>
      <c r="B227" s="775">
        <f t="shared" si="69"/>
        <v>13</v>
      </c>
      <c r="C227" s="891">
        <f t="shared" si="90"/>
        <v>0.14489675614077413</v>
      </c>
      <c r="D227" s="891"/>
      <c r="E227" s="891">
        <f t="shared" si="90"/>
        <v>0.03</v>
      </c>
      <c r="F227" s="891">
        <f t="shared" si="62"/>
        <v>0.03</v>
      </c>
      <c r="G227" s="893">
        <f t="shared" si="71"/>
        <v>5475666.3129931213</v>
      </c>
      <c r="H227" s="436">
        <f t="shared" si="63"/>
        <v>52789.188785551436</v>
      </c>
      <c r="I227" s="302">
        <f t="shared" si="64"/>
        <v>0</v>
      </c>
      <c r="J227" s="301">
        <f t="shared" si="89"/>
        <v>14013.099014925108</v>
      </c>
      <c r="K227" s="301">
        <f t="shared" si="72"/>
        <v>66802.287800476537</v>
      </c>
      <c r="L227" s="10">
        <f t="shared" si="73"/>
        <v>66802.287800476537</v>
      </c>
      <c r="M227" s="302"/>
      <c r="N227" s="435">
        <f t="shared" si="74"/>
        <v>66802.287800476508</v>
      </c>
      <c r="O227" s="436">
        <f t="shared" si="65"/>
        <v>0</v>
      </c>
      <c r="P227" s="436">
        <f t="shared" si="75"/>
        <v>0</v>
      </c>
      <c r="R227" s="354">
        <f>+Hirdetmény!$AA$46</f>
        <v>0.13400000000000001</v>
      </c>
      <c r="S227" s="301">
        <f t="shared" si="76"/>
        <v>8296991.8370803073</v>
      </c>
      <c r="T227" s="301">
        <f t="shared" si="66"/>
        <v>51113.824985876839</v>
      </c>
      <c r="U227" s="301">
        <f t="shared" si="77"/>
        <v>94515.242576772464</v>
      </c>
      <c r="V227" s="301">
        <f t="shared" si="78"/>
        <v>145629.06756264932</v>
      </c>
      <c r="W227" s="301">
        <f t="shared" si="79"/>
        <v>145629.06756264932</v>
      </c>
      <c r="AA227" s="12">
        <f>+paraméterek!$B$346</f>
        <v>6.4600000000000005E-2</v>
      </c>
      <c r="AB227" s="301">
        <f t="shared" si="80"/>
        <v>6482848.411276957</v>
      </c>
      <c r="AC227" s="301">
        <f t="shared" si="67"/>
        <v>54140.843931188436</v>
      </c>
      <c r="AD227" s="301">
        <f t="shared" si="81"/>
        <v>35679.553159387244</v>
      </c>
      <c r="AE227" s="301">
        <f t="shared" si="82"/>
        <v>89820.397090575687</v>
      </c>
      <c r="AF227" s="477">
        <f t="shared" si="83"/>
        <v>89820.397090575687</v>
      </c>
      <c r="AI227" s="543">
        <f t="shared" si="68"/>
        <v>57065.224921266876</v>
      </c>
      <c r="AJ227" s="543">
        <f t="shared" si="84"/>
        <v>15148.189724589069</v>
      </c>
      <c r="AK227" s="300">
        <f t="shared" si="85"/>
        <v>5919206.8856015438</v>
      </c>
      <c r="AL227" s="543">
        <f t="shared" si="86"/>
        <v>72213.414645855941</v>
      </c>
      <c r="AM227" s="10">
        <f t="shared" si="87"/>
        <v>72213.414645855941</v>
      </c>
      <c r="AP227" s="437">
        <f t="shared" si="88"/>
        <v>146437.06756264932</v>
      </c>
    </row>
    <row r="228" spans="1:42" s="11" customFormat="1" hidden="1" x14ac:dyDescent="0.3">
      <c r="A228" s="775">
        <v>149</v>
      </c>
      <c r="B228" s="775">
        <f t="shared" si="69"/>
        <v>13</v>
      </c>
      <c r="C228" s="891">
        <f t="shared" si="90"/>
        <v>0.14489675614077413</v>
      </c>
      <c r="D228" s="891"/>
      <c r="E228" s="891">
        <f t="shared" si="90"/>
        <v>0.03</v>
      </c>
      <c r="F228" s="891">
        <f t="shared" si="62"/>
        <v>0.03</v>
      </c>
      <c r="G228" s="893">
        <f t="shared" si="71"/>
        <v>5422743.3182776617</v>
      </c>
      <c r="H228" s="436">
        <f t="shared" si="63"/>
        <v>52922.994715459252</v>
      </c>
      <c r="I228" s="302">
        <f t="shared" si="64"/>
        <v>0</v>
      </c>
      <c r="J228" s="301">
        <f t="shared" si="89"/>
        <v>13879.293085017287</v>
      </c>
      <c r="K228" s="301">
        <f t="shared" si="72"/>
        <v>66802.287800476537</v>
      </c>
      <c r="L228" s="10">
        <f t="shared" si="73"/>
        <v>66802.287800476537</v>
      </c>
      <c r="M228" s="302"/>
      <c r="N228" s="435">
        <f t="shared" si="74"/>
        <v>66802.287800476508</v>
      </c>
      <c r="O228" s="436">
        <f t="shared" si="65"/>
        <v>0</v>
      </c>
      <c r="P228" s="436">
        <f t="shared" si="75"/>
        <v>0</v>
      </c>
      <c r="R228" s="354">
        <f>+Hirdetmény!$AA$46</f>
        <v>0.13400000000000001</v>
      </c>
      <c r="S228" s="301">
        <f t="shared" si="76"/>
        <v>8245299.31367312</v>
      </c>
      <c r="T228" s="301">
        <f t="shared" si="66"/>
        <v>51692.523407186847</v>
      </c>
      <c r="U228" s="301">
        <f t="shared" si="77"/>
        <v>93936.544155462456</v>
      </c>
      <c r="V228" s="301">
        <f t="shared" si="78"/>
        <v>145629.06756264932</v>
      </c>
      <c r="W228" s="301">
        <f t="shared" si="79"/>
        <v>145629.06756264932</v>
      </c>
      <c r="AA228" s="12">
        <f>+paraméterek!$B$346</f>
        <v>6.4600000000000005E-2</v>
      </c>
      <c r="AB228" s="301">
        <f t="shared" si="80"/>
        <v>6428412.0611052467</v>
      </c>
      <c r="AC228" s="301">
        <f t="shared" si="67"/>
        <v>54436.350171710066</v>
      </c>
      <c r="AD228" s="301">
        <f t="shared" si="81"/>
        <v>35384.046918865599</v>
      </c>
      <c r="AE228" s="301">
        <f t="shared" si="82"/>
        <v>89820.397090575658</v>
      </c>
      <c r="AF228" s="477">
        <f t="shared" si="83"/>
        <v>89820.397090575658</v>
      </c>
      <c r="AI228" s="543">
        <f t="shared" si="68"/>
        <v>57209.869414990913</v>
      </c>
      <c r="AJ228" s="543">
        <f t="shared" si="84"/>
        <v>15003.545230865024</v>
      </c>
      <c r="AK228" s="300">
        <f t="shared" si="85"/>
        <v>5861997.0161865531</v>
      </c>
      <c r="AL228" s="543">
        <f t="shared" si="86"/>
        <v>72213.414645855941</v>
      </c>
      <c r="AM228" s="10">
        <f t="shared" si="87"/>
        <v>72213.414645855941</v>
      </c>
      <c r="AP228" s="437">
        <f t="shared" si="88"/>
        <v>146437.06756264932</v>
      </c>
    </row>
    <row r="229" spans="1:42" s="11" customFormat="1" hidden="1" x14ac:dyDescent="0.3">
      <c r="A229" s="775">
        <v>150</v>
      </c>
      <c r="B229" s="775">
        <f t="shared" si="69"/>
        <v>13</v>
      </c>
      <c r="C229" s="891">
        <f t="shared" si="90"/>
        <v>0.14489675614077413</v>
      </c>
      <c r="D229" s="891"/>
      <c r="E229" s="891">
        <f t="shared" si="90"/>
        <v>0.03</v>
      </c>
      <c r="F229" s="891">
        <f t="shared" si="62"/>
        <v>0.03</v>
      </c>
      <c r="G229" s="893">
        <f t="shared" si="71"/>
        <v>5369686.1784714302</v>
      </c>
      <c r="H229" s="436">
        <f t="shared" si="63"/>
        <v>53057.139806231076</v>
      </c>
      <c r="I229" s="302">
        <f t="shared" si="64"/>
        <v>0</v>
      </c>
      <c r="J229" s="301">
        <f t="shared" si="89"/>
        <v>13745.147994245463</v>
      </c>
      <c r="K229" s="301">
        <f t="shared" si="72"/>
        <v>66802.287800476537</v>
      </c>
      <c r="L229" s="10">
        <f t="shared" si="73"/>
        <v>66802.287800476537</v>
      </c>
      <c r="M229" s="302"/>
      <c r="N229" s="435">
        <f t="shared" si="74"/>
        <v>66802.287800476508</v>
      </c>
      <c r="O229" s="436">
        <f t="shared" si="65"/>
        <v>0</v>
      </c>
      <c r="P229" s="436">
        <f t="shared" si="75"/>
        <v>0</v>
      </c>
      <c r="R229" s="354">
        <f>+Hirdetmény!$AA$46</f>
        <v>0.13400000000000001</v>
      </c>
      <c r="S229" s="301">
        <f t="shared" si="76"/>
        <v>8193021.5399604132</v>
      </c>
      <c r="T229" s="301">
        <f t="shared" si="66"/>
        <v>52277.773712706636</v>
      </c>
      <c r="U229" s="301">
        <f t="shared" si="77"/>
        <v>93351.293849942667</v>
      </c>
      <c r="V229" s="301">
        <f t="shared" si="78"/>
        <v>145629.06756264932</v>
      </c>
      <c r="W229" s="301">
        <f t="shared" si="79"/>
        <v>145629.06756264932</v>
      </c>
      <c r="AA229" s="12">
        <f>+paraméterek!$B$346</f>
        <v>6.4600000000000005E-2</v>
      </c>
      <c r="AB229" s="301">
        <f t="shared" si="80"/>
        <v>6373678.5917898566</v>
      </c>
      <c r="AC229" s="301">
        <f t="shared" si="67"/>
        <v>54733.469315390335</v>
      </c>
      <c r="AD229" s="301">
        <f t="shared" si="81"/>
        <v>35086.92777518533</v>
      </c>
      <c r="AE229" s="301">
        <f t="shared" si="82"/>
        <v>89820.397090575658</v>
      </c>
      <c r="AF229" s="477">
        <f t="shared" si="83"/>
        <v>89820.397090575658</v>
      </c>
      <c r="AI229" s="543">
        <f t="shared" si="68"/>
        <v>57354.880542327526</v>
      </c>
      <c r="AJ229" s="543">
        <f t="shared" si="84"/>
        <v>14858.534103528415</v>
      </c>
      <c r="AK229" s="300">
        <f t="shared" si="85"/>
        <v>5804642.1356442254</v>
      </c>
      <c r="AL229" s="543">
        <f t="shared" si="86"/>
        <v>72213.414645855941</v>
      </c>
      <c r="AM229" s="10">
        <f t="shared" si="87"/>
        <v>72213.414645855941</v>
      </c>
      <c r="AP229" s="437">
        <f t="shared" si="88"/>
        <v>146437.06756264932</v>
      </c>
    </row>
    <row r="230" spans="1:42" s="11" customFormat="1" hidden="1" x14ac:dyDescent="0.3">
      <c r="A230" s="775">
        <v>151</v>
      </c>
      <c r="B230" s="775">
        <f t="shared" si="69"/>
        <v>13</v>
      </c>
      <c r="C230" s="891">
        <f t="shared" si="90"/>
        <v>0.14489675614077413</v>
      </c>
      <c r="D230" s="891"/>
      <c r="E230" s="891">
        <f t="shared" si="90"/>
        <v>0.03</v>
      </c>
      <c r="F230" s="891">
        <f t="shared" si="62"/>
        <v>0.03</v>
      </c>
      <c r="G230" s="893">
        <f t="shared" si="71"/>
        <v>5316494.5535538848</v>
      </c>
      <c r="H230" s="436">
        <f t="shared" si="63"/>
        <v>53191.62491754548</v>
      </c>
      <c r="I230" s="302">
        <f t="shared" si="64"/>
        <v>0</v>
      </c>
      <c r="J230" s="301">
        <f t="shared" si="89"/>
        <v>13610.662882931058</v>
      </c>
      <c r="K230" s="301">
        <f t="shared" si="72"/>
        <v>66802.287800476537</v>
      </c>
      <c r="L230" s="10">
        <f t="shared" si="73"/>
        <v>66802.287800476537</v>
      </c>
      <c r="M230" s="302"/>
      <c r="N230" s="435">
        <f t="shared" si="74"/>
        <v>66802.287800476508</v>
      </c>
      <c r="O230" s="436">
        <f t="shared" si="65"/>
        <v>0</v>
      </c>
      <c r="P230" s="436">
        <f t="shared" si="75"/>
        <v>0</v>
      </c>
      <c r="R230" s="354">
        <f>+Hirdetmény!$AA$46</f>
        <v>0.13400000000000001</v>
      </c>
      <c r="S230" s="301">
        <f t="shared" si="76"/>
        <v>8140151.8898791214</v>
      </c>
      <c r="T230" s="301">
        <f t="shared" si="66"/>
        <v>52869.65008129194</v>
      </c>
      <c r="U230" s="301">
        <f t="shared" si="77"/>
        <v>92759.417481357377</v>
      </c>
      <c r="V230" s="301">
        <f t="shared" si="78"/>
        <v>145629.06756264932</v>
      </c>
      <c r="W230" s="301">
        <f t="shared" si="79"/>
        <v>145629.06756264932</v>
      </c>
      <c r="AA230" s="12">
        <f>+paraméterek!$B$346</f>
        <v>6.4600000000000005E-2</v>
      </c>
      <c r="AB230" s="301">
        <f t="shared" si="80"/>
        <v>6318646.3816242376</v>
      </c>
      <c r="AC230" s="301">
        <f t="shared" si="67"/>
        <v>55032.210165618941</v>
      </c>
      <c r="AD230" s="301">
        <f t="shared" si="81"/>
        <v>34788.186924956724</v>
      </c>
      <c r="AE230" s="301">
        <f t="shared" si="82"/>
        <v>89820.397090575658</v>
      </c>
      <c r="AF230" s="477">
        <f t="shared" si="83"/>
        <v>89820.397090575658</v>
      </c>
      <c r="AI230" s="543">
        <f t="shared" si="68"/>
        <v>57500.259232591059</v>
      </c>
      <c r="AJ230" s="543">
        <f t="shared" si="84"/>
        <v>14713.155413264876</v>
      </c>
      <c r="AK230" s="300">
        <f t="shared" si="85"/>
        <v>5747141.8764116345</v>
      </c>
      <c r="AL230" s="543">
        <f t="shared" si="86"/>
        <v>72213.414645855941</v>
      </c>
      <c r="AM230" s="10">
        <f t="shared" si="87"/>
        <v>72213.414645855941</v>
      </c>
      <c r="AP230" s="437">
        <f t="shared" si="88"/>
        <v>146437.06756264932</v>
      </c>
    </row>
    <row r="231" spans="1:42" s="11" customFormat="1" hidden="1" x14ac:dyDescent="0.3">
      <c r="A231" s="775">
        <v>152</v>
      </c>
      <c r="B231" s="775">
        <f t="shared" si="69"/>
        <v>13</v>
      </c>
      <c r="C231" s="891">
        <f t="shared" si="90"/>
        <v>0.14489675614077413</v>
      </c>
      <c r="D231" s="891"/>
      <c r="E231" s="891">
        <f t="shared" si="90"/>
        <v>0.03</v>
      </c>
      <c r="F231" s="891">
        <f t="shared" si="62"/>
        <v>0.03</v>
      </c>
      <c r="G231" s="893">
        <f t="shared" si="71"/>
        <v>5263168.1026426246</v>
      </c>
      <c r="H231" s="436">
        <f t="shared" si="63"/>
        <v>53326.450911260094</v>
      </c>
      <c r="I231" s="302">
        <f t="shared" si="64"/>
        <v>0</v>
      </c>
      <c r="J231" s="301">
        <f t="shared" si="89"/>
        <v>13475.836889216444</v>
      </c>
      <c r="K231" s="301">
        <f t="shared" si="72"/>
        <v>66802.287800476537</v>
      </c>
      <c r="L231" s="10">
        <f t="shared" si="73"/>
        <v>66802.287800476537</v>
      </c>
      <c r="M231" s="302"/>
      <c r="N231" s="435">
        <f t="shared" si="74"/>
        <v>66802.287800476508</v>
      </c>
      <c r="O231" s="436">
        <f t="shared" si="65"/>
        <v>0</v>
      </c>
      <c r="P231" s="436">
        <f t="shared" si="75"/>
        <v>0</v>
      </c>
      <c r="R231" s="354">
        <f>+Hirdetmény!$AA$46</f>
        <v>0.13400000000000001</v>
      </c>
      <c r="S231" s="301">
        <f t="shared" si="76"/>
        <v>8086683.6623474881</v>
      </c>
      <c r="T231" s="301">
        <f t="shared" si="66"/>
        <v>53468.227531633609</v>
      </c>
      <c r="U231" s="301">
        <f t="shared" si="77"/>
        <v>92160.84003101573</v>
      </c>
      <c r="V231" s="301">
        <f t="shared" si="78"/>
        <v>145629.06756264935</v>
      </c>
      <c r="W231" s="301">
        <f t="shared" si="79"/>
        <v>145629.06756264935</v>
      </c>
      <c r="AA231" s="12">
        <f>+paraméterek!$B$346</f>
        <v>6.4600000000000005E-2</v>
      </c>
      <c r="AB231" s="301">
        <f t="shared" si="80"/>
        <v>6263313.8000504021</v>
      </c>
      <c r="AC231" s="301">
        <f t="shared" si="67"/>
        <v>55332.581573835407</v>
      </c>
      <c r="AD231" s="301">
        <f t="shared" si="81"/>
        <v>34487.815516740258</v>
      </c>
      <c r="AE231" s="301">
        <f t="shared" si="82"/>
        <v>89820.397090575658</v>
      </c>
      <c r="AF231" s="477">
        <f t="shared" si="83"/>
        <v>89820.397090575658</v>
      </c>
      <c r="AI231" s="543">
        <f t="shared" si="68"/>
        <v>57646.006417451448</v>
      </c>
      <c r="AJ231" s="543">
        <f t="shared" si="84"/>
        <v>14567.408228404491</v>
      </c>
      <c r="AK231" s="300">
        <f t="shared" si="85"/>
        <v>5689495.8699941831</v>
      </c>
      <c r="AL231" s="543">
        <f t="shared" si="86"/>
        <v>72213.414645855941</v>
      </c>
      <c r="AM231" s="10">
        <f t="shared" si="87"/>
        <v>72213.414645855941</v>
      </c>
      <c r="AP231" s="437">
        <f t="shared" si="88"/>
        <v>146437.06756264935</v>
      </c>
    </row>
    <row r="232" spans="1:42" s="11" customFormat="1" hidden="1" x14ac:dyDescent="0.3">
      <c r="A232" s="775">
        <v>153</v>
      </c>
      <c r="B232" s="775">
        <f t="shared" si="69"/>
        <v>13</v>
      </c>
      <c r="C232" s="891">
        <f t="shared" si="90"/>
        <v>0.14489675614077413</v>
      </c>
      <c r="D232" s="891"/>
      <c r="E232" s="891">
        <f t="shared" si="90"/>
        <v>0.03</v>
      </c>
      <c r="F232" s="891">
        <f t="shared" si="62"/>
        <v>0.03</v>
      </c>
      <c r="G232" s="893">
        <f t="shared" si="71"/>
        <v>5209706.4839912076</v>
      </c>
      <c r="H232" s="436">
        <f t="shared" si="63"/>
        <v>53461.618651417099</v>
      </c>
      <c r="I232" s="302">
        <f t="shared" si="64"/>
        <v>0</v>
      </c>
      <c r="J232" s="301">
        <f t="shared" si="89"/>
        <v>13340.669149059429</v>
      </c>
      <c r="K232" s="301">
        <f t="shared" si="72"/>
        <v>66802.287800476523</v>
      </c>
      <c r="L232" s="10">
        <f t="shared" si="73"/>
        <v>66802.287800476523</v>
      </c>
      <c r="M232" s="302"/>
      <c r="N232" s="435">
        <f t="shared" si="74"/>
        <v>66802.287800476508</v>
      </c>
      <c r="O232" s="436">
        <f t="shared" si="65"/>
        <v>0</v>
      </c>
      <c r="P232" s="436">
        <f t="shared" si="75"/>
        <v>0</v>
      </c>
      <c r="R232" s="354">
        <f>+Hirdetmény!$AA$46</f>
        <v>0.13400000000000001</v>
      </c>
      <c r="S232" s="301">
        <f t="shared" si="76"/>
        <v>8032610.080415722</v>
      </c>
      <c r="T232" s="301">
        <f t="shared" si="66"/>
        <v>54073.581931766057</v>
      </c>
      <c r="U232" s="301">
        <f t="shared" si="77"/>
        <v>91555.485630883268</v>
      </c>
      <c r="V232" s="301">
        <f t="shared" si="78"/>
        <v>145629.06756264932</v>
      </c>
      <c r="W232" s="301">
        <f t="shared" si="79"/>
        <v>145629.06756264932</v>
      </c>
      <c r="AA232" s="12">
        <f>+paraméterek!$B$346</f>
        <v>6.4600000000000005E-2</v>
      </c>
      <c r="AB232" s="301">
        <f t="shared" si="80"/>
        <v>6207679.2076106109</v>
      </c>
      <c r="AC232" s="301">
        <f t="shared" si="67"/>
        <v>55634.592439791297</v>
      </c>
      <c r="AD232" s="301">
        <f t="shared" si="81"/>
        <v>34185.804650784361</v>
      </c>
      <c r="AE232" s="301">
        <f t="shared" si="82"/>
        <v>89820.397090575658</v>
      </c>
      <c r="AF232" s="477">
        <f t="shared" si="83"/>
        <v>89820.397090575658</v>
      </c>
      <c r="AI232" s="543">
        <f t="shared" si="68"/>
        <v>57792.123030940122</v>
      </c>
      <c r="AJ232" s="543">
        <f t="shared" si="84"/>
        <v>14421.291614915812</v>
      </c>
      <c r="AK232" s="300">
        <f t="shared" si="85"/>
        <v>5631703.746963243</v>
      </c>
      <c r="AL232" s="543">
        <f t="shared" si="86"/>
        <v>72213.414645855926</v>
      </c>
      <c r="AM232" s="10">
        <f t="shared" si="87"/>
        <v>72213.414645855926</v>
      </c>
      <c r="AP232" s="437">
        <f t="shared" si="88"/>
        <v>146437.06756264932</v>
      </c>
    </row>
    <row r="233" spans="1:42" s="11" customFormat="1" hidden="1" x14ac:dyDescent="0.3">
      <c r="A233" s="775">
        <v>154</v>
      </c>
      <c r="B233" s="775">
        <f t="shared" si="69"/>
        <v>13</v>
      </c>
      <c r="C233" s="891">
        <f t="shared" si="90"/>
        <v>0.14489675614077413</v>
      </c>
      <c r="D233" s="891"/>
      <c r="E233" s="891">
        <f t="shared" si="90"/>
        <v>0.03</v>
      </c>
      <c r="F233" s="891">
        <f t="shared" si="62"/>
        <v>0.03</v>
      </c>
      <c r="G233" s="893">
        <f t="shared" si="71"/>
        <v>5156109.3549869591</v>
      </c>
      <c r="H233" s="436">
        <f t="shared" si="63"/>
        <v>53597.129004248825</v>
      </c>
      <c r="I233" s="302">
        <f t="shared" si="64"/>
        <v>0</v>
      </c>
      <c r="J233" s="301">
        <f t="shared" si="89"/>
        <v>13205.158796227714</v>
      </c>
      <c r="K233" s="301">
        <f t="shared" si="72"/>
        <v>66802.287800476537</v>
      </c>
      <c r="L233" s="10">
        <f t="shared" si="73"/>
        <v>66802.287800476537</v>
      </c>
      <c r="M233" s="302"/>
      <c r="N233" s="435">
        <f t="shared" si="74"/>
        <v>66802.287800476508</v>
      </c>
      <c r="O233" s="436">
        <f t="shared" si="65"/>
        <v>0</v>
      </c>
      <c r="P233" s="436">
        <f t="shared" si="75"/>
        <v>0</v>
      </c>
      <c r="R233" s="354">
        <f>+Hirdetmény!$AA$46</f>
        <v>0.13400000000000001</v>
      </c>
      <c r="S233" s="301">
        <f t="shared" si="76"/>
        <v>7977924.2904070383</v>
      </c>
      <c r="T233" s="301">
        <f t="shared" si="66"/>
        <v>54685.790008683354</v>
      </c>
      <c r="U233" s="301">
        <f t="shared" si="77"/>
        <v>90943.277553965963</v>
      </c>
      <c r="V233" s="301">
        <f t="shared" si="78"/>
        <v>145629.06756264932</v>
      </c>
      <c r="W233" s="301">
        <f t="shared" si="79"/>
        <v>145629.06756264932</v>
      </c>
      <c r="AA233" s="12">
        <f>+paraméterek!$B$346</f>
        <v>6.4600000000000005E-2</v>
      </c>
      <c r="AB233" s="301">
        <f t="shared" si="80"/>
        <v>6151740.9558987971</v>
      </c>
      <c r="AC233" s="301">
        <f t="shared" si="67"/>
        <v>55938.251711813951</v>
      </c>
      <c r="AD233" s="301">
        <f t="shared" si="81"/>
        <v>33882.145378761714</v>
      </c>
      <c r="AE233" s="301">
        <f t="shared" si="82"/>
        <v>89820.397090575658</v>
      </c>
      <c r="AF233" s="477">
        <f t="shared" si="83"/>
        <v>89820.397090575658</v>
      </c>
      <c r="AI233" s="543">
        <f t="shared" si="68"/>
        <v>57938.610009456046</v>
      </c>
      <c r="AJ233" s="543">
        <f t="shared" si="84"/>
        <v>14274.804636399887</v>
      </c>
      <c r="AK233" s="300">
        <f t="shared" si="85"/>
        <v>5573765.1369537869</v>
      </c>
      <c r="AL233" s="543">
        <f t="shared" si="86"/>
        <v>72213.414645855926</v>
      </c>
      <c r="AM233" s="10">
        <f t="shared" si="87"/>
        <v>72213.414645855926</v>
      </c>
      <c r="AP233" s="437">
        <f t="shared" si="88"/>
        <v>146437.06756264932</v>
      </c>
    </row>
    <row r="234" spans="1:42" s="11" customFormat="1" hidden="1" x14ac:dyDescent="0.3">
      <c r="A234" s="775">
        <v>155</v>
      </c>
      <c r="B234" s="775">
        <f t="shared" si="69"/>
        <v>13</v>
      </c>
      <c r="C234" s="891">
        <f t="shared" si="90"/>
        <v>0.14489675614077413</v>
      </c>
      <c r="D234" s="891"/>
      <c r="E234" s="891">
        <f t="shared" si="90"/>
        <v>0.03</v>
      </c>
      <c r="F234" s="891">
        <f t="shared" si="62"/>
        <v>0.03</v>
      </c>
      <c r="G234" s="893">
        <f t="shared" si="71"/>
        <v>5102376.3721487755</v>
      </c>
      <c r="H234" s="436">
        <f t="shared" si="63"/>
        <v>53732.982838183205</v>
      </c>
      <c r="I234" s="302">
        <f t="shared" si="64"/>
        <v>0</v>
      </c>
      <c r="J234" s="301">
        <f t="shared" si="89"/>
        <v>13069.304962293332</v>
      </c>
      <c r="K234" s="301">
        <f t="shared" si="72"/>
        <v>66802.287800476537</v>
      </c>
      <c r="L234" s="10">
        <f t="shared" si="73"/>
        <v>66802.287800476537</v>
      </c>
      <c r="M234" s="302"/>
      <c r="N234" s="435">
        <f t="shared" si="74"/>
        <v>66802.287800476508</v>
      </c>
      <c r="O234" s="436">
        <f t="shared" si="65"/>
        <v>0</v>
      </c>
      <c r="P234" s="436">
        <f t="shared" si="75"/>
        <v>0</v>
      </c>
      <c r="R234" s="354">
        <f>+Hirdetmény!$AA$46</f>
        <v>0.13400000000000001</v>
      </c>
      <c r="S234" s="301">
        <f t="shared" si="76"/>
        <v>7922619.3610489741</v>
      </c>
      <c r="T234" s="301">
        <f t="shared" si="66"/>
        <v>55304.929358064066</v>
      </c>
      <c r="U234" s="301">
        <f t="shared" si="77"/>
        <v>90324.138204585252</v>
      </c>
      <c r="V234" s="301">
        <f t="shared" si="78"/>
        <v>145629.06756264932</v>
      </c>
      <c r="W234" s="301">
        <f t="shared" si="79"/>
        <v>145629.06756264932</v>
      </c>
      <c r="AA234" s="12">
        <f>+paraméterek!$B$346</f>
        <v>6.4600000000000005E-2</v>
      </c>
      <c r="AB234" s="301">
        <f t="shared" si="80"/>
        <v>6095497.3875117255</v>
      </c>
      <c r="AC234" s="301">
        <f t="shared" si="67"/>
        <v>56243.568387071558</v>
      </c>
      <c r="AD234" s="301">
        <f t="shared" si="81"/>
        <v>33576.828703504107</v>
      </c>
      <c r="AE234" s="301">
        <f t="shared" si="82"/>
        <v>89820.397090575658</v>
      </c>
      <c r="AF234" s="477">
        <f t="shared" si="83"/>
        <v>89820.397090575658</v>
      </c>
      <c r="AI234" s="543">
        <f t="shared" si="68"/>
        <v>58085.468291771693</v>
      </c>
      <c r="AJ234" s="543">
        <f t="shared" si="84"/>
        <v>14127.946354084252</v>
      </c>
      <c r="AK234" s="300">
        <f t="shared" si="85"/>
        <v>5515679.6686620153</v>
      </c>
      <c r="AL234" s="543">
        <f t="shared" si="86"/>
        <v>72213.414645855941</v>
      </c>
      <c r="AM234" s="10">
        <f t="shared" si="87"/>
        <v>72213.414645855941</v>
      </c>
      <c r="AP234" s="437">
        <f t="shared" si="88"/>
        <v>146437.06756264932</v>
      </c>
    </row>
    <row r="235" spans="1:42" s="11" customFormat="1" hidden="1" x14ac:dyDescent="0.3">
      <c r="A235" s="775">
        <v>156</v>
      </c>
      <c r="B235" s="775">
        <f t="shared" si="69"/>
        <v>13</v>
      </c>
      <c r="C235" s="891">
        <f t="shared" si="90"/>
        <v>0.14489675614077413</v>
      </c>
      <c r="D235" s="891"/>
      <c r="E235" s="891">
        <f t="shared" si="90"/>
        <v>0.03</v>
      </c>
      <c r="F235" s="891">
        <f t="shared" si="62"/>
        <v>0.03</v>
      </c>
      <c r="G235" s="893">
        <f t="shared" si="71"/>
        <v>5048507.1911249263</v>
      </c>
      <c r="H235" s="436">
        <f t="shared" si="63"/>
        <v>53869.181023849429</v>
      </c>
      <c r="I235" s="302">
        <f t="shared" si="64"/>
        <v>0</v>
      </c>
      <c r="J235" s="301">
        <f t="shared" si="89"/>
        <v>12933.106776627104</v>
      </c>
      <c r="K235" s="301">
        <f t="shared" si="72"/>
        <v>66802.287800476537</v>
      </c>
      <c r="L235" s="10">
        <f t="shared" si="73"/>
        <v>66802.287800476537</v>
      </c>
      <c r="M235" s="302"/>
      <c r="N235" s="435">
        <f t="shared" si="74"/>
        <v>66802.287800476508</v>
      </c>
      <c r="O235" s="436">
        <f t="shared" si="65"/>
        <v>0</v>
      </c>
      <c r="P235" s="436">
        <f t="shared" si="75"/>
        <v>0</v>
      </c>
      <c r="R235" s="354">
        <f>+Hirdetmény!$AA$46</f>
        <v>0.13400000000000001</v>
      </c>
      <c r="S235" s="301">
        <f t="shared" si="76"/>
        <v>7866688.282594868</v>
      </c>
      <c r="T235" s="301">
        <f t="shared" si="66"/>
        <v>55931.078454106406</v>
      </c>
      <c r="U235" s="301">
        <f t="shared" si="77"/>
        <v>89697.989108542897</v>
      </c>
      <c r="V235" s="301">
        <f t="shared" si="78"/>
        <v>145629.06756264932</v>
      </c>
      <c r="W235" s="301">
        <f t="shared" si="79"/>
        <v>145629.06756264932</v>
      </c>
      <c r="AA235" s="12">
        <f>+paraméterek!$B$346</f>
        <v>6.4600000000000005E-2</v>
      </c>
      <c r="AB235" s="301">
        <f t="shared" si="80"/>
        <v>6038946.8359998856</v>
      </c>
      <c r="AC235" s="301">
        <f t="shared" si="67"/>
        <v>56550.551511839796</v>
      </c>
      <c r="AD235" s="301">
        <f t="shared" si="81"/>
        <v>33269.845578735876</v>
      </c>
      <c r="AE235" s="301">
        <f t="shared" si="82"/>
        <v>89820.397090575672</v>
      </c>
      <c r="AF235" s="477">
        <f t="shared" si="83"/>
        <v>89820.397090575672</v>
      </c>
      <c r="AI235" s="543">
        <f t="shared" si="68"/>
        <v>58232.698819039018</v>
      </c>
      <c r="AJ235" s="543">
        <f t="shared" si="84"/>
        <v>13980.715826816913</v>
      </c>
      <c r="AK235" s="300">
        <f t="shared" si="85"/>
        <v>5457446.969842976</v>
      </c>
      <c r="AL235" s="543">
        <f t="shared" si="86"/>
        <v>72213.414645855926</v>
      </c>
      <c r="AM235" s="10">
        <f t="shared" si="87"/>
        <v>72213.414645855926</v>
      </c>
      <c r="AP235" s="437">
        <f t="shared" si="88"/>
        <v>146437.06756264932</v>
      </c>
    </row>
    <row r="236" spans="1:42" s="11" customFormat="1" hidden="1" x14ac:dyDescent="0.3">
      <c r="A236" s="775">
        <v>157</v>
      </c>
      <c r="B236" s="775">
        <f t="shared" si="69"/>
        <v>14</v>
      </c>
      <c r="C236" s="891">
        <f t="shared" si="90"/>
        <v>0.14489675614077413</v>
      </c>
      <c r="D236" s="891"/>
      <c r="E236" s="891">
        <f t="shared" si="90"/>
        <v>0.03</v>
      </c>
      <c r="F236" s="891">
        <f t="shared" si="62"/>
        <v>0.03</v>
      </c>
      <c r="G236" s="893">
        <f t="shared" si="71"/>
        <v>4994501.466690843</v>
      </c>
      <c r="H236" s="436">
        <f t="shared" si="63"/>
        <v>54005.724434083502</v>
      </c>
      <c r="I236" s="302">
        <f t="shared" si="64"/>
        <v>0</v>
      </c>
      <c r="J236" s="301">
        <f t="shared" si="89"/>
        <v>12796.563366393042</v>
      </c>
      <c r="K236" s="301">
        <f t="shared" si="72"/>
        <v>66802.287800476537</v>
      </c>
      <c r="L236" s="10">
        <f t="shared" si="73"/>
        <v>66802.287800476537</v>
      </c>
      <c r="M236" s="302"/>
      <c r="N236" s="435">
        <f t="shared" si="74"/>
        <v>66802.287800476508</v>
      </c>
      <c r="O236" s="436">
        <f t="shared" si="65"/>
        <v>0</v>
      </c>
      <c r="P236" s="436">
        <f t="shared" si="75"/>
        <v>0</v>
      </c>
      <c r="R236" s="354">
        <f>+Hirdetmény!$AA$46</f>
        <v>0.13400000000000001</v>
      </c>
      <c r="S236" s="301">
        <f t="shared" si="76"/>
        <v>7810123.9659353932</v>
      </c>
      <c r="T236" s="301">
        <f t="shared" si="66"/>
        <v>56564.316659474542</v>
      </c>
      <c r="U236" s="301">
        <f t="shared" si="77"/>
        <v>89064.750903174776</v>
      </c>
      <c r="V236" s="301">
        <f t="shared" si="78"/>
        <v>145629.06756264932</v>
      </c>
      <c r="W236" s="301">
        <f t="shared" si="79"/>
        <v>145629.06756264932</v>
      </c>
      <c r="AA236" s="12">
        <f>+paraméterek!$B$346</f>
        <v>6.4600000000000005E-2</v>
      </c>
      <c r="AB236" s="301">
        <f t="shared" si="80"/>
        <v>5982087.6258181157</v>
      </c>
      <c r="AC236" s="301">
        <f t="shared" si="67"/>
        <v>56859.210181769806</v>
      </c>
      <c r="AD236" s="301">
        <f t="shared" si="81"/>
        <v>32961.186908805859</v>
      </c>
      <c r="AE236" s="301">
        <f t="shared" si="82"/>
        <v>89820.397090575658</v>
      </c>
      <c r="AF236" s="477">
        <f t="shared" si="83"/>
        <v>89820.397090575658</v>
      </c>
      <c r="AI236" s="543">
        <f t="shared" si="68"/>
        <v>58380.302534795614</v>
      </c>
      <c r="AJ236" s="543">
        <f t="shared" si="84"/>
        <v>13833.11211106032</v>
      </c>
      <c r="AK236" s="300">
        <f t="shared" si="85"/>
        <v>5399066.6673081806</v>
      </c>
      <c r="AL236" s="543">
        <f t="shared" si="86"/>
        <v>72213.414645855926</v>
      </c>
      <c r="AM236" s="10">
        <f t="shared" si="87"/>
        <v>72213.414645855926</v>
      </c>
      <c r="AP236" s="437">
        <f t="shared" si="88"/>
        <v>146437.06756264932</v>
      </c>
    </row>
    <row r="237" spans="1:42" s="11" customFormat="1" hidden="1" x14ac:dyDescent="0.3">
      <c r="A237" s="775">
        <v>158</v>
      </c>
      <c r="B237" s="775">
        <f t="shared" si="69"/>
        <v>14</v>
      </c>
      <c r="C237" s="891">
        <f t="shared" si="90"/>
        <v>0.14489675614077413</v>
      </c>
      <c r="D237" s="891"/>
      <c r="E237" s="891">
        <f t="shared" si="90"/>
        <v>0.03</v>
      </c>
      <c r="F237" s="891">
        <f t="shared" si="62"/>
        <v>0.03</v>
      </c>
      <c r="G237" s="893">
        <f t="shared" si="71"/>
        <v>4940358.8527469095</v>
      </c>
      <c r="H237" s="436">
        <f t="shared" si="63"/>
        <v>54142.613943933771</v>
      </c>
      <c r="I237" s="302">
        <f t="shared" si="64"/>
        <v>0</v>
      </c>
      <c r="J237" s="301">
        <f t="shared" si="89"/>
        <v>12659.673856542762</v>
      </c>
      <c r="K237" s="301">
        <f t="shared" si="72"/>
        <v>66802.287800476537</v>
      </c>
      <c r="L237" s="10">
        <f t="shared" si="73"/>
        <v>66802.287800476537</v>
      </c>
      <c r="M237" s="302"/>
      <c r="N237" s="435">
        <f t="shared" si="74"/>
        <v>66802.287800476508</v>
      </c>
      <c r="O237" s="436">
        <f t="shared" si="65"/>
        <v>0</v>
      </c>
      <c r="P237" s="436">
        <f t="shared" si="75"/>
        <v>0</v>
      </c>
      <c r="R237" s="354">
        <f>+Hirdetmény!$AA$46</f>
        <v>0.13400000000000001</v>
      </c>
      <c r="S237" s="301">
        <f t="shared" si="76"/>
        <v>7752919.2417000355</v>
      </c>
      <c r="T237" s="301">
        <f t="shared" si="66"/>
        <v>57204.724235357608</v>
      </c>
      <c r="U237" s="301">
        <f t="shared" si="77"/>
        <v>88424.343327291703</v>
      </c>
      <c r="V237" s="301">
        <f t="shared" si="78"/>
        <v>145629.06756264932</v>
      </c>
      <c r="W237" s="301">
        <f t="shared" si="79"/>
        <v>145629.06756264932</v>
      </c>
      <c r="AA237" s="12">
        <f>+paraméterek!$B$346</f>
        <v>6.4600000000000005E-2</v>
      </c>
      <c r="AB237" s="301">
        <f t="shared" si="80"/>
        <v>5924918.072275958</v>
      </c>
      <c r="AC237" s="301">
        <f t="shared" si="67"/>
        <v>57169.553542157752</v>
      </c>
      <c r="AD237" s="301">
        <f t="shared" si="81"/>
        <v>32650.84354841791</v>
      </c>
      <c r="AE237" s="301">
        <f t="shared" si="82"/>
        <v>89820.397090575658</v>
      </c>
      <c r="AF237" s="477">
        <f t="shared" si="83"/>
        <v>89820.397090575658</v>
      </c>
      <c r="AI237" s="543">
        <f t="shared" si="68"/>
        <v>58528.280384970632</v>
      </c>
      <c r="AJ237" s="543">
        <f t="shared" si="84"/>
        <v>13685.134260885319</v>
      </c>
      <c r="AK237" s="300">
        <f t="shared" si="85"/>
        <v>5340538.3869232098</v>
      </c>
      <c r="AL237" s="543">
        <f t="shared" si="86"/>
        <v>72213.414645855955</v>
      </c>
      <c r="AM237" s="10">
        <f t="shared" si="87"/>
        <v>72213.414645855955</v>
      </c>
      <c r="AP237" s="437">
        <f t="shared" si="88"/>
        <v>146437.06756264932</v>
      </c>
    </row>
    <row r="238" spans="1:42" s="11" customFormat="1" hidden="1" x14ac:dyDescent="0.3">
      <c r="A238" s="775">
        <v>159</v>
      </c>
      <c r="B238" s="775">
        <f t="shared" si="69"/>
        <v>14</v>
      </c>
      <c r="C238" s="891">
        <f t="shared" si="90"/>
        <v>0.14489675614077413</v>
      </c>
      <c r="D238" s="891"/>
      <c r="E238" s="891">
        <f t="shared" si="90"/>
        <v>0.03</v>
      </c>
      <c r="F238" s="891">
        <f t="shared" si="62"/>
        <v>0.03</v>
      </c>
      <c r="G238" s="893">
        <f t="shared" si="71"/>
        <v>4886079.002316243</v>
      </c>
      <c r="H238" s="436">
        <f t="shared" si="63"/>
        <v>54279.850430666665</v>
      </c>
      <c r="I238" s="302">
        <f t="shared" si="64"/>
        <v>0</v>
      </c>
      <c r="J238" s="301">
        <f t="shared" si="89"/>
        <v>12522.437369809873</v>
      </c>
      <c r="K238" s="301">
        <f t="shared" si="72"/>
        <v>66802.287800476537</v>
      </c>
      <c r="L238" s="10">
        <f t="shared" si="73"/>
        <v>66802.287800476537</v>
      </c>
      <c r="M238" s="302"/>
      <c r="N238" s="435">
        <f t="shared" si="74"/>
        <v>66802.287800476508</v>
      </c>
      <c r="O238" s="436">
        <f t="shared" si="65"/>
        <v>0</v>
      </c>
      <c r="P238" s="436">
        <f t="shared" si="75"/>
        <v>0</v>
      </c>
      <c r="R238" s="354">
        <f>+Hirdetmény!$AA$46</f>
        <v>0.13400000000000001</v>
      </c>
      <c r="S238" s="301">
        <f t="shared" si="76"/>
        <v>7695066.859348393</v>
      </c>
      <c r="T238" s="301">
        <f t="shared" si="66"/>
        <v>57852.382351642656</v>
      </c>
      <c r="U238" s="301">
        <f t="shared" si="77"/>
        <v>87776.685211006668</v>
      </c>
      <c r="V238" s="301">
        <f t="shared" si="78"/>
        <v>145629.06756264932</v>
      </c>
      <c r="W238" s="301">
        <f t="shared" si="79"/>
        <v>145629.06756264932</v>
      </c>
      <c r="AA238" s="12">
        <f>+paraméterek!$B$346</f>
        <v>6.4600000000000005E-2</v>
      </c>
      <c r="AB238" s="301">
        <f t="shared" si="80"/>
        <v>5867436.4814877426</v>
      </c>
      <c r="AC238" s="301">
        <f t="shared" si="67"/>
        <v>57481.590788215755</v>
      </c>
      <c r="AD238" s="301">
        <f t="shared" si="81"/>
        <v>32338.806302359913</v>
      </c>
      <c r="AE238" s="301">
        <f t="shared" si="82"/>
        <v>89820.397090575672</v>
      </c>
      <c r="AF238" s="477">
        <f t="shared" si="83"/>
        <v>89820.397090575672</v>
      </c>
      <c r="AI238" s="543">
        <f t="shared" si="68"/>
        <v>58676.633317890868</v>
      </c>
      <c r="AJ238" s="543">
        <f t="shared" si="84"/>
        <v>13536.78132796508</v>
      </c>
      <c r="AK238" s="300">
        <f t="shared" si="85"/>
        <v>5281861.7536053192</v>
      </c>
      <c r="AL238" s="543">
        <f t="shared" si="86"/>
        <v>72213.414645855955</v>
      </c>
      <c r="AM238" s="10">
        <f t="shared" si="87"/>
        <v>72213.414645855955</v>
      </c>
      <c r="AP238" s="437">
        <f t="shared" si="88"/>
        <v>146437.06756264932</v>
      </c>
    </row>
    <row r="239" spans="1:42" s="11" customFormat="1" hidden="1" x14ac:dyDescent="0.3">
      <c r="A239" s="775">
        <v>160</v>
      </c>
      <c r="B239" s="775">
        <f t="shared" si="69"/>
        <v>14</v>
      </c>
      <c r="C239" s="891">
        <f t="shared" si="90"/>
        <v>0.14489675614077413</v>
      </c>
      <c r="D239" s="891"/>
      <c r="E239" s="891">
        <f t="shared" si="90"/>
        <v>0.03</v>
      </c>
      <c r="F239" s="891">
        <f t="shared" si="62"/>
        <v>0.03</v>
      </c>
      <c r="G239" s="893">
        <f t="shared" si="71"/>
        <v>4831661.567542471</v>
      </c>
      <c r="H239" s="436">
        <f t="shared" si="63"/>
        <v>54417.434773772176</v>
      </c>
      <c r="I239" s="302">
        <f t="shared" si="64"/>
        <v>0</v>
      </c>
      <c r="J239" s="301">
        <f t="shared" si="89"/>
        <v>12384.853026704366</v>
      </c>
      <c r="K239" s="301">
        <f t="shared" si="72"/>
        <v>66802.287800476537</v>
      </c>
      <c r="L239" s="10">
        <f t="shared" si="73"/>
        <v>66802.287800476537</v>
      </c>
      <c r="M239" s="302"/>
      <c r="N239" s="435">
        <f t="shared" si="74"/>
        <v>66802.287800476508</v>
      </c>
      <c r="O239" s="436">
        <f t="shared" si="65"/>
        <v>0</v>
      </c>
      <c r="P239" s="436">
        <f t="shared" si="75"/>
        <v>0</v>
      </c>
      <c r="R239" s="354">
        <f>+Hirdetmény!$AA$46</f>
        <v>0.13400000000000001</v>
      </c>
      <c r="S239" s="301">
        <f t="shared" si="76"/>
        <v>7636559.4862511903</v>
      </c>
      <c r="T239" s="301">
        <f t="shared" si="66"/>
        <v>58507.373097202573</v>
      </c>
      <c r="U239" s="301">
        <f t="shared" si="77"/>
        <v>87121.694465446752</v>
      </c>
      <c r="V239" s="301">
        <f t="shared" si="78"/>
        <v>145629.06756264932</v>
      </c>
      <c r="W239" s="301">
        <f t="shared" si="79"/>
        <v>145629.06756264932</v>
      </c>
      <c r="AA239" s="12">
        <f>+paraméterek!$B$346</f>
        <v>6.4600000000000005E-2</v>
      </c>
      <c r="AB239" s="301">
        <f t="shared" si="80"/>
        <v>5809641.1503223982</v>
      </c>
      <c r="AC239" s="301">
        <f t="shared" si="67"/>
        <v>57795.331165344309</v>
      </c>
      <c r="AD239" s="301">
        <f t="shared" si="81"/>
        <v>32025.065925231367</v>
      </c>
      <c r="AE239" s="301">
        <f t="shared" si="82"/>
        <v>89820.397090575672</v>
      </c>
      <c r="AF239" s="477">
        <f t="shared" si="83"/>
        <v>89820.397090575672</v>
      </c>
      <c r="AI239" s="543">
        <f t="shared" si="68"/>
        <v>58825.362284286908</v>
      </c>
      <c r="AJ239" s="543">
        <f t="shared" si="84"/>
        <v>13388.052361569038</v>
      </c>
      <c r="AK239" s="300">
        <f t="shared" si="85"/>
        <v>5223036.3913210323</v>
      </c>
      <c r="AL239" s="543">
        <f t="shared" si="86"/>
        <v>72213.414645855941</v>
      </c>
      <c r="AM239" s="10">
        <f t="shared" si="87"/>
        <v>72213.414645855941</v>
      </c>
      <c r="AP239" s="437">
        <f t="shared" si="88"/>
        <v>146437.06756264932</v>
      </c>
    </row>
    <row r="240" spans="1:42" s="11" customFormat="1" hidden="1" x14ac:dyDescent="0.3">
      <c r="A240" s="775">
        <v>161</v>
      </c>
      <c r="B240" s="775">
        <f t="shared" si="69"/>
        <v>14</v>
      </c>
      <c r="C240" s="891">
        <f t="shared" si="90"/>
        <v>0.14489675614077413</v>
      </c>
      <c r="D240" s="891"/>
      <c r="E240" s="891">
        <f t="shared" si="90"/>
        <v>0.03</v>
      </c>
      <c r="F240" s="891">
        <f t="shared" si="62"/>
        <v>0.03</v>
      </c>
      <c r="G240" s="893">
        <f t="shared" si="71"/>
        <v>4777106.1996875014</v>
      </c>
      <c r="H240" s="436">
        <f t="shared" si="63"/>
        <v>54555.367854969583</v>
      </c>
      <c r="I240" s="302">
        <f t="shared" si="64"/>
        <v>0</v>
      </c>
      <c r="J240" s="301">
        <f t="shared" si="89"/>
        <v>12246.919945506959</v>
      </c>
      <c r="K240" s="301">
        <f t="shared" si="72"/>
        <v>66802.287800476537</v>
      </c>
      <c r="L240" s="10">
        <f t="shared" si="73"/>
        <v>66802.287800476537</v>
      </c>
      <c r="M240" s="302"/>
      <c r="N240" s="435">
        <f t="shared" si="74"/>
        <v>66802.287800476508</v>
      </c>
      <c r="O240" s="436">
        <f t="shared" si="65"/>
        <v>0</v>
      </c>
      <c r="P240" s="436">
        <f t="shared" si="75"/>
        <v>0</v>
      </c>
      <c r="R240" s="354">
        <f>+Hirdetmény!$AA$46</f>
        <v>0.13400000000000001</v>
      </c>
      <c r="S240" s="301">
        <f t="shared" si="76"/>
        <v>7577389.7067608899</v>
      </c>
      <c r="T240" s="301">
        <f t="shared" si="66"/>
        <v>59169.77949030076</v>
      </c>
      <c r="U240" s="301">
        <f t="shared" si="77"/>
        <v>86459.288072348558</v>
      </c>
      <c r="V240" s="301">
        <f t="shared" si="78"/>
        <v>145629.06756264932</v>
      </c>
      <c r="W240" s="301">
        <f t="shared" si="79"/>
        <v>145629.06756264932</v>
      </c>
      <c r="AA240" s="12">
        <f>+paraméterek!$B$346</f>
        <v>6.4600000000000005E-2</v>
      </c>
      <c r="AB240" s="301">
        <f t="shared" si="80"/>
        <v>5751530.3663529921</v>
      </c>
      <c r="AC240" s="301">
        <f t="shared" si="67"/>
        <v>58110.783969406257</v>
      </c>
      <c r="AD240" s="301">
        <f t="shared" si="81"/>
        <v>31709.613121169412</v>
      </c>
      <c r="AE240" s="301">
        <f t="shared" si="82"/>
        <v>89820.397090575672</v>
      </c>
      <c r="AF240" s="477">
        <f t="shared" si="83"/>
        <v>89820.397090575672</v>
      </c>
      <c r="AI240" s="543">
        <f t="shared" si="68"/>
        <v>58974.468237299159</v>
      </c>
      <c r="AJ240" s="543">
        <f t="shared" si="84"/>
        <v>13238.946408556783</v>
      </c>
      <c r="AK240" s="300">
        <f t="shared" si="85"/>
        <v>5164061.9230837328</v>
      </c>
      <c r="AL240" s="543">
        <f t="shared" si="86"/>
        <v>72213.414645855941</v>
      </c>
      <c r="AM240" s="10">
        <f t="shared" si="87"/>
        <v>72213.414645855941</v>
      </c>
      <c r="AP240" s="437">
        <f t="shared" si="88"/>
        <v>146437.06756264932</v>
      </c>
    </row>
    <row r="241" spans="1:42" s="11" customFormat="1" hidden="1" x14ac:dyDescent="0.3">
      <c r="A241" s="775">
        <v>162</v>
      </c>
      <c r="B241" s="775">
        <f t="shared" si="69"/>
        <v>14</v>
      </c>
      <c r="C241" s="891">
        <f t="shared" ref="C241:E256" si="91">+C240</f>
        <v>0.14489675614077413</v>
      </c>
      <c r="D241" s="891"/>
      <c r="E241" s="891">
        <f t="shared" si="91"/>
        <v>0.03</v>
      </c>
      <c r="F241" s="891">
        <f t="shared" si="62"/>
        <v>0.03</v>
      </c>
      <c r="G241" s="893">
        <f t="shared" si="71"/>
        <v>4722412.5491292886</v>
      </c>
      <c r="H241" s="436">
        <f t="shared" si="63"/>
        <v>54693.650558213078</v>
      </c>
      <c r="I241" s="302">
        <f t="shared" si="64"/>
        <v>0</v>
      </c>
      <c r="J241" s="301">
        <f t="shared" si="89"/>
        <v>12108.637242263458</v>
      </c>
      <c r="K241" s="301">
        <f t="shared" si="72"/>
        <v>66802.287800476537</v>
      </c>
      <c r="L241" s="10">
        <f t="shared" si="73"/>
        <v>66802.287800476537</v>
      </c>
      <c r="M241" s="302"/>
      <c r="N241" s="435">
        <f t="shared" si="74"/>
        <v>66802.287800476508</v>
      </c>
      <c r="O241" s="436">
        <f t="shared" si="65"/>
        <v>0</v>
      </c>
      <c r="P241" s="436">
        <f t="shared" si="75"/>
        <v>0</v>
      </c>
      <c r="R241" s="354">
        <f>+Hirdetmény!$AA$46</f>
        <v>0.13400000000000001</v>
      </c>
      <c r="S241" s="301">
        <f t="shared" si="76"/>
        <v>7517550.0212717764</v>
      </c>
      <c r="T241" s="301">
        <f t="shared" si="66"/>
        <v>59839.685489113392</v>
      </c>
      <c r="U241" s="301">
        <f t="shared" si="77"/>
        <v>85789.382073535904</v>
      </c>
      <c r="V241" s="301">
        <f t="shared" si="78"/>
        <v>145629.06756264929</v>
      </c>
      <c r="W241" s="301">
        <f t="shared" si="79"/>
        <v>145629.06756264929</v>
      </c>
      <c r="AA241" s="12">
        <f>+paraméterek!$B$346</f>
        <v>6.4600000000000005E-2</v>
      </c>
      <c r="AB241" s="301">
        <f t="shared" si="80"/>
        <v>5693102.4078059895</v>
      </c>
      <c r="AC241" s="301">
        <f t="shared" si="67"/>
        <v>58427.95854700225</v>
      </c>
      <c r="AD241" s="301">
        <f t="shared" si="81"/>
        <v>31392.438543573426</v>
      </c>
      <c r="AE241" s="301">
        <f t="shared" si="82"/>
        <v>89820.397090575672</v>
      </c>
      <c r="AF241" s="477">
        <f t="shared" si="83"/>
        <v>89820.397090575672</v>
      </c>
      <c r="AI241" s="543">
        <f t="shared" si="68"/>
        <v>59123.952132483981</v>
      </c>
      <c r="AJ241" s="543">
        <f t="shared" si="84"/>
        <v>13089.462513371962</v>
      </c>
      <c r="AK241" s="300">
        <f t="shared" si="85"/>
        <v>5104937.9709512489</v>
      </c>
      <c r="AL241" s="543">
        <f t="shared" si="86"/>
        <v>72213.414645855941</v>
      </c>
      <c r="AM241" s="10">
        <f t="shared" si="87"/>
        <v>72213.414645855941</v>
      </c>
      <c r="AP241" s="437">
        <f t="shared" si="88"/>
        <v>146437.06756264929</v>
      </c>
    </row>
    <row r="242" spans="1:42" s="11" customFormat="1" hidden="1" x14ac:dyDescent="0.3">
      <c r="A242" s="775">
        <v>163</v>
      </c>
      <c r="B242" s="775">
        <f t="shared" si="69"/>
        <v>14</v>
      </c>
      <c r="C242" s="891">
        <f t="shared" si="91"/>
        <v>0.14489675614077413</v>
      </c>
      <c r="D242" s="891"/>
      <c r="E242" s="891">
        <f t="shared" si="91"/>
        <v>0.03</v>
      </c>
      <c r="F242" s="891">
        <f t="shared" si="62"/>
        <v>0.03</v>
      </c>
      <c r="G242" s="893">
        <f t="shared" si="71"/>
        <v>4667580.2653595908</v>
      </c>
      <c r="H242" s="436">
        <f t="shared" si="63"/>
        <v>54832.283769697431</v>
      </c>
      <c r="I242" s="302">
        <f t="shared" si="64"/>
        <v>0</v>
      </c>
      <c r="J242" s="301">
        <f t="shared" si="89"/>
        <v>11970.004030779099</v>
      </c>
      <c r="K242" s="301">
        <f t="shared" si="72"/>
        <v>66802.287800476537</v>
      </c>
      <c r="L242" s="10">
        <f t="shared" si="73"/>
        <v>66802.287800476537</v>
      </c>
      <c r="M242" s="302"/>
      <c r="N242" s="435">
        <f t="shared" si="74"/>
        <v>66802.287800476508</v>
      </c>
      <c r="O242" s="436">
        <f t="shared" si="65"/>
        <v>0</v>
      </c>
      <c r="P242" s="436">
        <f t="shared" si="75"/>
        <v>0</v>
      </c>
      <c r="R242" s="354">
        <f>+Hirdetmény!$AA$46</f>
        <v>0.13400000000000001</v>
      </c>
      <c r="S242" s="301">
        <f t="shared" si="76"/>
        <v>7457032.8452694053</v>
      </c>
      <c r="T242" s="301">
        <f t="shared" si="66"/>
        <v>60517.176002370921</v>
      </c>
      <c r="U242" s="301">
        <f t="shared" si="77"/>
        <v>85111.891560278367</v>
      </c>
      <c r="V242" s="301">
        <f t="shared" si="78"/>
        <v>145629.06756264929</v>
      </c>
      <c r="W242" s="301">
        <f t="shared" si="79"/>
        <v>145629.06756264929</v>
      </c>
      <c r="AA242" s="12">
        <f>+paraméterek!$B$346</f>
        <v>6.4600000000000005E-2</v>
      </c>
      <c r="AB242" s="301">
        <f t="shared" si="80"/>
        <v>5634355.5435102424</v>
      </c>
      <c r="AC242" s="301">
        <f t="shared" si="67"/>
        <v>58746.864295747553</v>
      </c>
      <c r="AD242" s="301">
        <f t="shared" si="81"/>
        <v>31073.532794828108</v>
      </c>
      <c r="AE242" s="301">
        <f t="shared" si="82"/>
        <v>89820.397090575658</v>
      </c>
      <c r="AF242" s="477">
        <f t="shared" si="83"/>
        <v>89820.397090575658</v>
      </c>
      <c r="AI242" s="543">
        <f t="shared" si="68"/>
        <v>59273.814927819796</v>
      </c>
      <c r="AJ242" s="543">
        <f t="shared" si="84"/>
        <v>12939.599718036152</v>
      </c>
      <c r="AK242" s="300">
        <f t="shared" si="85"/>
        <v>5045664.1560234288</v>
      </c>
      <c r="AL242" s="543">
        <f t="shared" si="86"/>
        <v>72213.414645855955</v>
      </c>
      <c r="AM242" s="10">
        <f t="shared" si="87"/>
        <v>72213.414645855955</v>
      </c>
      <c r="AP242" s="437">
        <f t="shared" si="88"/>
        <v>146437.06756264929</v>
      </c>
    </row>
    <row r="243" spans="1:42" s="11" customFormat="1" hidden="1" x14ac:dyDescent="0.3">
      <c r="A243" s="775">
        <v>164</v>
      </c>
      <c r="B243" s="775">
        <f t="shared" si="69"/>
        <v>14</v>
      </c>
      <c r="C243" s="891">
        <f t="shared" si="91"/>
        <v>0.14489675614077413</v>
      </c>
      <c r="D243" s="891"/>
      <c r="E243" s="891">
        <f t="shared" si="91"/>
        <v>0.03</v>
      </c>
      <c r="F243" s="891">
        <f t="shared" si="62"/>
        <v>0.03</v>
      </c>
      <c r="G243" s="893">
        <f t="shared" si="71"/>
        <v>4612608.996981727</v>
      </c>
      <c r="H243" s="436">
        <f t="shared" si="63"/>
        <v>54971.268377863693</v>
      </c>
      <c r="I243" s="302">
        <f t="shared" si="64"/>
        <v>0</v>
      </c>
      <c r="J243" s="301">
        <f t="shared" si="89"/>
        <v>11831.019422612851</v>
      </c>
      <c r="K243" s="301">
        <f t="shared" si="72"/>
        <v>66802.287800476537</v>
      </c>
      <c r="L243" s="10">
        <f t="shared" si="73"/>
        <v>66802.287800476537</v>
      </c>
      <c r="M243" s="302"/>
      <c r="N243" s="435">
        <f t="shared" si="74"/>
        <v>66802.287800476508</v>
      </c>
      <c r="O243" s="436">
        <f t="shared" si="65"/>
        <v>0</v>
      </c>
      <c r="P243" s="436">
        <f t="shared" si="75"/>
        <v>0</v>
      </c>
      <c r="R243" s="354">
        <f>+Hirdetmény!$AA$46</f>
        <v>0.13400000000000001</v>
      </c>
      <c r="S243" s="301">
        <f t="shared" si="76"/>
        <v>7395830.5083692856</v>
      </c>
      <c r="T243" s="301">
        <f t="shared" si="66"/>
        <v>61202.336900119997</v>
      </c>
      <c r="U243" s="301">
        <f t="shared" si="77"/>
        <v>84426.730662529313</v>
      </c>
      <c r="V243" s="301">
        <f t="shared" si="78"/>
        <v>145629.06756264932</v>
      </c>
      <c r="W243" s="301">
        <f t="shared" si="79"/>
        <v>145629.06756264932</v>
      </c>
      <c r="AA243" s="12">
        <f>+paraméterek!$B$346</f>
        <v>6.4600000000000005E-2</v>
      </c>
      <c r="AB243" s="301">
        <f t="shared" si="80"/>
        <v>5575288.0328456918</v>
      </c>
      <c r="AC243" s="301">
        <f t="shared" si="67"/>
        <v>59067.510664550668</v>
      </c>
      <c r="AD243" s="301">
        <f t="shared" si="81"/>
        <v>30752.886426025005</v>
      </c>
      <c r="AE243" s="301">
        <f t="shared" si="82"/>
        <v>89820.397090575672</v>
      </c>
      <c r="AF243" s="477">
        <f t="shared" si="83"/>
        <v>89820.397090575672</v>
      </c>
      <c r="AI243" s="543">
        <f t="shared" si="68"/>
        <v>59424.05758371322</v>
      </c>
      <c r="AJ243" s="543">
        <f t="shared" si="84"/>
        <v>12789.357062142717</v>
      </c>
      <c r="AK243" s="300">
        <f t="shared" si="85"/>
        <v>4986240.0984397158</v>
      </c>
      <c r="AL243" s="543">
        <f t="shared" si="86"/>
        <v>72213.414645855941</v>
      </c>
      <c r="AM243" s="10">
        <f t="shared" si="87"/>
        <v>72213.414645855941</v>
      </c>
      <c r="AP243" s="437">
        <f t="shared" si="88"/>
        <v>146437.06756264932</v>
      </c>
    </row>
    <row r="244" spans="1:42" s="11" customFormat="1" hidden="1" x14ac:dyDescent="0.3">
      <c r="A244" s="775">
        <v>165</v>
      </c>
      <c r="B244" s="775">
        <f t="shared" si="69"/>
        <v>14</v>
      </c>
      <c r="C244" s="891">
        <f t="shared" si="91"/>
        <v>0.14489675614077413</v>
      </c>
      <c r="D244" s="891"/>
      <c r="E244" s="891">
        <f t="shared" si="91"/>
        <v>0.03</v>
      </c>
      <c r="F244" s="891">
        <f t="shared" si="62"/>
        <v>0.03</v>
      </c>
      <c r="G244" s="893">
        <f t="shared" si="71"/>
        <v>4557498.3917083219</v>
      </c>
      <c r="H244" s="436">
        <f t="shared" si="63"/>
        <v>55110.605273404799</v>
      </c>
      <c r="I244" s="302">
        <f t="shared" si="64"/>
        <v>0</v>
      </c>
      <c r="J244" s="301">
        <f t="shared" si="89"/>
        <v>11691.682527071738</v>
      </c>
      <c r="K244" s="301">
        <f t="shared" si="72"/>
        <v>66802.287800476537</v>
      </c>
      <c r="L244" s="10">
        <f t="shared" si="73"/>
        <v>66802.287800476537</v>
      </c>
      <c r="M244" s="302"/>
      <c r="N244" s="435">
        <f t="shared" si="74"/>
        <v>66802.287800476508</v>
      </c>
      <c r="O244" s="436">
        <f t="shared" si="65"/>
        <v>0</v>
      </c>
      <c r="P244" s="436">
        <f t="shared" si="75"/>
        <v>0</v>
      </c>
      <c r="R244" s="354">
        <f>+Hirdetmény!$AA$46</f>
        <v>0.13400000000000001</v>
      </c>
      <c r="S244" s="301">
        <f t="shared" si="76"/>
        <v>7333935.2533446783</v>
      </c>
      <c r="T244" s="301">
        <f t="shared" si="66"/>
        <v>61895.255024607242</v>
      </c>
      <c r="U244" s="301">
        <f t="shared" si="77"/>
        <v>83733.812538042082</v>
      </c>
      <c r="V244" s="301">
        <f t="shared" si="78"/>
        <v>145629.06756264932</v>
      </c>
      <c r="W244" s="301">
        <f t="shared" si="79"/>
        <v>145629.06756264932</v>
      </c>
      <c r="AA244" s="12">
        <f>+paraméterek!$B$346</f>
        <v>6.4600000000000005E-2</v>
      </c>
      <c r="AB244" s="301">
        <f t="shared" si="80"/>
        <v>5515898.1256917985</v>
      </c>
      <c r="AC244" s="301">
        <f t="shared" si="67"/>
        <v>59389.907153893131</v>
      </c>
      <c r="AD244" s="301">
        <f t="shared" si="81"/>
        <v>30430.489936682541</v>
      </c>
      <c r="AE244" s="301">
        <f t="shared" si="82"/>
        <v>89820.397090575672</v>
      </c>
      <c r="AF244" s="477">
        <f t="shared" si="83"/>
        <v>89820.397090575672</v>
      </c>
      <c r="AI244" s="543">
        <f t="shared" si="68"/>
        <v>59574.681063005271</v>
      </c>
      <c r="AJ244" s="543">
        <f t="shared" si="84"/>
        <v>12638.733582850669</v>
      </c>
      <c r="AK244" s="300">
        <f t="shared" si="85"/>
        <v>4926665.4173767101</v>
      </c>
      <c r="AL244" s="543">
        <f t="shared" si="86"/>
        <v>72213.414645855941</v>
      </c>
      <c r="AM244" s="10">
        <f t="shared" si="87"/>
        <v>72213.414645855941</v>
      </c>
      <c r="AP244" s="437">
        <f t="shared" si="88"/>
        <v>146437.06756264932</v>
      </c>
    </row>
    <row r="245" spans="1:42" s="11" customFormat="1" hidden="1" x14ac:dyDescent="0.3">
      <c r="A245" s="775">
        <v>166</v>
      </c>
      <c r="B245" s="775">
        <f t="shared" si="69"/>
        <v>14</v>
      </c>
      <c r="C245" s="891">
        <f t="shared" si="91"/>
        <v>0.14489675614077413</v>
      </c>
      <c r="D245" s="891"/>
      <c r="E245" s="891">
        <f t="shared" si="91"/>
        <v>0.03</v>
      </c>
      <c r="F245" s="891">
        <f t="shared" si="62"/>
        <v>0.03</v>
      </c>
      <c r="G245" s="893">
        <f t="shared" si="71"/>
        <v>4502248.0963590508</v>
      </c>
      <c r="H245" s="436">
        <f t="shared" si="63"/>
        <v>55250.295349271415</v>
      </c>
      <c r="I245" s="302">
        <f t="shared" si="64"/>
        <v>0</v>
      </c>
      <c r="J245" s="301">
        <f t="shared" si="89"/>
        <v>11551.99245120512</v>
      </c>
      <c r="K245" s="301">
        <f t="shared" si="72"/>
        <v>66802.287800476537</v>
      </c>
      <c r="L245" s="10">
        <f t="shared" si="73"/>
        <v>66802.287800476537</v>
      </c>
      <c r="M245" s="302"/>
      <c r="N245" s="435">
        <f t="shared" si="74"/>
        <v>66802.287800476508</v>
      </c>
      <c r="O245" s="436">
        <f t="shared" si="65"/>
        <v>0</v>
      </c>
      <c r="P245" s="436">
        <f t="shared" si="75"/>
        <v>0</v>
      </c>
      <c r="R245" s="354">
        <f>+Hirdetmény!$AA$46</f>
        <v>0.13400000000000001</v>
      </c>
      <c r="S245" s="301">
        <f t="shared" si="76"/>
        <v>7271339.2351433923</v>
      </c>
      <c r="T245" s="301">
        <f t="shared" si="66"/>
        <v>62596.018201286293</v>
      </c>
      <c r="U245" s="301">
        <f t="shared" si="77"/>
        <v>83033.04936136301</v>
      </c>
      <c r="V245" s="301">
        <f t="shared" si="78"/>
        <v>145629.06756264932</v>
      </c>
      <c r="W245" s="301">
        <f t="shared" si="79"/>
        <v>145629.06756264932</v>
      </c>
      <c r="AA245" s="12">
        <f>+paraméterek!$B$346</f>
        <v>6.4600000000000005E-2</v>
      </c>
      <c r="AB245" s="301">
        <f t="shared" si="80"/>
        <v>5456184.0623756871</v>
      </c>
      <c r="AC245" s="301">
        <f t="shared" si="67"/>
        <v>59714.063316111096</v>
      </c>
      <c r="AD245" s="301">
        <f t="shared" si="81"/>
        <v>30106.333774464569</v>
      </c>
      <c r="AE245" s="301">
        <f t="shared" si="82"/>
        <v>89820.397090575658</v>
      </c>
      <c r="AF245" s="477">
        <f t="shared" si="83"/>
        <v>89820.397090575658</v>
      </c>
      <c r="AI245" s="543">
        <f t="shared" si="68"/>
        <v>59725.686330977471</v>
      </c>
      <c r="AJ245" s="543">
        <f t="shared" si="84"/>
        <v>12487.728314878466</v>
      </c>
      <c r="AK245" s="300">
        <f t="shared" si="85"/>
        <v>4866939.7310457323</v>
      </c>
      <c r="AL245" s="543">
        <f t="shared" si="86"/>
        <v>72213.414645855941</v>
      </c>
      <c r="AM245" s="10">
        <f t="shared" si="87"/>
        <v>72213.414645855941</v>
      </c>
      <c r="AP245" s="437">
        <f t="shared" si="88"/>
        <v>146437.06756264932</v>
      </c>
    </row>
    <row r="246" spans="1:42" s="11" customFormat="1" hidden="1" x14ac:dyDescent="0.3">
      <c r="A246" s="775">
        <v>167</v>
      </c>
      <c r="B246" s="775">
        <f t="shared" si="69"/>
        <v>14</v>
      </c>
      <c r="C246" s="891">
        <f t="shared" si="91"/>
        <v>0.14489675614077413</v>
      </c>
      <c r="D246" s="891"/>
      <c r="E246" s="891">
        <f t="shared" si="91"/>
        <v>0.03</v>
      </c>
      <c r="F246" s="891">
        <f t="shared" si="62"/>
        <v>0.03</v>
      </c>
      <c r="G246" s="893">
        <f t="shared" si="71"/>
        <v>4446857.7568583731</v>
      </c>
      <c r="H246" s="436">
        <f t="shared" si="63"/>
        <v>55390.339500677561</v>
      </c>
      <c r="I246" s="302">
        <f t="shared" si="64"/>
        <v>0</v>
      </c>
      <c r="J246" s="301">
        <f t="shared" si="89"/>
        <v>11411.948299798983</v>
      </c>
      <c r="K246" s="301">
        <f t="shared" si="72"/>
        <v>66802.287800476537</v>
      </c>
      <c r="L246" s="10">
        <f t="shared" si="73"/>
        <v>66802.287800476537</v>
      </c>
      <c r="M246" s="302"/>
      <c r="N246" s="435">
        <f t="shared" si="74"/>
        <v>66802.287800476508</v>
      </c>
      <c r="O246" s="436">
        <f t="shared" si="65"/>
        <v>0</v>
      </c>
      <c r="P246" s="436">
        <f t="shared" si="75"/>
        <v>0</v>
      </c>
      <c r="R246" s="354">
        <f>+Hirdetmény!$AA$46</f>
        <v>0.13400000000000001</v>
      </c>
      <c r="S246" s="301">
        <f t="shared" si="76"/>
        <v>7208034.5198934432</v>
      </c>
      <c r="T246" s="301">
        <f t="shared" si="66"/>
        <v>63304.715249949484</v>
      </c>
      <c r="U246" s="301">
        <f t="shared" si="77"/>
        <v>82324.352312699848</v>
      </c>
      <c r="V246" s="301">
        <f t="shared" si="78"/>
        <v>145629.06756264932</v>
      </c>
      <c r="W246" s="301">
        <f t="shared" si="79"/>
        <v>145629.06756264932</v>
      </c>
      <c r="AA246" s="12">
        <f>+paraméterek!$B$346</f>
        <v>6.4600000000000005E-2</v>
      </c>
      <c r="AB246" s="301">
        <f t="shared" si="80"/>
        <v>5396144.0736200083</v>
      </c>
      <c r="AC246" s="301">
        <f t="shared" si="67"/>
        <v>60039.988755678365</v>
      </c>
      <c r="AD246" s="301">
        <f t="shared" si="81"/>
        <v>29780.4083348973</v>
      </c>
      <c r="AE246" s="301">
        <f t="shared" si="82"/>
        <v>89820.397090575658</v>
      </c>
      <c r="AF246" s="477">
        <f t="shared" si="83"/>
        <v>89820.397090575658</v>
      </c>
      <c r="AI246" s="543">
        <f t="shared" si="68"/>
        <v>59877.074355358069</v>
      </c>
      <c r="AJ246" s="543">
        <f t="shared" si="84"/>
        <v>12336.340290497861</v>
      </c>
      <c r="AK246" s="300">
        <f t="shared" si="85"/>
        <v>4807062.656690374</v>
      </c>
      <c r="AL246" s="543">
        <f t="shared" si="86"/>
        <v>72213.414645855926</v>
      </c>
      <c r="AM246" s="10">
        <f t="shared" si="87"/>
        <v>72213.414645855926</v>
      </c>
      <c r="AP246" s="437">
        <f t="shared" si="88"/>
        <v>146437.06756264932</v>
      </c>
    </row>
    <row r="247" spans="1:42" s="11" customFormat="1" hidden="1" x14ac:dyDescent="0.3">
      <c r="A247" s="775">
        <v>168</v>
      </c>
      <c r="B247" s="775">
        <f t="shared" si="69"/>
        <v>14</v>
      </c>
      <c r="C247" s="891">
        <f t="shared" si="91"/>
        <v>0.14489675614077413</v>
      </c>
      <c r="D247" s="891"/>
      <c r="E247" s="891">
        <f t="shared" si="91"/>
        <v>0.03</v>
      </c>
      <c r="F247" s="891">
        <f t="shared" si="62"/>
        <v>0.03</v>
      </c>
      <c r="G247" s="893">
        <f t="shared" si="71"/>
        <v>4391327.0182332667</v>
      </c>
      <c r="H247" s="436">
        <f t="shared" si="63"/>
        <v>55530.738625106358</v>
      </c>
      <c r="I247" s="302">
        <f t="shared" si="64"/>
        <v>0</v>
      </c>
      <c r="J247" s="301">
        <f t="shared" si="89"/>
        <v>11271.549175370184</v>
      </c>
      <c r="K247" s="301">
        <f t="shared" si="72"/>
        <v>66802.287800476537</v>
      </c>
      <c r="L247" s="10">
        <f t="shared" si="73"/>
        <v>66802.287800476537</v>
      </c>
      <c r="M247" s="302"/>
      <c r="N247" s="435">
        <f t="shared" si="74"/>
        <v>66802.287800476508</v>
      </c>
      <c r="O247" s="436">
        <f t="shared" si="65"/>
        <v>0</v>
      </c>
      <c r="P247" s="436">
        <f t="shared" si="75"/>
        <v>0</v>
      </c>
      <c r="R247" s="354">
        <f>+Hirdetmény!$AA$46</f>
        <v>0.13400000000000001</v>
      </c>
      <c r="S247" s="301">
        <f t="shared" si="76"/>
        <v>7144013.0838974575</v>
      </c>
      <c r="T247" s="301">
        <f t="shared" si="66"/>
        <v>64021.435995985368</v>
      </c>
      <c r="U247" s="301">
        <f t="shared" si="77"/>
        <v>81607.631566663971</v>
      </c>
      <c r="V247" s="301">
        <f t="shared" si="78"/>
        <v>145629.06756264935</v>
      </c>
      <c r="W247" s="301">
        <f t="shared" si="79"/>
        <v>145629.06756264935</v>
      </c>
      <c r="AA247" s="12">
        <f>+paraméterek!$B$346</f>
        <v>6.4600000000000005E-2</v>
      </c>
      <c r="AB247" s="301">
        <f t="shared" si="80"/>
        <v>5335776.3804905172</v>
      </c>
      <c r="AC247" s="301">
        <f t="shared" si="67"/>
        <v>60367.693129490894</v>
      </c>
      <c r="AD247" s="301">
        <f t="shared" si="81"/>
        <v>29452.703961084768</v>
      </c>
      <c r="AE247" s="301">
        <f t="shared" si="82"/>
        <v>89820.397090575658</v>
      </c>
      <c r="AF247" s="477">
        <f t="shared" si="83"/>
        <v>89820.397090575658</v>
      </c>
      <c r="AI247" s="543">
        <f t="shared" si="68"/>
        <v>60028.84610632823</v>
      </c>
      <c r="AJ247" s="543">
        <f t="shared" si="84"/>
        <v>12184.568539527683</v>
      </c>
      <c r="AK247" s="300">
        <f t="shared" si="85"/>
        <v>4747033.8105840459</v>
      </c>
      <c r="AL247" s="543">
        <f t="shared" si="86"/>
        <v>72213.414645855912</v>
      </c>
      <c r="AM247" s="10">
        <f t="shared" si="87"/>
        <v>72213.414645855912</v>
      </c>
      <c r="AP247" s="437">
        <f t="shared" si="88"/>
        <v>146437.06756264935</v>
      </c>
    </row>
    <row r="248" spans="1:42" s="11" customFormat="1" hidden="1" x14ac:dyDescent="0.3">
      <c r="A248" s="775">
        <v>169</v>
      </c>
      <c r="B248" s="775">
        <f t="shared" si="69"/>
        <v>15</v>
      </c>
      <c r="C248" s="891">
        <f t="shared" si="91"/>
        <v>0.14489675614077413</v>
      </c>
      <c r="D248" s="891"/>
      <c r="E248" s="891">
        <f t="shared" si="91"/>
        <v>0.03</v>
      </c>
      <c r="F248" s="891">
        <f t="shared" si="62"/>
        <v>0.03</v>
      </c>
      <c r="G248" s="893">
        <f t="shared" si="71"/>
        <v>4335655.5246109506</v>
      </c>
      <c r="H248" s="436">
        <f t="shared" si="63"/>
        <v>55671.493622315829</v>
      </c>
      <c r="I248" s="302">
        <f t="shared" si="64"/>
        <v>0</v>
      </c>
      <c r="J248" s="301">
        <f t="shared" si="89"/>
        <v>11130.79417816071</v>
      </c>
      <c r="K248" s="301">
        <f t="shared" si="72"/>
        <v>66802.287800476537</v>
      </c>
      <c r="L248" s="10">
        <f t="shared" si="73"/>
        <v>66802.287800476537</v>
      </c>
      <c r="M248" s="302"/>
      <c r="N248" s="435">
        <f t="shared" si="74"/>
        <v>66802.287800476508</v>
      </c>
      <c r="O248" s="436">
        <f t="shared" si="65"/>
        <v>0</v>
      </c>
      <c r="P248" s="436">
        <f t="shared" si="75"/>
        <v>0</v>
      </c>
      <c r="R248" s="354">
        <f>+Hirdetmény!$AA$46</f>
        <v>0.13400000000000001</v>
      </c>
      <c r="S248" s="301">
        <f t="shared" si="76"/>
        <v>7079266.8126156935</v>
      </c>
      <c r="T248" s="301">
        <f t="shared" si="66"/>
        <v>64746.271281763977</v>
      </c>
      <c r="U248" s="301">
        <f t="shared" si="77"/>
        <v>80882.796280885348</v>
      </c>
      <c r="V248" s="301">
        <f t="shared" si="78"/>
        <v>145629.06756264932</v>
      </c>
      <c r="W248" s="301">
        <f t="shared" si="79"/>
        <v>145629.06756264932</v>
      </c>
      <c r="AA248" s="12">
        <f>+paraméterek!$B$346</f>
        <v>6.4600000000000005E-2</v>
      </c>
      <c r="AB248" s="301">
        <f t="shared" si="80"/>
        <v>5275079.1943433639</v>
      </c>
      <c r="AC248" s="301">
        <f t="shared" si="67"/>
        <v>60697.186147152992</v>
      </c>
      <c r="AD248" s="301">
        <f t="shared" si="81"/>
        <v>29123.210943422666</v>
      </c>
      <c r="AE248" s="301">
        <f t="shared" si="82"/>
        <v>89820.397090575658</v>
      </c>
      <c r="AF248" s="477">
        <f t="shared" si="83"/>
        <v>89820.397090575658</v>
      </c>
      <c r="AI248" s="543">
        <f t="shared" si="68"/>
        <v>60181.002556528299</v>
      </c>
      <c r="AJ248" s="543">
        <f t="shared" si="84"/>
        <v>12032.412089327616</v>
      </c>
      <c r="AK248" s="300">
        <f t="shared" si="85"/>
        <v>4686852.808027518</v>
      </c>
      <c r="AL248" s="543">
        <f t="shared" si="86"/>
        <v>72213.414645855912</v>
      </c>
      <c r="AM248" s="10">
        <f t="shared" si="87"/>
        <v>72213.414645855912</v>
      </c>
      <c r="AP248" s="437">
        <f t="shared" si="88"/>
        <v>146437.06756264932</v>
      </c>
    </row>
    <row r="249" spans="1:42" s="11" customFormat="1" hidden="1" x14ac:dyDescent="0.3">
      <c r="A249" s="775">
        <v>170</v>
      </c>
      <c r="B249" s="775">
        <f t="shared" si="69"/>
        <v>15</v>
      </c>
      <c r="C249" s="891">
        <f t="shared" si="91"/>
        <v>0.14489675614077413</v>
      </c>
      <c r="D249" s="891"/>
      <c r="E249" s="891">
        <f t="shared" si="91"/>
        <v>0.03</v>
      </c>
      <c r="F249" s="891">
        <f t="shared" si="62"/>
        <v>0.03</v>
      </c>
      <c r="G249" s="893">
        <f t="shared" si="71"/>
        <v>4279842.9192166058</v>
      </c>
      <c r="H249" s="436">
        <f t="shared" si="63"/>
        <v>55812.60539434461</v>
      </c>
      <c r="I249" s="302">
        <f t="shared" si="64"/>
        <v>0</v>
      </c>
      <c r="J249" s="301">
        <f t="shared" si="89"/>
        <v>10989.682406131924</v>
      </c>
      <c r="K249" s="301">
        <f t="shared" si="72"/>
        <v>66802.287800476537</v>
      </c>
      <c r="L249" s="10">
        <f t="shared" si="73"/>
        <v>66802.287800476537</v>
      </c>
      <c r="M249" s="302"/>
      <c r="N249" s="435">
        <f t="shared" si="74"/>
        <v>66802.287800476508</v>
      </c>
      <c r="O249" s="436">
        <f t="shared" si="65"/>
        <v>0</v>
      </c>
      <c r="P249" s="436">
        <f t="shared" si="75"/>
        <v>0</v>
      </c>
      <c r="R249" s="354">
        <f>+Hirdetmény!$AA$46</f>
        <v>0.13400000000000001</v>
      </c>
      <c r="S249" s="301">
        <f t="shared" si="76"/>
        <v>7013787.4996375423</v>
      </c>
      <c r="T249" s="301">
        <f t="shared" si="66"/>
        <v>65479.312978150818</v>
      </c>
      <c r="U249" s="301">
        <f t="shared" si="77"/>
        <v>80149.754584498529</v>
      </c>
      <c r="V249" s="301">
        <f t="shared" si="78"/>
        <v>145629.06756264935</v>
      </c>
      <c r="W249" s="301">
        <f t="shared" si="79"/>
        <v>145629.06756264935</v>
      </c>
      <c r="AA249" s="12">
        <f>+paraméterek!$B$346</f>
        <v>6.4600000000000005E-2</v>
      </c>
      <c r="AB249" s="301">
        <f t="shared" si="80"/>
        <v>5214050.716772099</v>
      </c>
      <c r="AC249" s="301">
        <f t="shared" si="67"/>
        <v>61028.477571264957</v>
      </c>
      <c r="AD249" s="301">
        <f t="shared" si="81"/>
        <v>28791.919519310697</v>
      </c>
      <c r="AE249" s="301">
        <f t="shared" si="82"/>
        <v>89820.397090575658</v>
      </c>
      <c r="AF249" s="477">
        <f t="shared" si="83"/>
        <v>89820.397090575658</v>
      </c>
      <c r="AI249" s="543">
        <f t="shared" si="68"/>
        <v>60333.544681063955</v>
      </c>
      <c r="AJ249" s="543">
        <f t="shared" si="84"/>
        <v>11879.869964791973</v>
      </c>
      <c r="AK249" s="300">
        <f t="shared" si="85"/>
        <v>4626519.2633464541</v>
      </c>
      <c r="AL249" s="543">
        <f t="shared" si="86"/>
        <v>72213.414645855926</v>
      </c>
      <c r="AM249" s="10">
        <f t="shared" si="87"/>
        <v>72213.414645855926</v>
      </c>
      <c r="AP249" s="437">
        <f t="shared" si="88"/>
        <v>146437.06756264935</v>
      </c>
    </row>
    <row r="250" spans="1:42" s="11" customFormat="1" hidden="1" x14ac:dyDescent="0.3">
      <c r="A250" s="775">
        <v>171</v>
      </c>
      <c r="B250" s="775">
        <f t="shared" si="69"/>
        <v>15</v>
      </c>
      <c r="C250" s="891">
        <f t="shared" si="91"/>
        <v>0.14489675614077413</v>
      </c>
      <c r="D250" s="891"/>
      <c r="E250" s="891">
        <f t="shared" si="91"/>
        <v>0.03</v>
      </c>
      <c r="F250" s="891">
        <f t="shared" si="62"/>
        <v>0.03</v>
      </c>
      <c r="G250" s="893">
        <f t="shared" si="71"/>
        <v>4223888.8443710878</v>
      </c>
      <c r="H250" s="436">
        <f t="shared" si="63"/>
        <v>55954.074845517775</v>
      </c>
      <c r="I250" s="302">
        <f t="shared" si="64"/>
        <v>0</v>
      </c>
      <c r="J250" s="301">
        <f t="shared" si="89"/>
        <v>10848.212954958757</v>
      </c>
      <c r="K250" s="301">
        <f t="shared" si="72"/>
        <v>66802.287800476537</v>
      </c>
      <c r="L250" s="10">
        <f t="shared" si="73"/>
        <v>66802.287800476537</v>
      </c>
      <c r="M250" s="302"/>
      <c r="N250" s="435">
        <f t="shared" si="74"/>
        <v>66802.287800476508</v>
      </c>
      <c r="O250" s="436">
        <f t="shared" si="65"/>
        <v>0</v>
      </c>
      <c r="P250" s="436">
        <f t="shared" si="75"/>
        <v>0</v>
      </c>
      <c r="R250" s="354">
        <f>+Hirdetmény!$AA$46</f>
        <v>0.13400000000000001</v>
      </c>
      <c r="S250" s="301">
        <f t="shared" si="76"/>
        <v>6947566.8456413914</v>
      </c>
      <c r="T250" s="301">
        <f t="shared" si="66"/>
        <v>66220.653996151115</v>
      </c>
      <c r="U250" s="301">
        <f t="shared" si="77"/>
        <v>79408.413566498202</v>
      </c>
      <c r="V250" s="301">
        <f t="shared" si="78"/>
        <v>145629.06756264932</v>
      </c>
      <c r="W250" s="301">
        <f t="shared" si="79"/>
        <v>145629.06756264932</v>
      </c>
      <c r="AA250" s="12">
        <f>+paraméterek!$B$346</f>
        <v>6.4600000000000005E-2</v>
      </c>
      <c r="AB250" s="301">
        <f t="shared" si="80"/>
        <v>5152689.139554387</v>
      </c>
      <c r="AC250" s="301">
        <f t="shared" si="67"/>
        <v>61361.57721771238</v>
      </c>
      <c r="AD250" s="301">
        <f t="shared" si="81"/>
        <v>28458.819872863271</v>
      </c>
      <c r="AE250" s="301">
        <f t="shared" si="82"/>
        <v>89820.397090575658</v>
      </c>
      <c r="AF250" s="477">
        <f t="shared" si="83"/>
        <v>89820.397090575658</v>
      </c>
      <c r="AI250" s="543">
        <f t="shared" si="68"/>
        <v>60486.473457512497</v>
      </c>
      <c r="AJ250" s="543">
        <f t="shared" si="84"/>
        <v>11726.941188343444</v>
      </c>
      <c r="AK250" s="300">
        <f t="shared" si="85"/>
        <v>4566032.7898889417</v>
      </c>
      <c r="AL250" s="543">
        <f t="shared" si="86"/>
        <v>72213.414645855941</v>
      </c>
      <c r="AM250" s="10">
        <f t="shared" si="87"/>
        <v>72213.414645855941</v>
      </c>
      <c r="AP250" s="437">
        <f t="shared" si="88"/>
        <v>146437.06756264932</v>
      </c>
    </row>
    <row r="251" spans="1:42" s="11" customFormat="1" hidden="1" x14ac:dyDescent="0.3">
      <c r="A251" s="775">
        <v>172</v>
      </c>
      <c r="B251" s="775">
        <f t="shared" si="69"/>
        <v>15</v>
      </c>
      <c r="C251" s="891">
        <f t="shared" si="91"/>
        <v>0.14489675614077413</v>
      </c>
      <c r="D251" s="891"/>
      <c r="E251" s="891">
        <f t="shared" si="91"/>
        <v>0.03</v>
      </c>
      <c r="F251" s="891">
        <f t="shared" si="62"/>
        <v>0.03</v>
      </c>
      <c r="G251" s="893">
        <f t="shared" si="71"/>
        <v>4167792.9414886353</v>
      </c>
      <c r="H251" s="436">
        <f t="shared" si="63"/>
        <v>56095.902882452596</v>
      </c>
      <c r="I251" s="302">
        <f t="shared" si="64"/>
        <v>0</v>
      </c>
      <c r="J251" s="301">
        <f t="shared" si="89"/>
        <v>10706.384918023938</v>
      </c>
      <c r="K251" s="301">
        <f t="shared" si="72"/>
        <v>66802.287800476537</v>
      </c>
      <c r="L251" s="10">
        <f t="shared" si="73"/>
        <v>66802.287800476537</v>
      </c>
      <c r="M251" s="302"/>
      <c r="N251" s="435">
        <f t="shared" si="74"/>
        <v>66802.287800476508</v>
      </c>
      <c r="O251" s="436">
        <f t="shared" si="65"/>
        <v>0</v>
      </c>
      <c r="P251" s="436">
        <f t="shared" si="75"/>
        <v>0</v>
      </c>
      <c r="R251" s="354">
        <f>+Hirdetmény!$AA$46</f>
        <v>0.13400000000000001</v>
      </c>
      <c r="S251" s="301">
        <f t="shared" si="76"/>
        <v>6880596.4573427048</v>
      </c>
      <c r="T251" s="301">
        <f t="shared" si="66"/>
        <v>66970.388298686245</v>
      </c>
      <c r="U251" s="301">
        <f t="shared" si="77"/>
        <v>78658.679263963073</v>
      </c>
      <c r="V251" s="301">
        <f t="shared" si="78"/>
        <v>145629.06756264932</v>
      </c>
      <c r="W251" s="301">
        <f t="shared" si="79"/>
        <v>145629.06756264932</v>
      </c>
      <c r="AA251" s="12">
        <f>+paraméterek!$B$346</f>
        <v>6.4600000000000005E-2</v>
      </c>
      <c r="AB251" s="301">
        <f t="shared" si="80"/>
        <v>5090992.64459843</v>
      </c>
      <c r="AC251" s="301">
        <f t="shared" si="67"/>
        <v>61696.494955956936</v>
      </c>
      <c r="AD251" s="301">
        <f t="shared" si="81"/>
        <v>28123.902134618726</v>
      </c>
      <c r="AE251" s="301">
        <f t="shared" si="82"/>
        <v>89820.397090575658</v>
      </c>
      <c r="AF251" s="477">
        <f t="shared" si="83"/>
        <v>89820.397090575658</v>
      </c>
      <c r="AI251" s="543">
        <f t="shared" si="68"/>
        <v>60639.789865929102</v>
      </c>
      <c r="AJ251" s="543">
        <f t="shared" si="84"/>
        <v>11573.624779926829</v>
      </c>
      <c r="AK251" s="300">
        <f t="shared" si="85"/>
        <v>4505393.000023013</v>
      </c>
      <c r="AL251" s="543">
        <f t="shared" si="86"/>
        <v>72213.414645855926</v>
      </c>
      <c r="AM251" s="10">
        <f t="shared" si="87"/>
        <v>72213.414645855926</v>
      </c>
      <c r="AP251" s="437">
        <f t="shared" si="88"/>
        <v>146437.06756264932</v>
      </c>
    </row>
    <row r="252" spans="1:42" s="11" customFormat="1" hidden="1" x14ac:dyDescent="0.3">
      <c r="A252" s="775">
        <v>173</v>
      </c>
      <c r="B252" s="775">
        <f t="shared" si="69"/>
        <v>15</v>
      </c>
      <c r="C252" s="891">
        <f t="shared" si="91"/>
        <v>0.14489675614077413</v>
      </c>
      <c r="D252" s="891"/>
      <c r="E252" s="891">
        <f t="shared" si="91"/>
        <v>0.03</v>
      </c>
      <c r="F252" s="891">
        <f t="shared" si="62"/>
        <v>0.03</v>
      </c>
      <c r="G252" s="893">
        <f t="shared" si="71"/>
        <v>4111554.8510745708</v>
      </c>
      <c r="H252" s="436">
        <f t="shared" si="63"/>
        <v>56238.090414064369</v>
      </c>
      <c r="I252" s="302">
        <f t="shared" si="64"/>
        <v>0</v>
      </c>
      <c r="J252" s="301">
        <f t="shared" si="89"/>
        <v>10564.197386412166</v>
      </c>
      <c r="K252" s="301">
        <f t="shared" si="72"/>
        <v>66802.287800476537</v>
      </c>
      <c r="L252" s="10">
        <f t="shared" si="73"/>
        <v>66802.287800476537</v>
      </c>
      <c r="M252" s="302"/>
      <c r="N252" s="435">
        <f t="shared" si="74"/>
        <v>66802.287800476508</v>
      </c>
      <c r="O252" s="436">
        <f t="shared" si="65"/>
        <v>0</v>
      </c>
      <c r="P252" s="436">
        <f t="shared" si="75"/>
        <v>0</v>
      </c>
      <c r="R252" s="354">
        <f>+Hirdetmény!$AA$46</f>
        <v>0.13400000000000001</v>
      </c>
      <c r="S252" s="301">
        <f t="shared" si="76"/>
        <v>6812867.846430202</v>
      </c>
      <c r="T252" s="301">
        <f t="shared" si="66"/>
        <v>67728.610912503078</v>
      </c>
      <c r="U252" s="301">
        <f t="shared" si="77"/>
        <v>77900.456650146225</v>
      </c>
      <c r="V252" s="301">
        <f t="shared" si="78"/>
        <v>145629.06756264932</v>
      </c>
      <c r="W252" s="301">
        <f t="shared" si="79"/>
        <v>145629.06756264932</v>
      </c>
      <c r="AA252" s="12">
        <f>+paraméterek!$B$346</f>
        <v>6.4600000000000005E-2</v>
      </c>
      <c r="AB252" s="301">
        <f t="shared" si="80"/>
        <v>5028959.403889101</v>
      </c>
      <c r="AC252" s="301">
        <f t="shared" si="67"/>
        <v>62033.240709328806</v>
      </c>
      <c r="AD252" s="301">
        <f t="shared" si="81"/>
        <v>27787.156381246852</v>
      </c>
      <c r="AE252" s="301">
        <f t="shared" si="82"/>
        <v>89820.397090575658</v>
      </c>
      <c r="AF252" s="477">
        <f t="shared" si="83"/>
        <v>89820.397090575658</v>
      </c>
      <c r="AI252" s="543">
        <f t="shared" si="68"/>
        <v>60793.494888853158</v>
      </c>
      <c r="AJ252" s="543">
        <f t="shared" si="84"/>
        <v>11419.919757002775</v>
      </c>
      <c r="AK252" s="300">
        <f t="shared" si="85"/>
        <v>4444599.5051341597</v>
      </c>
      <c r="AL252" s="543">
        <f t="shared" si="86"/>
        <v>72213.414645855926</v>
      </c>
      <c r="AM252" s="10">
        <f t="shared" si="87"/>
        <v>72213.414645855926</v>
      </c>
      <c r="AP252" s="437">
        <f t="shared" si="88"/>
        <v>146437.06756264932</v>
      </c>
    </row>
    <row r="253" spans="1:42" s="11" customFormat="1" hidden="1" x14ac:dyDescent="0.3">
      <c r="A253" s="775">
        <v>174</v>
      </c>
      <c r="B253" s="775">
        <f t="shared" si="69"/>
        <v>15</v>
      </c>
      <c r="C253" s="891">
        <f t="shared" si="91"/>
        <v>0.14489675614077413</v>
      </c>
      <c r="D253" s="891"/>
      <c r="E253" s="891">
        <f t="shared" si="91"/>
        <v>0.03</v>
      </c>
      <c r="F253" s="891">
        <f t="shared" si="62"/>
        <v>0.03</v>
      </c>
      <c r="G253" s="893">
        <f t="shared" si="71"/>
        <v>4055174.2127229986</v>
      </c>
      <c r="H253" s="436">
        <f t="shared" si="63"/>
        <v>56380.638351572248</v>
      </c>
      <c r="I253" s="302">
        <f t="shared" si="64"/>
        <v>0</v>
      </c>
      <c r="J253" s="301">
        <f t="shared" si="89"/>
        <v>10421.649448904294</v>
      </c>
      <c r="K253" s="301">
        <f t="shared" si="72"/>
        <v>66802.287800476537</v>
      </c>
      <c r="L253" s="10">
        <f t="shared" si="73"/>
        <v>66802.287800476537</v>
      </c>
      <c r="M253" s="302"/>
      <c r="N253" s="435">
        <f t="shared" si="74"/>
        <v>66802.287800476508</v>
      </c>
      <c r="O253" s="436">
        <f t="shared" si="65"/>
        <v>0</v>
      </c>
      <c r="P253" s="436">
        <f t="shared" si="75"/>
        <v>0</v>
      </c>
      <c r="R253" s="354">
        <f>+Hirdetmény!$AA$46</f>
        <v>0.13400000000000001</v>
      </c>
      <c r="S253" s="301">
        <f t="shared" si="76"/>
        <v>6744372.4284899831</v>
      </c>
      <c r="T253" s="301">
        <f t="shared" si="66"/>
        <v>68495.417940218482</v>
      </c>
      <c r="U253" s="301">
        <f t="shared" si="77"/>
        <v>77133.649622430836</v>
      </c>
      <c r="V253" s="301">
        <f t="shared" si="78"/>
        <v>145629.06756264932</v>
      </c>
      <c r="W253" s="301">
        <f t="shared" si="79"/>
        <v>145629.06756264932</v>
      </c>
      <c r="AA253" s="12">
        <f>+paraméterek!$B$346</f>
        <v>6.4600000000000005E-2</v>
      </c>
      <c r="AB253" s="301">
        <f t="shared" si="80"/>
        <v>4966587.5794337802</v>
      </c>
      <c r="AC253" s="301">
        <f t="shared" si="67"/>
        <v>62371.82445532077</v>
      </c>
      <c r="AD253" s="301">
        <f t="shared" si="81"/>
        <v>27448.572635254888</v>
      </c>
      <c r="AE253" s="301">
        <f t="shared" si="82"/>
        <v>89820.397090575658</v>
      </c>
      <c r="AF253" s="477">
        <f t="shared" si="83"/>
        <v>89820.397090575658</v>
      </c>
      <c r="AI253" s="543">
        <f t="shared" si="68"/>
        <v>60947.589511314494</v>
      </c>
      <c r="AJ253" s="543">
        <f t="shared" si="84"/>
        <v>11265.825134541446</v>
      </c>
      <c r="AK253" s="300">
        <f t="shared" si="85"/>
        <v>4383651.9156228453</v>
      </c>
      <c r="AL253" s="543">
        <f t="shared" si="86"/>
        <v>72213.414645855941</v>
      </c>
      <c r="AM253" s="10">
        <f t="shared" si="87"/>
        <v>72213.414645855941</v>
      </c>
      <c r="AP253" s="437">
        <f t="shared" si="88"/>
        <v>146437.06756264932</v>
      </c>
    </row>
    <row r="254" spans="1:42" s="11" customFormat="1" hidden="1" x14ac:dyDescent="0.3">
      <c r="A254" s="775">
        <v>175</v>
      </c>
      <c r="B254" s="775">
        <f t="shared" si="69"/>
        <v>15</v>
      </c>
      <c r="C254" s="891">
        <f t="shared" si="91"/>
        <v>0.14489675614077413</v>
      </c>
      <c r="D254" s="891"/>
      <c r="E254" s="891">
        <f t="shared" si="91"/>
        <v>0.03</v>
      </c>
      <c r="F254" s="891">
        <f t="shared" si="62"/>
        <v>0.03</v>
      </c>
      <c r="G254" s="893">
        <f t="shared" si="71"/>
        <v>3998650.6651144936</v>
      </c>
      <c r="H254" s="436">
        <f t="shared" si="63"/>
        <v>56523.547608505047</v>
      </c>
      <c r="I254" s="302">
        <f t="shared" si="64"/>
        <v>0</v>
      </c>
      <c r="J254" s="301">
        <f t="shared" si="89"/>
        <v>10278.740191971488</v>
      </c>
      <c r="K254" s="301">
        <f t="shared" si="72"/>
        <v>66802.287800476537</v>
      </c>
      <c r="L254" s="10">
        <f t="shared" si="73"/>
        <v>66802.287800476537</v>
      </c>
      <c r="M254" s="302"/>
      <c r="N254" s="435">
        <f t="shared" si="74"/>
        <v>66802.287800476508</v>
      </c>
      <c r="O254" s="436">
        <f t="shared" si="65"/>
        <v>0</v>
      </c>
      <c r="P254" s="436">
        <f t="shared" si="75"/>
        <v>0</v>
      </c>
      <c r="R254" s="354">
        <f>+Hirdetmény!$AA$46</f>
        <v>0.13400000000000001</v>
      </c>
      <c r="S254" s="301">
        <f t="shared" si="76"/>
        <v>6675101.5219174828</v>
      </c>
      <c r="T254" s="301">
        <f t="shared" si="66"/>
        <v>69270.906572499967</v>
      </c>
      <c r="U254" s="301">
        <f t="shared" si="77"/>
        <v>76358.160990149336</v>
      </c>
      <c r="V254" s="301">
        <f t="shared" si="78"/>
        <v>145629.06756264932</v>
      </c>
      <c r="W254" s="301">
        <f t="shared" si="79"/>
        <v>145629.06756264932</v>
      </c>
      <c r="AA254" s="12">
        <f>+paraméterek!$B$346</f>
        <v>6.4600000000000005E-2</v>
      </c>
      <c r="AB254" s="301">
        <f t="shared" si="80"/>
        <v>4903875.3232078962</v>
      </c>
      <c r="AC254" s="301">
        <f t="shared" si="67"/>
        <v>62712.256225883721</v>
      </c>
      <c r="AD254" s="301">
        <f t="shared" si="81"/>
        <v>27108.140864691926</v>
      </c>
      <c r="AE254" s="301">
        <f t="shared" si="82"/>
        <v>89820.397090575643</v>
      </c>
      <c r="AF254" s="477">
        <f t="shared" si="83"/>
        <v>89820.397090575643</v>
      </c>
      <c r="AI254" s="543">
        <f t="shared" si="68"/>
        <v>61102.074720839701</v>
      </c>
      <c r="AJ254" s="543">
        <f t="shared" si="84"/>
        <v>11111.33992501624</v>
      </c>
      <c r="AK254" s="300">
        <f t="shared" si="85"/>
        <v>4322549.8409020053</v>
      </c>
      <c r="AL254" s="543">
        <f t="shared" si="86"/>
        <v>72213.414645855941</v>
      </c>
      <c r="AM254" s="10">
        <f t="shared" si="87"/>
        <v>72213.414645855941</v>
      </c>
      <c r="AP254" s="437">
        <f t="shared" si="88"/>
        <v>146437.06756264932</v>
      </c>
    </row>
    <row r="255" spans="1:42" s="11" customFormat="1" hidden="1" x14ac:dyDescent="0.3">
      <c r="A255" s="775">
        <v>176</v>
      </c>
      <c r="B255" s="775">
        <f t="shared" si="69"/>
        <v>15</v>
      </c>
      <c r="C255" s="891">
        <f t="shared" si="91"/>
        <v>0.14489675614077413</v>
      </c>
      <c r="D255" s="891"/>
      <c r="E255" s="891">
        <f t="shared" si="91"/>
        <v>0.03</v>
      </c>
      <c r="F255" s="891">
        <f t="shared" si="62"/>
        <v>0.03</v>
      </c>
      <c r="G255" s="893">
        <f t="shared" si="71"/>
        <v>3941983.8460137863</v>
      </c>
      <c r="H255" s="436">
        <f t="shared" si="63"/>
        <v>56666.819100707151</v>
      </c>
      <c r="I255" s="302">
        <f t="shared" si="64"/>
        <v>0</v>
      </c>
      <c r="J255" s="301">
        <f t="shared" si="89"/>
        <v>10135.468699769377</v>
      </c>
      <c r="K255" s="301">
        <f t="shared" si="72"/>
        <v>66802.287800476523</v>
      </c>
      <c r="L255" s="10">
        <f t="shared" si="73"/>
        <v>66802.287800476523</v>
      </c>
      <c r="M255" s="302"/>
      <c r="N255" s="435">
        <f t="shared" si="74"/>
        <v>66802.287800476508</v>
      </c>
      <c r="O255" s="436">
        <f t="shared" si="65"/>
        <v>0</v>
      </c>
      <c r="P255" s="436">
        <f t="shared" si="75"/>
        <v>0</v>
      </c>
      <c r="R255" s="354">
        <f>+Hirdetmény!$AA$46</f>
        <v>0.13400000000000001</v>
      </c>
      <c r="S255" s="301">
        <f t="shared" si="76"/>
        <v>6605046.3468170986</v>
      </c>
      <c r="T255" s="301">
        <f t="shared" si="66"/>
        <v>70055.175100384469</v>
      </c>
      <c r="U255" s="301">
        <f t="shared" si="77"/>
        <v>75573.892462264848</v>
      </c>
      <c r="V255" s="301">
        <f t="shared" si="78"/>
        <v>145629.06756264932</v>
      </c>
      <c r="W255" s="301">
        <f t="shared" si="79"/>
        <v>145629.06756264932</v>
      </c>
      <c r="AA255" s="12">
        <f>+paraméterek!$B$346</f>
        <v>6.4600000000000005E-2</v>
      </c>
      <c r="AB255" s="301">
        <f t="shared" si="80"/>
        <v>4840820.7771001719</v>
      </c>
      <c r="AC255" s="301">
        <f t="shared" si="67"/>
        <v>63054.546107724025</v>
      </c>
      <c r="AD255" s="301">
        <f t="shared" si="81"/>
        <v>26765.850982851622</v>
      </c>
      <c r="AE255" s="301">
        <f t="shared" si="82"/>
        <v>89820.397090575643</v>
      </c>
      <c r="AF255" s="477">
        <f t="shared" si="83"/>
        <v>89820.397090575643</v>
      </c>
      <c r="AI255" s="543">
        <f t="shared" si="68"/>
        <v>61256.951507458485</v>
      </c>
      <c r="AJ255" s="543">
        <f t="shared" si="84"/>
        <v>10956.463138397443</v>
      </c>
      <c r="AK255" s="300">
        <f t="shared" si="85"/>
        <v>4261292.8893945469</v>
      </c>
      <c r="AL255" s="543">
        <f t="shared" si="86"/>
        <v>72213.414645855926</v>
      </c>
      <c r="AM255" s="10">
        <f t="shared" si="87"/>
        <v>72213.414645855926</v>
      </c>
      <c r="AP255" s="437">
        <f t="shared" si="88"/>
        <v>146437.06756264932</v>
      </c>
    </row>
    <row r="256" spans="1:42" s="11" customFormat="1" hidden="1" x14ac:dyDescent="0.3">
      <c r="A256" s="775">
        <v>177</v>
      </c>
      <c r="B256" s="775">
        <f t="shared" si="69"/>
        <v>15</v>
      </c>
      <c r="C256" s="891">
        <f t="shared" si="91"/>
        <v>0.14489675614077413</v>
      </c>
      <c r="D256" s="891"/>
      <c r="E256" s="891">
        <f t="shared" si="91"/>
        <v>0.03</v>
      </c>
      <c r="F256" s="891">
        <f t="shared" si="62"/>
        <v>0.03</v>
      </c>
      <c r="G256" s="893">
        <f t="shared" si="71"/>
        <v>3885173.3922674418</v>
      </c>
      <c r="H256" s="436">
        <f t="shared" si="63"/>
        <v>56810.45374634437</v>
      </c>
      <c r="I256" s="302">
        <f t="shared" si="64"/>
        <v>0</v>
      </c>
      <c r="J256" s="301">
        <f t="shared" si="89"/>
        <v>9991.8340541321668</v>
      </c>
      <c r="K256" s="301">
        <f t="shared" si="72"/>
        <v>66802.287800476537</v>
      </c>
      <c r="L256" s="10">
        <f t="shared" si="73"/>
        <v>66802.287800476537</v>
      </c>
      <c r="M256" s="302"/>
      <c r="N256" s="435">
        <f t="shared" si="74"/>
        <v>66802.287800476508</v>
      </c>
      <c r="O256" s="436">
        <f t="shared" si="65"/>
        <v>0</v>
      </c>
      <c r="P256" s="436">
        <f t="shared" si="75"/>
        <v>0</v>
      </c>
      <c r="R256" s="354">
        <f>+Hirdetmény!$AA$46</f>
        <v>0.13400000000000001</v>
      </c>
      <c r="S256" s="301">
        <f t="shared" si="76"/>
        <v>6534198.0238893619</v>
      </c>
      <c r="T256" s="301">
        <f t="shared" si="66"/>
        <v>70848.322927736284</v>
      </c>
      <c r="U256" s="301">
        <f t="shared" si="77"/>
        <v>74780.744634913033</v>
      </c>
      <c r="V256" s="301">
        <f t="shared" si="78"/>
        <v>145629.06756264932</v>
      </c>
      <c r="W256" s="301">
        <f t="shared" si="79"/>
        <v>145629.06756264932</v>
      </c>
      <c r="AA256" s="12">
        <f>+paraméterek!$B$346</f>
        <v>6.4600000000000005E-2</v>
      </c>
      <c r="AB256" s="301">
        <f t="shared" si="80"/>
        <v>4777422.0728575699</v>
      </c>
      <c r="AC256" s="301">
        <f t="shared" si="67"/>
        <v>63398.704242602274</v>
      </c>
      <c r="AD256" s="301">
        <f t="shared" si="81"/>
        <v>26421.692847973372</v>
      </c>
      <c r="AE256" s="301">
        <f t="shared" si="82"/>
        <v>89820.397090575643</v>
      </c>
      <c r="AF256" s="477">
        <f t="shared" si="83"/>
        <v>89820.397090575643</v>
      </c>
      <c r="AI256" s="543">
        <f t="shared" si="68"/>
        <v>61412.220863710034</v>
      </c>
      <c r="AJ256" s="543">
        <f t="shared" si="84"/>
        <v>10801.1937821459</v>
      </c>
      <c r="AK256" s="300">
        <f t="shared" si="85"/>
        <v>4199880.6685308367</v>
      </c>
      <c r="AL256" s="543">
        <f t="shared" si="86"/>
        <v>72213.414645855926</v>
      </c>
      <c r="AM256" s="10">
        <f t="shared" si="87"/>
        <v>72213.414645855926</v>
      </c>
      <c r="AP256" s="437">
        <f t="shared" si="88"/>
        <v>146437.06756264932</v>
      </c>
    </row>
    <row r="257" spans="1:42" s="11" customFormat="1" hidden="1" x14ac:dyDescent="0.3">
      <c r="A257" s="775">
        <v>178</v>
      </c>
      <c r="B257" s="775">
        <f t="shared" si="69"/>
        <v>15</v>
      </c>
      <c r="C257" s="891">
        <f t="shared" ref="C257:E272" si="92">+C256</f>
        <v>0.14489675614077413</v>
      </c>
      <c r="D257" s="891"/>
      <c r="E257" s="891">
        <f t="shared" si="92"/>
        <v>0.03</v>
      </c>
      <c r="F257" s="891">
        <f t="shared" si="62"/>
        <v>0.03</v>
      </c>
      <c r="G257" s="893">
        <f t="shared" si="71"/>
        <v>3828218.9398015323</v>
      </c>
      <c r="H257" s="436">
        <f t="shared" si="63"/>
        <v>56954.452465909751</v>
      </c>
      <c r="I257" s="302">
        <f t="shared" si="64"/>
        <v>0</v>
      </c>
      <c r="J257" s="301">
        <f t="shared" si="89"/>
        <v>9847.8353345667801</v>
      </c>
      <c r="K257" s="301">
        <f t="shared" si="72"/>
        <v>66802.287800476537</v>
      </c>
      <c r="L257" s="10">
        <f t="shared" si="73"/>
        <v>66802.287800476537</v>
      </c>
      <c r="M257" s="302"/>
      <c r="N257" s="435">
        <f t="shared" si="74"/>
        <v>66802.287800476508</v>
      </c>
      <c r="O257" s="436">
        <f t="shared" si="65"/>
        <v>0</v>
      </c>
      <c r="P257" s="436">
        <f t="shared" si="75"/>
        <v>0</v>
      </c>
      <c r="R257" s="354">
        <f>+Hirdetmény!$AA$46</f>
        <v>0.13400000000000001</v>
      </c>
      <c r="S257" s="301">
        <f t="shared" si="76"/>
        <v>6462547.5733055156</v>
      </c>
      <c r="T257" s="301">
        <f t="shared" si="66"/>
        <v>71650.450583846337</v>
      </c>
      <c r="U257" s="301">
        <f t="shared" si="77"/>
        <v>73978.616978802937</v>
      </c>
      <c r="V257" s="301">
        <f t="shared" si="78"/>
        <v>145629.06756264926</v>
      </c>
      <c r="W257" s="301">
        <f t="shared" si="79"/>
        <v>145629.06756264926</v>
      </c>
      <c r="AA257" s="12">
        <f>+paraméterek!$B$346</f>
        <v>6.4600000000000005E-2</v>
      </c>
      <c r="AB257" s="301">
        <f t="shared" si="80"/>
        <v>4713677.3320299359</v>
      </c>
      <c r="AC257" s="301">
        <f t="shared" si="67"/>
        <v>63744.740827633832</v>
      </c>
      <c r="AD257" s="301">
        <f t="shared" si="81"/>
        <v>26075.656262941815</v>
      </c>
      <c r="AE257" s="301">
        <f t="shared" si="82"/>
        <v>89820.397090575643</v>
      </c>
      <c r="AF257" s="477">
        <f t="shared" si="83"/>
        <v>89820.397090575643</v>
      </c>
      <c r="AI257" s="543">
        <f t="shared" si="68"/>
        <v>61567.883784649297</v>
      </c>
      <c r="AJ257" s="543">
        <f t="shared" si="84"/>
        <v>10645.530861206635</v>
      </c>
      <c r="AK257" s="300">
        <f t="shared" si="85"/>
        <v>4138312.7847461873</v>
      </c>
      <c r="AL257" s="543">
        <f t="shared" si="86"/>
        <v>72213.414645855926</v>
      </c>
      <c r="AM257" s="10">
        <f t="shared" si="87"/>
        <v>72213.414645855926</v>
      </c>
      <c r="AP257" s="437">
        <f t="shared" si="88"/>
        <v>146437.06756264926</v>
      </c>
    </row>
    <row r="258" spans="1:42" s="11" customFormat="1" hidden="1" x14ac:dyDescent="0.3">
      <c r="A258" s="775">
        <v>179</v>
      </c>
      <c r="B258" s="775">
        <f t="shared" si="69"/>
        <v>15</v>
      </c>
      <c r="C258" s="891">
        <f t="shared" si="92"/>
        <v>0.14489675614077413</v>
      </c>
      <c r="D258" s="891"/>
      <c r="E258" s="891">
        <f t="shared" si="92"/>
        <v>0.03</v>
      </c>
      <c r="F258" s="891">
        <f t="shared" si="62"/>
        <v>0.03</v>
      </c>
      <c r="G258" s="893">
        <f t="shared" si="71"/>
        <v>3771120.1236193026</v>
      </c>
      <c r="H258" s="436">
        <f t="shared" si="63"/>
        <v>57098.816182229595</v>
      </c>
      <c r="I258" s="302">
        <f t="shared" si="64"/>
        <v>0</v>
      </c>
      <c r="J258" s="301">
        <f t="shared" si="89"/>
        <v>9703.4716182469383</v>
      </c>
      <c r="K258" s="301">
        <f t="shared" si="72"/>
        <v>66802.287800476537</v>
      </c>
      <c r="L258" s="10">
        <f t="shared" si="73"/>
        <v>66802.287800476537</v>
      </c>
      <c r="M258" s="302"/>
      <c r="N258" s="435">
        <f t="shared" si="74"/>
        <v>66802.287800476508</v>
      </c>
      <c r="O258" s="436">
        <f t="shared" si="65"/>
        <v>0</v>
      </c>
      <c r="P258" s="436">
        <f t="shared" si="75"/>
        <v>0</v>
      </c>
      <c r="R258" s="354">
        <f>+Hirdetmény!$AA$46</f>
        <v>0.13400000000000001</v>
      </c>
      <c r="S258" s="301">
        <f t="shared" si="76"/>
        <v>6390085.9135693414</v>
      </c>
      <c r="T258" s="301">
        <f t="shared" si="66"/>
        <v>72461.65973617413</v>
      </c>
      <c r="U258" s="301">
        <f t="shared" si="77"/>
        <v>73167.407826475188</v>
      </c>
      <c r="V258" s="301">
        <f t="shared" si="78"/>
        <v>145629.06756264932</v>
      </c>
      <c r="W258" s="301">
        <f t="shared" si="79"/>
        <v>145629.06756264932</v>
      </c>
      <c r="AA258" s="12">
        <f>+paraméterek!$B$346</f>
        <v>6.4600000000000005E-2</v>
      </c>
      <c r="AB258" s="301">
        <f t="shared" si="80"/>
        <v>4649584.6659143446</v>
      </c>
      <c r="AC258" s="301">
        <f t="shared" si="67"/>
        <v>64092.666115590961</v>
      </c>
      <c r="AD258" s="301">
        <f t="shared" si="81"/>
        <v>25727.73097498469</v>
      </c>
      <c r="AE258" s="301">
        <f t="shared" si="82"/>
        <v>89820.397090575658</v>
      </c>
      <c r="AF258" s="477">
        <f t="shared" si="83"/>
        <v>89820.397090575658</v>
      </c>
      <c r="AI258" s="543">
        <f t="shared" si="68"/>
        <v>61723.941267853443</v>
      </c>
      <c r="AJ258" s="543">
        <f t="shared" si="84"/>
        <v>10489.473378002489</v>
      </c>
      <c r="AK258" s="300">
        <f t="shared" si="85"/>
        <v>4076588.8434783337</v>
      </c>
      <c r="AL258" s="543">
        <f t="shared" si="86"/>
        <v>72213.414645855926</v>
      </c>
      <c r="AM258" s="10">
        <f t="shared" si="87"/>
        <v>72213.414645855926</v>
      </c>
      <c r="AP258" s="437">
        <f t="shared" si="88"/>
        <v>146437.06756264932</v>
      </c>
    </row>
    <row r="259" spans="1:42" s="11" customFormat="1" hidden="1" x14ac:dyDescent="0.3">
      <c r="A259" s="775">
        <v>180</v>
      </c>
      <c r="B259" s="775">
        <f t="shared" si="69"/>
        <v>15</v>
      </c>
      <c r="C259" s="891">
        <f t="shared" si="92"/>
        <v>0.14489675614077413</v>
      </c>
      <c r="D259" s="891"/>
      <c r="E259" s="891">
        <f t="shared" si="92"/>
        <v>0.03</v>
      </c>
      <c r="F259" s="891">
        <f t="shared" si="62"/>
        <v>0.03</v>
      </c>
      <c r="G259" s="893">
        <f t="shared" si="71"/>
        <v>3713876.5777988331</v>
      </c>
      <c r="H259" s="436">
        <f t="shared" si="63"/>
        <v>57243.54582046927</v>
      </c>
      <c r="I259" s="302">
        <f t="shared" si="64"/>
        <v>0</v>
      </c>
      <c r="J259" s="301">
        <f t="shared" si="89"/>
        <v>9558.7419800072603</v>
      </c>
      <c r="K259" s="301">
        <f t="shared" si="72"/>
        <v>66802.287800476537</v>
      </c>
      <c r="L259" s="10">
        <f t="shared" si="73"/>
        <v>66802.287800476537</v>
      </c>
      <c r="M259" s="302"/>
      <c r="N259" s="435">
        <f t="shared" si="74"/>
        <v>66802.287800476508</v>
      </c>
      <c r="O259" s="436">
        <f t="shared" si="65"/>
        <v>0</v>
      </c>
      <c r="P259" s="436">
        <f t="shared" si="75"/>
        <v>0</v>
      </c>
      <c r="R259" s="354">
        <f>+Hirdetmény!$AA$46</f>
        <v>0.13400000000000001</v>
      </c>
      <c r="S259" s="301">
        <f t="shared" si="76"/>
        <v>6316803.8603661079</v>
      </c>
      <c r="T259" s="301">
        <f t="shared" si="66"/>
        <v>73282.05320323343</v>
      </c>
      <c r="U259" s="301">
        <f t="shared" si="77"/>
        <v>72347.014359415858</v>
      </c>
      <c r="V259" s="301">
        <f t="shared" si="78"/>
        <v>145629.06756264929</v>
      </c>
      <c r="W259" s="301">
        <f t="shared" si="79"/>
        <v>145629.06756264929</v>
      </c>
      <c r="AA259" s="12">
        <f>+paraméterek!$B$346</f>
        <v>6.4600000000000005E-2</v>
      </c>
      <c r="AB259" s="301">
        <f t="shared" si="80"/>
        <v>4585142.1754991384</v>
      </c>
      <c r="AC259" s="301">
        <f t="shared" si="67"/>
        <v>64442.490415206572</v>
      </c>
      <c r="AD259" s="301">
        <f t="shared" si="81"/>
        <v>25377.90667536906</v>
      </c>
      <c r="AE259" s="301">
        <f t="shared" si="82"/>
        <v>89820.397090575629</v>
      </c>
      <c r="AF259" s="477">
        <f t="shared" si="83"/>
        <v>89820.397090575629</v>
      </c>
      <c r="AI259" s="543">
        <f t="shared" si="68"/>
        <v>61880.394313428202</v>
      </c>
      <c r="AJ259" s="543">
        <f t="shared" si="84"/>
        <v>10333.020332427721</v>
      </c>
      <c r="AK259" s="300">
        <f t="shared" si="85"/>
        <v>4014708.4491649056</v>
      </c>
      <c r="AL259" s="543">
        <f t="shared" si="86"/>
        <v>72213.414645855926</v>
      </c>
      <c r="AM259" s="10">
        <f t="shared" si="87"/>
        <v>72213.414645855926</v>
      </c>
      <c r="AP259" s="437">
        <f t="shared" si="88"/>
        <v>146437.06756264929</v>
      </c>
    </row>
    <row r="260" spans="1:42" s="11" customFormat="1" hidden="1" x14ac:dyDescent="0.3">
      <c r="A260" s="775">
        <v>181</v>
      </c>
      <c r="B260" s="775">
        <f t="shared" si="69"/>
        <v>16</v>
      </c>
      <c r="C260" s="891">
        <f t="shared" si="92"/>
        <v>0.14489675614077413</v>
      </c>
      <c r="D260" s="891"/>
      <c r="E260" s="891">
        <f t="shared" si="92"/>
        <v>0.03</v>
      </c>
      <c r="F260" s="891">
        <f t="shared" si="62"/>
        <v>0.03</v>
      </c>
      <c r="G260" s="893">
        <f t="shared" si="71"/>
        <v>3656487.9354906939</v>
      </c>
      <c r="H260" s="436">
        <f t="shared" si="63"/>
        <v>57388.642308139213</v>
      </c>
      <c r="I260" s="302">
        <f t="shared" si="64"/>
        <v>0</v>
      </c>
      <c r="J260" s="301">
        <f t="shared" si="89"/>
        <v>9413.6454923373203</v>
      </c>
      <c r="K260" s="301">
        <f t="shared" si="72"/>
        <v>66802.287800476537</v>
      </c>
      <c r="L260" s="10">
        <f t="shared" si="73"/>
        <v>66802.287800476537</v>
      </c>
      <c r="M260" s="302"/>
      <c r="N260" s="435">
        <f t="shared" si="74"/>
        <v>66802.287800476508</v>
      </c>
      <c r="O260" s="436">
        <f t="shared" si="65"/>
        <v>0</v>
      </c>
      <c r="P260" s="436">
        <f t="shared" si="75"/>
        <v>0</v>
      </c>
      <c r="R260" s="354">
        <f>+Hirdetmény!$AA$46</f>
        <v>0.13400000000000001</v>
      </c>
      <c r="S260" s="301">
        <f t="shared" si="76"/>
        <v>6242692.1253984831</v>
      </c>
      <c r="T260" s="301">
        <f t="shared" si="66"/>
        <v>74111.734967624667</v>
      </c>
      <c r="U260" s="301">
        <f t="shared" si="77"/>
        <v>71517.332595024622</v>
      </c>
      <c r="V260" s="301">
        <f t="shared" si="78"/>
        <v>145629.06756264929</v>
      </c>
      <c r="W260" s="301">
        <f t="shared" si="79"/>
        <v>145629.06756264929</v>
      </c>
      <c r="AA260" s="12">
        <f>+paraméterek!$B$346</f>
        <v>6.4600000000000005E-2</v>
      </c>
      <c r="AB260" s="301">
        <f t="shared" si="80"/>
        <v>4520347.9514076589</v>
      </c>
      <c r="AC260" s="301">
        <f t="shared" si="67"/>
        <v>64794.224091479766</v>
      </c>
      <c r="AD260" s="301">
        <f t="shared" si="81"/>
        <v>25026.172999095877</v>
      </c>
      <c r="AE260" s="301">
        <f t="shared" si="82"/>
        <v>89820.397090575643</v>
      </c>
      <c r="AF260" s="477">
        <f t="shared" si="83"/>
        <v>89820.397090575643</v>
      </c>
      <c r="AI260" s="543">
        <f t="shared" si="68"/>
        <v>62037.243924014321</v>
      </c>
      <c r="AJ260" s="543">
        <f t="shared" si="84"/>
        <v>10176.170721841601</v>
      </c>
      <c r="AK260" s="300">
        <f t="shared" si="85"/>
        <v>3952671.2052408913</v>
      </c>
      <c r="AL260" s="543">
        <f t="shared" si="86"/>
        <v>72213.414645855926</v>
      </c>
      <c r="AM260" s="10">
        <f t="shared" si="87"/>
        <v>72213.414645855926</v>
      </c>
      <c r="AP260" s="437">
        <f t="shared" si="88"/>
        <v>146437.06756264929</v>
      </c>
    </row>
    <row r="261" spans="1:42" s="11" customFormat="1" hidden="1" x14ac:dyDescent="0.3">
      <c r="A261" s="775">
        <v>182</v>
      </c>
      <c r="B261" s="775">
        <f t="shared" si="69"/>
        <v>16</v>
      </c>
      <c r="C261" s="891">
        <f t="shared" si="92"/>
        <v>0.14489675614077413</v>
      </c>
      <c r="D261" s="891"/>
      <c r="E261" s="891">
        <f t="shared" si="92"/>
        <v>0.03</v>
      </c>
      <c r="F261" s="891">
        <f t="shared" si="62"/>
        <v>0.03</v>
      </c>
      <c r="G261" s="893">
        <f t="shared" si="71"/>
        <v>3598953.8289155932</v>
      </c>
      <c r="H261" s="436">
        <f t="shared" si="63"/>
        <v>57534.106575100814</v>
      </c>
      <c r="I261" s="302">
        <f t="shared" si="64"/>
        <v>0</v>
      </c>
      <c r="J261" s="301">
        <f t="shared" si="89"/>
        <v>9268.181225375718</v>
      </c>
      <c r="K261" s="301">
        <f t="shared" si="72"/>
        <v>66802.287800476537</v>
      </c>
      <c r="L261" s="10">
        <f t="shared" si="73"/>
        <v>66802.287800476537</v>
      </c>
      <c r="M261" s="302"/>
      <c r="N261" s="435">
        <f t="shared" si="74"/>
        <v>66802.287800476508</v>
      </c>
      <c r="O261" s="436">
        <f t="shared" si="65"/>
        <v>0</v>
      </c>
      <c r="P261" s="436">
        <f t="shared" si="75"/>
        <v>0</v>
      </c>
      <c r="R261" s="354">
        <f>+Hirdetmény!$AA$46</f>
        <v>0.13400000000000001</v>
      </c>
      <c r="S261" s="301">
        <f t="shared" si="76"/>
        <v>6167741.3152092686</v>
      </c>
      <c r="T261" s="301">
        <f t="shared" si="66"/>
        <v>74950.810189214171</v>
      </c>
      <c r="U261" s="301">
        <f t="shared" si="77"/>
        <v>70678.257373435146</v>
      </c>
      <c r="V261" s="301">
        <f t="shared" si="78"/>
        <v>145629.06756264932</v>
      </c>
      <c r="W261" s="301">
        <f t="shared" si="79"/>
        <v>145629.06756264932</v>
      </c>
      <c r="AA261" s="12">
        <f>+paraméterek!$B$346</f>
        <v>6.4600000000000005E-2</v>
      </c>
      <c r="AB261" s="301">
        <f t="shared" si="80"/>
        <v>4455200.0738416761</v>
      </c>
      <c r="AC261" s="301">
        <f t="shared" si="67"/>
        <v>65147.877565982773</v>
      </c>
      <c r="AD261" s="301">
        <f t="shared" si="81"/>
        <v>24672.51952459287</v>
      </c>
      <c r="AE261" s="301">
        <f t="shared" si="82"/>
        <v>89820.397090575643</v>
      </c>
      <c r="AF261" s="477">
        <f t="shared" si="83"/>
        <v>89820.397090575643</v>
      </c>
      <c r="AI261" s="543">
        <f t="shared" si="68"/>
        <v>62194.491104793953</v>
      </c>
      <c r="AJ261" s="543">
        <f t="shared" si="84"/>
        <v>10018.92354106198</v>
      </c>
      <c r="AK261" s="300">
        <f t="shared" si="85"/>
        <v>3890476.7141360976</v>
      </c>
      <c r="AL261" s="543">
        <f t="shared" si="86"/>
        <v>72213.414645855926</v>
      </c>
      <c r="AM261" s="10">
        <f t="shared" si="87"/>
        <v>72213.414645855926</v>
      </c>
      <c r="AP261" s="437">
        <f t="shared" si="88"/>
        <v>146437.06756264932</v>
      </c>
    </row>
    <row r="262" spans="1:42" s="11" customFormat="1" hidden="1" x14ac:dyDescent="0.3">
      <c r="A262" s="775">
        <v>183</v>
      </c>
      <c r="B262" s="775">
        <f t="shared" si="69"/>
        <v>16</v>
      </c>
      <c r="C262" s="891">
        <f t="shared" si="92"/>
        <v>0.14489675614077413</v>
      </c>
      <c r="D262" s="891"/>
      <c r="E262" s="891">
        <f t="shared" si="92"/>
        <v>0.03</v>
      </c>
      <c r="F262" s="891">
        <f t="shared" si="62"/>
        <v>0.03</v>
      </c>
      <c r="G262" s="893">
        <f t="shared" si="71"/>
        <v>3541273.8893620209</v>
      </c>
      <c r="H262" s="436">
        <f t="shared" si="63"/>
        <v>57679.939553572425</v>
      </c>
      <c r="I262" s="302">
        <f t="shared" si="64"/>
        <v>0</v>
      </c>
      <c r="J262" s="301">
        <f t="shared" si="89"/>
        <v>9122.3482469041082</v>
      </c>
      <c r="K262" s="301">
        <f t="shared" si="72"/>
        <v>66802.287800476537</v>
      </c>
      <c r="L262" s="10">
        <f t="shared" si="73"/>
        <v>66802.287800476537</v>
      </c>
      <c r="M262" s="302"/>
      <c r="N262" s="435">
        <f t="shared" si="74"/>
        <v>66802.287800476508</v>
      </c>
      <c r="O262" s="436">
        <f t="shared" si="65"/>
        <v>0</v>
      </c>
      <c r="P262" s="436">
        <f t="shared" si="75"/>
        <v>0</v>
      </c>
      <c r="R262" s="354">
        <f>+Hirdetmény!$AA$46</f>
        <v>0.13400000000000001</v>
      </c>
      <c r="S262" s="301">
        <f t="shared" si="76"/>
        <v>6091941.9299908057</v>
      </c>
      <c r="T262" s="301">
        <f t="shared" si="66"/>
        <v>75799.385218462878</v>
      </c>
      <c r="U262" s="301">
        <f t="shared" si="77"/>
        <v>69829.682344186425</v>
      </c>
      <c r="V262" s="301">
        <f t="shared" si="78"/>
        <v>145629.06756264932</v>
      </c>
      <c r="W262" s="301">
        <f t="shared" si="79"/>
        <v>145629.06756264932</v>
      </c>
      <c r="AA262" s="12">
        <f>+paraméterek!$B$346</f>
        <v>6.4600000000000005E-2</v>
      </c>
      <c r="AB262" s="301">
        <f t="shared" si="80"/>
        <v>4389696.6125245066</v>
      </c>
      <c r="AC262" s="301">
        <f t="shared" si="67"/>
        <v>65503.461317169895</v>
      </c>
      <c r="AD262" s="301">
        <f t="shared" si="81"/>
        <v>24316.935773405763</v>
      </c>
      <c r="AE262" s="301">
        <f t="shared" si="82"/>
        <v>89820.397090575658</v>
      </c>
      <c r="AF262" s="477">
        <f t="shared" si="83"/>
        <v>89820.397090575658</v>
      </c>
      <c r="AI262" s="543">
        <f t="shared" si="68"/>
        <v>62352.136863497086</v>
      </c>
      <c r="AJ262" s="543">
        <f t="shared" si="84"/>
        <v>9861.2777823588585</v>
      </c>
      <c r="AK262" s="300">
        <f t="shared" si="85"/>
        <v>3828124.5772726005</v>
      </c>
      <c r="AL262" s="543">
        <f t="shared" si="86"/>
        <v>72213.414645855941</v>
      </c>
      <c r="AM262" s="10">
        <f t="shared" si="87"/>
        <v>72213.414645855941</v>
      </c>
      <c r="AP262" s="437">
        <f t="shared" si="88"/>
        <v>146437.06756264932</v>
      </c>
    </row>
    <row r="263" spans="1:42" s="11" customFormat="1" hidden="1" x14ac:dyDescent="0.3">
      <c r="A263" s="775">
        <v>184</v>
      </c>
      <c r="B263" s="775">
        <f t="shared" si="69"/>
        <v>16</v>
      </c>
      <c r="C263" s="891">
        <f t="shared" si="92"/>
        <v>0.14489675614077413</v>
      </c>
      <c r="D263" s="891"/>
      <c r="E263" s="891">
        <f t="shared" si="92"/>
        <v>0.03</v>
      </c>
      <c r="F263" s="891">
        <f t="shared" si="62"/>
        <v>0.03</v>
      </c>
      <c r="G263" s="893">
        <f t="shared" si="71"/>
        <v>3483447.7471838854</v>
      </c>
      <c r="H263" s="436">
        <f t="shared" si="63"/>
        <v>57826.142178135306</v>
      </c>
      <c r="I263" s="302">
        <f t="shared" si="64"/>
        <v>0</v>
      </c>
      <c r="J263" s="301">
        <f t="shared" si="89"/>
        <v>8976.1456223412333</v>
      </c>
      <c r="K263" s="301">
        <f t="shared" si="72"/>
        <v>66802.287800476537</v>
      </c>
      <c r="L263" s="10">
        <f t="shared" si="73"/>
        <v>66802.287800476537</v>
      </c>
      <c r="M263" s="302"/>
      <c r="N263" s="435">
        <f t="shared" si="74"/>
        <v>66802.287800476508</v>
      </c>
      <c r="O263" s="436">
        <f t="shared" si="65"/>
        <v>0</v>
      </c>
      <c r="P263" s="436">
        <f t="shared" si="75"/>
        <v>0</v>
      </c>
      <c r="R263" s="354">
        <f>+Hirdetmény!$AA$46</f>
        <v>0.13400000000000001</v>
      </c>
      <c r="S263" s="301">
        <f t="shared" si="76"/>
        <v>6015284.3623808995</v>
      </c>
      <c r="T263" s="301">
        <f t="shared" si="66"/>
        <v>76657.567609906167</v>
      </c>
      <c r="U263" s="301">
        <f t="shared" si="77"/>
        <v>68971.499952743136</v>
      </c>
      <c r="V263" s="301">
        <f t="shared" si="78"/>
        <v>145629.06756264932</v>
      </c>
      <c r="W263" s="301">
        <f t="shared" si="79"/>
        <v>145629.06756264932</v>
      </c>
      <c r="AA263" s="12">
        <f>+paraméterek!$B$346</f>
        <v>6.4600000000000005E-2</v>
      </c>
      <c r="AB263" s="301">
        <f t="shared" si="80"/>
        <v>4323835.6266438188</v>
      </c>
      <c r="AC263" s="301">
        <f t="shared" si="67"/>
        <v>65860.985880687847</v>
      </c>
      <c r="AD263" s="301">
        <f t="shared" si="81"/>
        <v>23959.411209887814</v>
      </c>
      <c r="AE263" s="301">
        <f t="shared" si="82"/>
        <v>89820.397090575658</v>
      </c>
      <c r="AF263" s="477">
        <f t="shared" si="83"/>
        <v>89820.397090575658</v>
      </c>
      <c r="AI263" s="543">
        <f t="shared" si="68"/>
        <v>62510.182210408027</v>
      </c>
      <c r="AJ263" s="543">
        <f t="shared" si="84"/>
        <v>9703.2324354479115</v>
      </c>
      <c r="AK263" s="300">
        <f t="shared" si="85"/>
        <v>3765614.3950621923</v>
      </c>
      <c r="AL263" s="543">
        <f t="shared" si="86"/>
        <v>72213.414645855941</v>
      </c>
      <c r="AM263" s="10">
        <f t="shared" si="87"/>
        <v>72213.414645855941</v>
      </c>
      <c r="AP263" s="437">
        <f t="shared" si="88"/>
        <v>146437.06756264932</v>
      </c>
    </row>
    <row r="264" spans="1:42" s="11" customFormat="1" hidden="1" x14ac:dyDescent="0.3">
      <c r="A264" s="775">
        <v>185</v>
      </c>
      <c r="B264" s="775">
        <f t="shared" si="69"/>
        <v>16</v>
      </c>
      <c r="C264" s="891">
        <f t="shared" si="92"/>
        <v>0.14489675614077413</v>
      </c>
      <c r="D264" s="891"/>
      <c r="E264" s="891">
        <f t="shared" si="92"/>
        <v>0.03</v>
      </c>
      <c r="F264" s="891">
        <f t="shared" si="62"/>
        <v>0.03</v>
      </c>
      <c r="G264" s="893">
        <f t="shared" si="71"/>
        <v>3425475.0317981457</v>
      </c>
      <c r="H264" s="436">
        <f t="shared" si="63"/>
        <v>57972.715385739604</v>
      </c>
      <c r="I264" s="302">
        <f t="shared" si="64"/>
        <v>0</v>
      </c>
      <c r="J264" s="301">
        <f t="shared" si="89"/>
        <v>8829.572414736931</v>
      </c>
      <c r="K264" s="301">
        <f t="shared" si="72"/>
        <v>66802.287800476537</v>
      </c>
      <c r="L264" s="10">
        <f t="shared" si="73"/>
        <v>66802.287800476537</v>
      </c>
      <c r="M264" s="302"/>
      <c r="N264" s="435">
        <f t="shared" si="74"/>
        <v>66802.287800476508</v>
      </c>
      <c r="O264" s="436">
        <f t="shared" si="65"/>
        <v>0</v>
      </c>
      <c r="P264" s="436">
        <f t="shared" si="75"/>
        <v>0</v>
      </c>
      <c r="R264" s="354">
        <f>+Hirdetmény!$AA$46</f>
        <v>0.13400000000000001</v>
      </c>
      <c r="S264" s="301">
        <f t="shared" si="76"/>
        <v>5937758.8962451136</v>
      </c>
      <c r="T264" s="301">
        <f t="shared" si="66"/>
        <v>77525.466135785915</v>
      </c>
      <c r="U264" s="301">
        <f t="shared" si="77"/>
        <v>68103.601426863388</v>
      </c>
      <c r="V264" s="301">
        <f t="shared" si="78"/>
        <v>145629.06756264932</v>
      </c>
      <c r="W264" s="301">
        <f t="shared" si="79"/>
        <v>145629.06756264932</v>
      </c>
      <c r="AA264" s="12">
        <f>+paraméterek!$B$346</f>
        <v>6.4600000000000005E-2</v>
      </c>
      <c r="AB264" s="301">
        <f t="shared" si="80"/>
        <v>4257615.1647941312</v>
      </c>
      <c r="AC264" s="301">
        <f t="shared" si="67"/>
        <v>66220.461849688014</v>
      </c>
      <c r="AD264" s="301">
        <f t="shared" si="81"/>
        <v>23599.93524088764</v>
      </c>
      <c r="AE264" s="301">
        <f t="shared" si="82"/>
        <v>89820.397090575658</v>
      </c>
      <c r="AF264" s="477">
        <f t="shared" si="83"/>
        <v>89820.397090575658</v>
      </c>
      <c r="AI264" s="543">
        <f t="shared" si="68"/>
        <v>62668.62815837191</v>
      </c>
      <c r="AJ264" s="543">
        <f t="shared" si="84"/>
        <v>9544.7864874840288</v>
      </c>
      <c r="AK264" s="300">
        <f t="shared" si="85"/>
        <v>3702945.7669038204</v>
      </c>
      <c r="AL264" s="543">
        <f t="shared" si="86"/>
        <v>72213.414645855941</v>
      </c>
      <c r="AM264" s="10">
        <f t="shared" si="87"/>
        <v>72213.414645855941</v>
      </c>
      <c r="AP264" s="437">
        <f t="shared" si="88"/>
        <v>146437.06756264932</v>
      </c>
    </row>
    <row r="265" spans="1:42" s="11" customFormat="1" hidden="1" x14ac:dyDescent="0.3">
      <c r="A265" s="775">
        <v>186</v>
      </c>
      <c r="B265" s="775">
        <f t="shared" si="69"/>
        <v>16</v>
      </c>
      <c r="C265" s="891">
        <f t="shared" si="92"/>
        <v>0.14489675614077413</v>
      </c>
      <c r="D265" s="891"/>
      <c r="E265" s="891">
        <f t="shared" si="92"/>
        <v>0.03</v>
      </c>
      <c r="F265" s="891">
        <f t="shared" si="62"/>
        <v>0.03</v>
      </c>
      <c r="G265" s="893">
        <f t="shared" si="71"/>
        <v>3367355.3716824353</v>
      </c>
      <c r="H265" s="436">
        <f t="shared" si="63"/>
        <v>58119.660115710401</v>
      </c>
      <c r="I265" s="302">
        <f t="shared" si="64"/>
        <v>0</v>
      </c>
      <c r="J265" s="301">
        <f t="shared" si="89"/>
        <v>8682.627684766132</v>
      </c>
      <c r="K265" s="301">
        <f t="shared" si="72"/>
        <v>66802.287800476537</v>
      </c>
      <c r="L265" s="10">
        <f t="shared" si="73"/>
        <v>66802.287800476537</v>
      </c>
      <c r="M265" s="302"/>
      <c r="N265" s="435">
        <f t="shared" si="74"/>
        <v>66802.287800476508</v>
      </c>
      <c r="O265" s="436">
        <f t="shared" si="65"/>
        <v>0</v>
      </c>
      <c r="P265" s="436">
        <f t="shared" si="75"/>
        <v>0</v>
      </c>
      <c r="R265" s="354">
        <f>+Hirdetmény!$AA$46</f>
        <v>0.13400000000000001</v>
      </c>
      <c r="S265" s="301">
        <f t="shared" si="76"/>
        <v>5859355.7054452766</v>
      </c>
      <c r="T265" s="301">
        <f t="shared" si="66"/>
        <v>78403.190799837132</v>
      </c>
      <c r="U265" s="301">
        <f t="shared" si="77"/>
        <v>67225.876762812171</v>
      </c>
      <c r="V265" s="301">
        <f t="shared" si="78"/>
        <v>145629.06756264932</v>
      </c>
      <c r="W265" s="301">
        <f t="shared" si="79"/>
        <v>145629.06756264932</v>
      </c>
      <c r="AA265" s="12">
        <f>+paraméterek!$B$346</f>
        <v>6.4600000000000005E-2</v>
      </c>
      <c r="AB265" s="301">
        <f t="shared" si="80"/>
        <v>4191033.2649189909</v>
      </c>
      <c r="AC265" s="301">
        <f t="shared" si="67"/>
        <v>66581.899875140283</v>
      </c>
      <c r="AD265" s="301">
        <f t="shared" si="81"/>
        <v>23238.497215435378</v>
      </c>
      <c r="AE265" s="301">
        <f t="shared" si="82"/>
        <v>89820.397090575658</v>
      </c>
      <c r="AF265" s="477">
        <f t="shared" si="83"/>
        <v>89820.397090575658</v>
      </c>
      <c r="AI265" s="543">
        <f t="shared" si="68"/>
        <v>62827.475722801115</v>
      </c>
      <c r="AJ265" s="543">
        <f t="shared" si="84"/>
        <v>9385.9389230548222</v>
      </c>
      <c r="AK265" s="300">
        <f t="shared" si="85"/>
        <v>3640118.2911810195</v>
      </c>
      <c r="AL265" s="543">
        <f t="shared" si="86"/>
        <v>72213.414645855941</v>
      </c>
      <c r="AM265" s="10">
        <f t="shared" si="87"/>
        <v>72213.414645855941</v>
      </c>
      <c r="AP265" s="437">
        <f t="shared" si="88"/>
        <v>146437.06756264932</v>
      </c>
    </row>
    <row r="266" spans="1:42" s="11" customFormat="1" hidden="1" x14ac:dyDescent="0.3">
      <c r="A266" s="775">
        <v>187</v>
      </c>
      <c r="B266" s="775">
        <f t="shared" si="69"/>
        <v>16</v>
      </c>
      <c r="C266" s="891">
        <f t="shared" si="92"/>
        <v>0.14489675614077413</v>
      </c>
      <c r="D266" s="891"/>
      <c r="E266" s="891">
        <f t="shared" si="92"/>
        <v>0.03</v>
      </c>
      <c r="F266" s="891">
        <f t="shared" si="62"/>
        <v>0.03</v>
      </c>
      <c r="G266" s="893">
        <f t="shared" si="71"/>
        <v>3309088.3943726816</v>
      </c>
      <c r="H266" s="436">
        <f t="shared" si="63"/>
        <v>58266.977309753696</v>
      </c>
      <c r="I266" s="302">
        <f t="shared" si="64"/>
        <v>0</v>
      </c>
      <c r="J266" s="301">
        <f t="shared" si="89"/>
        <v>8535.3104907228408</v>
      </c>
      <c r="K266" s="301">
        <f t="shared" si="72"/>
        <v>66802.287800476537</v>
      </c>
      <c r="L266" s="10">
        <f t="shared" si="73"/>
        <v>66802.287800476537</v>
      </c>
      <c r="M266" s="302"/>
      <c r="N266" s="435">
        <f t="shared" si="74"/>
        <v>66802.287800476508</v>
      </c>
      <c r="O266" s="436">
        <f t="shared" si="65"/>
        <v>0</v>
      </c>
      <c r="P266" s="436">
        <f t="shared" si="75"/>
        <v>0</v>
      </c>
      <c r="R266" s="354">
        <f>+Hirdetmény!$AA$46</f>
        <v>0.13400000000000001</v>
      </c>
      <c r="S266" s="301">
        <f t="shared" si="76"/>
        <v>5780064.8525940459</v>
      </c>
      <c r="T266" s="301">
        <f t="shared" si="66"/>
        <v>79290.852851230666</v>
      </c>
      <c r="U266" s="301">
        <f t="shared" si="77"/>
        <v>66338.214711418637</v>
      </c>
      <c r="V266" s="301">
        <f t="shared" si="78"/>
        <v>145629.06756264932</v>
      </c>
      <c r="W266" s="301">
        <f t="shared" si="79"/>
        <v>145629.06756264932</v>
      </c>
      <c r="AA266" s="12">
        <f>+paraméterek!$B$346</f>
        <v>6.4600000000000005E-2</v>
      </c>
      <c r="AB266" s="301">
        <f t="shared" si="80"/>
        <v>4124087.9542528423</v>
      </c>
      <c r="AC266" s="301">
        <f t="shared" si="67"/>
        <v>66945.310666148594</v>
      </c>
      <c r="AD266" s="301">
        <f t="shared" si="81"/>
        <v>22875.086424427056</v>
      </c>
      <c r="AE266" s="301">
        <f t="shared" si="82"/>
        <v>89820.397090575658</v>
      </c>
      <c r="AF266" s="477">
        <f t="shared" si="83"/>
        <v>89820.397090575658</v>
      </c>
      <c r="AI266" s="543">
        <f t="shared" si="68"/>
        <v>62986.725921681827</v>
      </c>
      <c r="AJ266" s="543">
        <f t="shared" si="84"/>
        <v>9226.6887241741115</v>
      </c>
      <c r="AK266" s="300">
        <f t="shared" si="85"/>
        <v>3577131.5652593379</v>
      </c>
      <c r="AL266" s="543">
        <f t="shared" si="86"/>
        <v>72213.414645855941</v>
      </c>
      <c r="AM266" s="10">
        <f t="shared" si="87"/>
        <v>72213.414645855941</v>
      </c>
      <c r="AP266" s="437">
        <f t="shared" si="88"/>
        <v>146437.06756264932</v>
      </c>
    </row>
    <row r="267" spans="1:42" s="11" customFormat="1" hidden="1" x14ac:dyDescent="0.3">
      <c r="A267" s="775">
        <v>188</v>
      </c>
      <c r="B267" s="775">
        <f t="shared" si="69"/>
        <v>16</v>
      </c>
      <c r="C267" s="891">
        <f t="shared" si="92"/>
        <v>0.14489675614077413</v>
      </c>
      <c r="D267" s="891"/>
      <c r="E267" s="891">
        <f t="shared" si="92"/>
        <v>0.03</v>
      </c>
      <c r="F267" s="891">
        <f t="shared" si="62"/>
        <v>0.03</v>
      </c>
      <c r="G267" s="893">
        <f t="shared" si="71"/>
        <v>3250673.726460719</v>
      </c>
      <c r="H267" s="436">
        <f t="shared" si="63"/>
        <v>58414.667911962439</v>
      </c>
      <c r="I267" s="302">
        <f t="shared" si="64"/>
        <v>0</v>
      </c>
      <c r="J267" s="301">
        <f t="shared" si="89"/>
        <v>8387.6198885140893</v>
      </c>
      <c r="K267" s="301">
        <f t="shared" si="72"/>
        <v>66802.287800476523</v>
      </c>
      <c r="L267" s="10">
        <f t="shared" si="73"/>
        <v>66802.287800476523</v>
      </c>
      <c r="M267" s="302"/>
      <c r="N267" s="435">
        <f t="shared" si="74"/>
        <v>66802.287800476508</v>
      </c>
      <c r="O267" s="436">
        <f t="shared" si="65"/>
        <v>0</v>
      </c>
      <c r="P267" s="436">
        <f t="shared" si="75"/>
        <v>0</v>
      </c>
      <c r="R267" s="354">
        <f>+Hirdetmény!$AA$46</f>
        <v>0.13400000000000001</v>
      </c>
      <c r="S267" s="301">
        <f t="shared" si="76"/>
        <v>5699876.2877953723</v>
      </c>
      <c r="T267" s="301">
        <f t="shared" si="66"/>
        <v>80188.564798673659</v>
      </c>
      <c r="U267" s="301">
        <f t="shared" si="77"/>
        <v>65440.502763975652</v>
      </c>
      <c r="V267" s="301">
        <f t="shared" si="78"/>
        <v>145629.06756264932</v>
      </c>
      <c r="W267" s="301">
        <f t="shared" si="79"/>
        <v>145629.06756264932</v>
      </c>
      <c r="AA267" s="12">
        <f>+paraméterek!$B$346</f>
        <v>6.4600000000000005E-2</v>
      </c>
      <c r="AB267" s="301">
        <f t="shared" si="80"/>
        <v>4056777.2492625741</v>
      </c>
      <c r="AC267" s="301">
        <f t="shared" si="67"/>
        <v>67310.704990268307</v>
      </c>
      <c r="AD267" s="301">
        <f t="shared" si="81"/>
        <v>22509.692100307355</v>
      </c>
      <c r="AE267" s="301">
        <f t="shared" si="82"/>
        <v>89820.397090575658</v>
      </c>
      <c r="AF267" s="477">
        <f t="shared" si="83"/>
        <v>89820.397090575658</v>
      </c>
      <c r="AI267" s="543">
        <f t="shared" si="68"/>
        <v>63146.379775580535</v>
      </c>
      <c r="AJ267" s="543">
        <f t="shared" si="84"/>
        <v>9067.0348702754054</v>
      </c>
      <c r="AK267" s="300">
        <f t="shared" si="85"/>
        <v>3513985.1854837574</v>
      </c>
      <c r="AL267" s="543">
        <f t="shared" si="86"/>
        <v>72213.414645855941</v>
      </c>
      <c r="AM267" s="10">
        <f t="shared" si="87"/>
        <v>72213.414645855941</v>
      </c>
      <c r="AP267" s="437">
        <f t="shared" si="88"/>
        <v>146437.06756264932</v>
      </c>
    </row>
    <row r="268" spans="1:42" s="11" customFormat="1" hidden="1" x14ac:dyDescent="0.3">
      <c r="A268" s="775">
        <v>189</v>
      </c>
      <c r="B268" s="775">
        <f t="shared" si="69"/>
        <v>16</v>
      </c>
      <c r="C268" s="891">
        <f t="shared" si="92"/>
        <v>0.14489675614077413</v>
      </c>
      <c r="D268" s="891"/>
      <c r="E268" s="891">
        <f t="shared" si="92"/>
        <v>0.03</v>
      </c>
      <c r="F268" s="891">
        <f t="shared" si="62"/>
        <v>0.03</v>
      </c>
      <c r="G268" s="893">
        <f t="shared" si="71"/>
        <v>3192110.9935918963</v>
      </c>
      <c r="H268" s="436">
        <f t="shared" si="63"/>
        <v>58562.732868822633</v>
      </c>
      <c r="I268" s="302">
        <f t="shared" si="64"/>
        <v>0</v>
      </c>
      <c r="J268" s="301">
        <f t="shared" si="89"/>
        <v>8239.5549316539054</v>
      </c>
      <c r="K268" s="301">
        <f t="shared" si="72"/>
        <v>66802.287800476537</v>
      </c>
      <c r="L268" s="10">
        <f t="shared" si="73"/>
        <v>66802.287800476537</v>
      </c>
      <c r="M268" s="302"/>
      <c r="N268" s="435">
        <f t="shared" si="74"/>
        <v>66802.287800476508</v>
      </c>
      <c r="O268" s="436">
        <f t="shared" si="65"/>
        <v>0</v>
      </c>
      <c r="P268" s="436">
        <f t="shared" si="75"/>
        <v>0</v>
      </c>
      <c r="R268" s="354">
        <f>+Hirdetmény!$AA$46</f>
        <v>0.13400000000000001</v>
      </c>
      <c r="S268" s="301">
        <f t="shared" si="76"/>
        <v>5618779.8473707028</v>
      </c>
      <c r="T268" s="301">
        <f t="shared" si="66"/>
        <v>81096.440424669752</v>
      </c>
      <c r="U268" s="301">
        <f t="shared" si="77"/>
        <v>64532.627137979558</v>
      </c>
      <c r="V268" s="301">
        <f t="shared" si="78"/>
        <v>145629.06756264932</v>
      </c>
      <c r="W268" s="301">
        <f t="shared" si="79"/>
        <v>145629.06756264932</v>
      </c>
      <c r="AA268" s="12">
        <f>+paraméterek!$B$346</f>
        <v>6.4600000000000005E-2</v>
      </c>
      <c r="AB268" s="301">
        <f t="shared" si="80"/>
        <v>3989099.1555887489</v>
      </c>
      <c r="AC268" s="301">
        <f t="shared" si="67"/>
        <v>67678.093673825162</v>
      </c>
      <c r="AD268" s="301">
        <f t="shared" si="81"/>
        <v>22142.303416750521</v>
      </c>
      <c r="AE268" s="301">
        <f t="shared" si="82"/>
        <v>89820.397090575687</v>
      </c>
      <c r="AF268" s="477">
        <f t="shared" si="83"/>
        <v>89820.397090575687</v>
      </c>
      <c r="AI268" s="543">
        <f t="shared" si="68"/>
        <v>63306.438307650584</v>
      </c>
      <c r="AJ268" s="543">
        <f t="shared" si="84"/>
        <v>8906.976338205357</v>
      </c>
      <c r="AK268" s="300">
        <f t="shared" si="85"/>
        <v>3450678.747176107</v>
      </c>
      <c r="AL268" s="543">
        <f t="shared" si="86"/>
        <v>72213.414645855941</v>
      </c>
      <c r="AM268" s="10">
        <f t="shared" si="87"/>
        <v>72213.414645855941</v>
      </c>
      <c r="AP268" s="437">
        <f t="shared" si="88"/>
        <v>146437.06756264932</v>
      </c>
    </row>
    <row r="269" spans="1:42" s="11" customFormat="1" hidden="1" x14ac:dyDescent="0.3">
      <c r="A269" s="775">
        <v>190</v>
      </c>
      <c r="B269" s="775">
        <f t="shared" si="69"/>
        <v>16</v>
      </c>
      <c r="C269" s="891">
        <f t="shared" si="92"/>
        <v>0.14489675614077413</v>
      </c>
      <c r="D269" s="891"/>
      <c r="E269" s="891">
        <f t="shared" si="92"/>
        <v>0.03</v>
      </c>
      <c r="F269" s="891">
        <f t="shared" si="62"/>
        <v>0.03</v>
      </c>
      <c r="G269" s="893">
        <f t="shared" si="71"/>
        <v>3133399.8204626772</v>
      </c>
      <c r="H269" s="436">
        <f t="shared" si="63"/>
        <v>58711.173129219307</v>
      </c>
      <c r="I269" s="302">
        <f t="shared" si="64"/>
        <v>0</v>
      </c>
      <c r="J269" s="301">
        <f t="shared" si="89"/>
        <v>8091.1146712572381</v>
      </c>
      <c r="K269" s="301">
        <f t="shared" si="72"/>
        <v>66802.287800476552</v>
      </c>
      <c r="L269" s="10">
        <f t="shared" si="73"/>
        <v>66802.287800476552</v>
      </c>
      <c r="M269" s="302"/>
      <c r="N269" s="435">
        <f t="shared" si="74"/>
        <v>66802.287800476508</v>
      </c>
      <c r="O269" s="436">
        <f t="shared" si="65"/>
        <v>0</v>
      </c>
      <c r="P269" s="436">
        <f t="shared" si="75"/>
        <v>0</v>
      </c>
      <c r="R269" s="354">
        <f>+Hirdetmény!$AA$46</f>
        <v>0.13400000000000001</v>
      </c>
      <c r="S269" s="301">
        <f t="shared" si="76"/>
        <v>5536765.2525707623</v>
      </c>
      <c r="T269" s="301">
        <f t="shared" si="66"/>
        <v>82014.594799940722</v>
      </c>
      <c r="U269" s="301">
        <f t="shared" si="77"/>
        <v>63614.472762708589</v>
      </c>
      <c r="V269" s="301">
        <f t="shared" si="78"/>
        <v>145629.06756264932</v>
      </c>
      <c r="W269" s="301">
        <f t="shared" si="79"/>
        <v>145629.06756264932</v>
      </c>
      <c r="AA269" s="12">
        <f>+paraméterek!$B$346</f>
        <v>6.4600000000000005E-2</v>
      </c>
      <c r="AB269" s="301">
        <f t="shared" si="80"/>
        <v>3921051.6679865126</v>
      </c>
      <c r="AC269" s="301">
        <f t="shared" si="67"/>
        <v>68047.487602236055</v>
      </c>
      <c r="AD269" s="301">
        <f t="shared" si="81"/>
        <v>21772.90948833961</v>
      </c>
      <c r="AE269" s="301">
        <f t="shared" si="82"/>
        <v>89820.397090575658</v>
      </c>
      <c r="AF269" s="477">
        <f t="shared" si="83"/>
        <v>89820.397090575658</v>
      </c>
      <c r="AI269" s="543">
        <f t="shared" si="68"/>
        <v>63466.902543638724</v>
      </c>
      <c r="AJ269" s="543">
        <f t="shared" si="84"/>
        <v>8746.5121022172152</v>
      </c>
      <c r="AK269" s="300">
        <f t="shared" si="85"/>
        <v>3387211.8446324682</v>
      </c>
      <c r="AL269" s="543">
        <f t="shared" si="86"/>
        <v>72213.414645855941</v>
      </c>
      <c r="AM269" s="10">
        <f t="shared" si="87"/>
        <v>72213.414645855941</v>
      </c>
      <c r="AP269" s="437">
        <f t="shared" si="88"/>
        <v>146437.06756264932</v>
      </c>
    </row>
    <row r="270" spans="1:42" s="11" customFormat="1" hidden="1" x14ac:dyDescent="0.3">
      <c r="A270" s="775">
        <v>191</v>
      </c>
      <c r="B270" s="775">
        <f t="shared" si="69"/>
        <v>16</v>
      </c>
      <c r="C270" s="891">
        <f t="shared" si="92"/>
        <v>0.14489675614077413</v>
      </c>
      <c r="D270" s="891"/>
      <c r="E270" s="891">
        <f t="shared" si="92"/>
        <v>0.03</v>
      </c>
      <c r="F270" s="891">
        <f t="shared" si="62"/>
        <v>0.03</v>
      </c>
      <c r="G270" s="893">
        <f t="shared" si="71"/>
        <v>3074539.8308182345</v>
      </c>
      <c r="H270" s="436">
        <f t="shared" si="63"/>
        <v>58859.989644442663</v>
      </c>
      <c r="I270" s="302">
        <f t="shared" si="64"/>
        <v>0</v>
      </c>
      <c r="J270" s="301">
        <f t="shared" si="89"/>
        <v>7942.2981560338694</v>
      </c>
      <c r="K270" s="301">
        <f t="shared" si="72"/>
        <v>66802.287800476537</v>
      </c>
      <c r="L270" s="10">
        <f t="shared" si="73"/>
        <v>66802.287800476537</v>
      </c>
      <c r="M270" s="302"/>
      <c r="N270" s="435">
        <f t="shared" si="74"/>
        <v>66802.287800476508</v>
      </c>
      <c r="O270" s="436">
        <f t="shared" si="65"/>
        <v>0</v>
      </c>
      <c r="P270" s="436">
        <f t="shared" si="75"/>
        <v>0</v>
      </c>
      <c r="R270" s="354">
        <f>+Hirdetmény!$AA$46</f>
        <v>0.13400000000000001</v>
      </c>
      <c r="S270" s="301">
        <f t="shared" si="76"/>
        <v>5453822.1082727509</v>
      </c>
      <c r="T270" s="301">
        <f t="shared" si="66"/>
        <v>82943.14429801135</v>
      </c>
      <c r="U270" s="301">
        <f t="shared" si="77"/>
        <v>62685.923264637961</v>
      </c>
      <c r="V270" s="301">
        <f t="shared" si="78"/>
        <v>145629.06756264932</v>
      </c>
      <c r="W270" s="301">
        <f t="shared" si="79"/>
        <v>145629.06756264932</v>
      </c>
      <c r="AA270" s="12">
        <f>+paraméterek!$B$346</f>
        <v>6.4600000000000005E-2</v>
      </c>
      <c r="AB270" s="301">
        <f t="shared" si="80"/>
        <v>3852632.7702661809</v>
      </c>
      <c r="AC270" s="301">
        <f t="shared" si="67"/>
        <v>68418.89772033169</v>
      </c>
      <c r="AD270" s="301">
        <f t="shared" si="81"/>
        <v>21401.499370243979</v>
      </c>
      <c r="AE270" s="301">
        <f t="shared" si="82"/>
        <v>89820.397090575672</v>
      </c>
      <c r="AF270" s="477">
        <f t="shared" si="83"/>
        <v>89820.397090575672</v>
      </c>
      <c r="AI270" s="543">
        <f t="shared" si="68"/>
        <v>63627.773511891697</v>
      </c>
      <c r="AJ270" s="543">
        <f t="shared" si="84"/>
        <v>8585.6411339642418</v>
      </c>
      <c r="AK270" s="300">
        <f t="shared" si="85"/>
        <v>3323584.0711205765</v>
      </c>
      <c r="AL270" s="543">
        <f t="shared" si="86"/>
        <v>72213.414645855941</v>
      </c>
      <c r="AM270" s="10">
        <f t="shared" si="87"/>
        <v>72213.414645855941</v>
      </c>
      <c r="AP270" s="437">
        <f t="shared" si="88"/>
        <v>146437.06756264932</v>
      </c>
    </row>
    <row r="271" spans="1:42" s="11" customFormat="1" hidden="1" x14ac:dyDescent="0.3">
      <c r="A271" s="775">
        <v>192</v>
      </c>
      <c r="B271" s="775">
        <f t="shared" si="69"/>
        <v>16</v>
      </c>
      <c r="C271" s="891">
        <f t="shared" si="92"/>
        <v>0.14489675614077413</v>
      </c>
      <c r="D271" s="891"/>
      <c r="E271" s="891">
        <f t="shared" si="92"/>
        <v>0.03</v>
      </c>
      <c r="F271" s="891">
        <f t="shared" si="62"/>
        <v>0.03</v>
      </c>
      <c r="G271" s="893">
        <f t="shared" si="71"/>
        <v>3015530.6474500401</v>
      </c>
      <c r="H271" s="436">
        <f t="shared" si="63"/>
        <v>59009.183368194201</v>
      </c>
      <c r="I271" s="302">
        <f t="shared" si="64"/>
        <v>0</v>
      </c>
      <c r="J271" s="301">
        <f t="shared" si="89"/>
        <v>7793.10443228233</v>
      </c>
      <c r="K271" s="301">
        <f t="shared" si="72"/>
        <v>66802.287800476537</v>
      </c>
      <c r="L271" s="10">
        <f t="shared" si="73"/>
        <v>66802.287800476537</v>
      </c>
      <c r="M271" s="302"/>
      <c r="N271" s="435">
        <f t="shared" si="74"/>
        <v>66802.287800476508</v>
      </c>
      <c r="O271" s="436">
        <f t="shared" si="65"/>
        <v>0</v>
      </c>
      <c r="P271" s="436">
        <f t="shared" si="75"/>
        <v>0</v>
      </c>
      <c r="R271" s="354">
        <f>+Hirdetmény!$AA$46</f>
        <v>0.13400000000000001</v>
      </c>
      <c r="S271" s="301">
        <f t="shared" si="76"/>
        <v>5369939.9016627911</v>
      </c>
      <c r="T271" s="301">
        <f t="shared" si="66"/>
        <v>83882.206609959438</v>
      </c>
      <c r="U271" s="301">
        <f t="shared" si="77"/>
        <v>61746.86095268988</v>
      </c>
      <c r="V271" s="301">
        <f t="shared" si="78"/>
        <v>145629.06756264932</v>
      </c>
      <c r="W271" s="301">
        <f t="shared" si="79"/>
        <v>145629.06756264932</v>
      </c>
      <c r="AA271" s="12">
        <f>+paraméterek!$B$346</f>
        <v>6.4600000000000005E-2</v>
      </c>
      <c r="AB271" s="301">
        <f t="shared" si="80"/>
        <v>3783840.4352335003</v>
      </c>
      <c r="AC271" s="301">
        <f t="shared" si="67"/>
        <v>68792.335032680683</v>
      </c>
      <c r="AD271" s="301">
        <f t="shared" si="81"/>
        <v>21028.062057894975</v>
      </c>
      <c r="AE271" s="301">
        <f t="shared" si="82"/>
        <v>89820.397090575658</v>
      </c>
      <c r="AF271" s="477">
        <f t="shared" si="83"/>
        <v>89820.397090575658</v>
      </c>
      <c r="AI271" s="543">
        <f t="shared" si="68"/>
        <v>63789.052243362821</v>
      </c>
      <c r="AJ271" s="543">
        <f t="shared" si="84"/>
        <v>8424.3624024931269</v>
      </c>
      <c r="AK271" s="300">
        <f t="shared" si="85"/>
        <v>3259795.0188772138</v>
      </c>
      <c r="AL271" s="543">
        <f t="shared" si="86"/>
        <v>72213.414645855955</v>
      </c>
      <c r="AM271" s="10">
        <f t="shared" si="87"/>
        <v>72213.414645855955</v>
      </c>
      <c r="AP271" s="437">
        <f t="shared" si="88"/>
        <v>146437.06756264932</v>
      </c>
    </row>
    <row r="272" spans="1:42" s="11" customFormat="1" hidden="1" x14ac:dyDescent="0.3">
      <c r="A272" s="775">
        <v>193</v>
      </c>
      <c r="B272" s="775">
        <f t="shared" si="69"/>
        <v>17</v>
      </c>
      <c r="C272" s="891">
        <f t="shared" si="92"/>
        <v>0.14489675614077413</v>
      </c>
      <c r="D272" s="891"/>
      <c r="E272" s="891">
        <f t="shared" si="92"/>
        <v>0.03</v>
      </c>
      <c r="F272" s="891">
        <f t="shared" ref="F272:F335" si="93">$F$7</f>
        <v>0.03</v>
      </c>
      <c r="G272" s="893">
        <f t="shared" si="71"/>
        <v>2956371.8921934473</v>
      </c>
      <c r="H272" s="436">
        <f t="shared" ref="H272:H335" si="94">IF(A272&lt;=$B$16,0,IF(A272&lt;=$B$10,PPMT(F272/360*(365/12),A272-$B$16,$B$10-$B$16,-$G$79),0))</f>
        <v>59158.755256592747</v>
      </c>
      <c r="I272" s="302">
        <f t="shared" ref="I272:I335" si="95">+IF(A272=$B$10,$C$47,0)</f>
        <v>0</v>
      </c>
      <c r="J272" s="301">
        <f t="shared" si="89"/>
        <v>7643.5325438837817</v>
      </c>
      <c r="K272" s="301">
        <f t="shared" si="72"/>
        <v>66802.287800476523</v>
      </c>
      <c r="L272" s="10">
        <f t="shared" si="73"/>
        <v>66802.287800476523</v>
      </c>
      <c r="M272" s="302"/>
      <c r="N272" s="435">
        <f t="shared" si="74"/>
        <v>66802.287800476508</v>
      </c>
      <c r="O272" s="436">
        <f t="shared" ref="O272:O335" si="96">IF(A272&lt;=$B$10,$B$54,0)</f>
        <v>0</v>
      </c>
      <c r="P272" s="436">
        <f t="shared" si="75"/>
        <v>0</v>
      </c>
      <c r="R272" s="354">
        <f>+Hirdetmény!$AA$46</f>
        <v>0.13400000000000001</v>
      </c>
      <c r="S272" s="301">
        <f t="shared" si="76"/>
        <v>5285108.0009034583</v>
      </c>
      <c r="T272" s="301">
        <f t="shared" ref="T272:T335" si="97">IF(A272&lt;=$B$10,IF(A272&gt;$B$16,PPMT(R272/360*(365/12),1,$B$10-A271,S271,$C$47*-1),0)*-1,0)</f>
        <v>84831.900759332828</v>
      </c>
      <c r="U272" s="301">
        <f t="shared" si="77"/>
        <v>60797.166803316468</v>
      </c>
      <c r="V272" s="301">
        <f t="shared" si="78"/>
        <v>145629.06756264929</v>
      </c>
      <c r="W272" s="301">
        <f t="shared" si="79"/>
        <v>145629.06756264929</v>
      </c>
      <c r="AA272" s="12">
        <f>+paraméterek!$B$346</f>
        <v>6.4600000000000005E-2</v>
      </c>
      <c r="AB272" s="301">
        <f t="shared" si="80"/>
        <v>3714672.6246295846</v>
      </c>
      <c r="AC272" s="301">
        <f t="shared" ref="AC272:AC335" si="98">IF(A272&lt;=$B$10,IF(A272&gt;$B$16,PPMT(AA272/360*(365/12),1,$B$10-A271,AB271,$C$47*-1),0)*-1,0)</f>
        <v>69167.810603915772</v>
      </c>
      <c r="AD272" s="301">
        <f t="shared" si="81"/>
        <v>20652.586486659886</v>
      </c>
      <c r="AE272" s="301">
        <f t="shared" si="82"/>
        <v>89820.397090575658</v>
      </c>
      <c r="AF272" s="477">
        <f t="shared" si="83"/>
        <v>89820.397090575658</v>
      </c>
      <c r="AI272" s="543">
        <f t="shared" ref="AI272:AI335" si="99">IF(A272&lt;=24,0,IF(A272&lt;=$B$10,IF(A272&gt;$G$22,PPMT(E272/360*(365/12),1,$B$10-A271,AK271,$G$16*-1),0)*-1,0))</f>
        <v>63950.739771618559</v>
      </c>
      <c r="AJ272" s="543">
        <f t="shared" si="84"/>
        <v>8262.674874237382</v>
      </c>
      <c r="AK272" s="300">
        <f t="shared" si="85"/>
        <v>3195844.2791055953</v>
      </c>
      <c r="AL272" s="543">
        <f t="shared" si="86"/>
        <v>72213.414645855941</v>
      </c>
      <c r="AM272" s="10">
        <f t="shared" si="87"/>
        <v>72213.414645855941</v>
      </c>
      <c r="AP272" s="437">
        <f t="shared" si="88"/>
        <v>146437.06756264929</v>
      </c>
    </row>
    <row r="273" spans="1:42" s="11" customFormat="1" hidden="1" x14ac:dyDescent="0.3">
      <c r="A273" s="775">
        <v>194</v>
      </c>
      <c r="B273" s="775">
        <f t="shared" ref="B273:B336" si="100">+ROUNDUP(A273/12,0)</f>
        <v>17</v>
      </c>
      <c r="C273" s="891">
        <f t="shared" ref="C273:E288" si="101">+C272</f>
        <v>0.14489675614077413</v>
      </c>
      <c r="D273" s="891"/>
      <c r="E273" s="891">
        <f t="shared" si="101"/>
        <v>0.03</v>
      </c>
      <c r="F273" s="891">
        <f t="shared" si="93"/>
        <v>0.03</v>
      </c>
      <c r="G273" s="893">
        <f t="shared" ref="G273:G336" si="102">+G272-H273-I273</f>
        <v>2897063.1859252667</v>
      </c>
      <c r="H273" s="436">
        <f t="shared" si="94"/>
        <v>59308.706268180642</v>
      </c>
      <c r="I273" s="302">
        <f t="shared" si="95"/>
        <v>0</v>
      </c>
      <c r="J273" s="301">
        <f t="shared" si="89"/>
        <v>7493.5815322958906</v>
      </c>
      <c r="K273" s="301">
        <f t="shared" ref="K273:K336" si="103">+(H273+J273)+IF($B$15="nem",$B$58,IF(A273&lt;$B$16+1,$B$57,$B$58)+O273)+P273+I273</f>
        <v>66802.287800476537</v>
      </c>
      <c r="L273" s="10">
        <f t="shared" ref="L273:L336" si="104">H273+I273+J273</f>
        <v>66802.287800476537</v>
      </c>
      <c r="M273" s="302"/>
      <c r="N273" s="435">
        <f t="shared" ref="N273:N336" si="105">IF(A273&lt;=$B$10,PMT($F$7*365/360/12,$B$10,-$F$66)+O273+P273+$F$52)+IF($B$15="nem",$B$58,IF(A273&lt;$B$16+1,$B$57,$B$58))</f>
        <v>66802.287800476508</v>
      </c>
      <c r="O273" s="436">
        <f t="shared" si="96"/>
        <v>0</v>
      </c>
      <c r="P273" s="436">
        <f t="shared" ref="P273:P336" si="106">IF(A273&lt;=$B$10,IF($B$30="havi",$B$28,0)+IF($B$30="negyedéves",$B$28,0)+IF($B$30="féléves",$B$28,0)+IF($B$66="éves",$B$28,0),0)</f>
        <v>0</v>
      </c>
      <c r="R273" s="354">
        <f>+Hirdetmény!$AA$46</f>
        <v>0.13400000000000001</v>
      </c>
      <c r="S273" s="301">
        <f t="shared" ref="S273:S336" si="107">+S272-T273</f>
        <v>5199315.6537862234</v>
      </c>
      <c r="T273" s="301">
        <f t="shared" si="97"/>
        <v>85792.347117235389</v>
      </c>
      <c r="U273" s="301">
        <f t="shared" ref="U273:U336" si="108">+S272*R273/360*(365/12)</f>
        <v>59836.720445413936</v>
      </c>
      <c r="V273" s="301">
        <f t="shared" ref="V273:V336" si="109">+T273+U273</f>
        <v>145629.06756264932</v>
      </c>
      <c r="W273" s="301">
        <f t="shared" ref="W273:W336" si="110">+V273+IF($B$15="nem",$B$58,IF(A273&lt;$B$16+1,$B$57,$B$58))+IF(A273&lt;=$B$10,$B$54+$F$52+P273,0)</f>
        <v>145629.06756264932</v>
      </c>
      <c r="AA273" s="12">
        <f>+paraméterek!$B$346</f>
        <v>6.4600000000000005E-2</v>
      </c>
      <c r="AB273" s="301">
        <f t="shared" ref="AB273:AB336" si="111">+AB272-AC273</f>
        <v>3645127.2890705229</v>
      </c>
      <c r="AC273" s="301">
        <f t="shared" si="98"/>
        <v>69545.335559061554</v>
      </c>
      <c r="AD273" s="301">
        <f t="shared" ref="AD273:AD336" si="112">+AB272*AA273/360*(365/12)</f>
        <v>20275.061531514119</v>
      </c>
      <c r="AE273" s="301">
        <f t="shared" ref="AE273:AE336" si="113">+AC273+AD273</f>
        <v>89820.397090575672</v>
      </c>
      <c r="AF273" s="477">
        <f t="shared" ref="AF273:AF336" si="114">+AE273+IF($B$15="nem",$B$58,IF(A273&lt;$B$16+1,$B$57,$B$58)+IF(A273&lt;=$B$10,$B$54+$F$52+P273,0))</f>
        <v>89820.397090575672</v>
      </c>
      <c r="AI273" s="543">
        <f t="shared" si="99"/>
        <v>64112.837132845241</v>
      </c>
      <c r="AJ273" s="543">
        <f t="shared" ref="AJ273:AJ336" si="115">+AK272*E273/360*(365/12)</f>
        <v>8100.5775130107113</v>
      </c>
      <c r="AK273" s="300">
        <f t="shared" ref="AK273:AK336" si="116">AK272-AI273</f>
        <v>3131731.4419727502</v>
      </c>
      <c r="AL273" s="543">
        <f t="shared" ref="AL273:AL336" si="117">AI273+AJ273</f>
        <v>72213.414645855955</v>
      </c>
      <c r="AM273" s="10">
        <f t="shared" ref="AM273:AM336" si="118">AL273+IF($B$15="nem",$B$58,IF(A273&lt;$B$16+1,$B$57,$B$58)+IF(A273&lt;=$B$10,$B$54+$F$52+P273,0))</f>
        <v>72213.414645855955</v>
      </c>
      <c r="AP273" s="437">
        <f t="shared" ref="AP273:AP336" si="119">+V273+IF($B$15="nem",$B$58,IF(A273&lt;$B$16+1,$B$57,$B$58)+O273)+IF(A273&gt;$B$10,0,IF($B$28=0,$F$58,$B$28)+I273)</f>
        <v>146437.06756264932</v>
      </c>
    </row>
    <row r="274" spans="1:42" s="11" customFormat="1" hidden="1" x14ac:dyDescent="0.3">
      <c r="A274" s="775">
        <v>195</v>
      </c>
      <c r="B274" s="775">
        <f t="shared" si="100"/>
        <v>17</v>
      </c>
      <c r="C274" s="891">
        <f t="shared" si="101"/>
        <v>0.14489675614077413</v>
      </c>
      <c r="D274" s="891"/>
      <c r="E274" s="891">
        <f t="shared" si="101"/>
        <v>0.03</v>
      </c>
      <c r="F274" s="891">
        <f t="shared" si="93"/>
        <v>0.03</v>
      </c>
      <c r="G274" s="893">
        <f t="shared" si="102"/>
        <v>2837604.148561337</v>
      </c>
      <c r="H274" s="436">
        <f t="shared" si="94"/>
        <v>59459.037363929849</v>
      </c>
      <c r="I274" s="302">
        <f t="shared" si="95"/>
        <v>0</v>
      </c>
      <c r="J274" s="301">
        <f t="shared" ref="J274:J337" si="120">+G273*F274/360*(365/12)</f>
        <v>7343.250436546683</v>
      </c>
      <c r="K274" s="301">
        <f t="shared" si="103"/>
        <v>66802.287800476537</v>
      </c>
      <c r="L274" s="10">
        <f t="shared" si="104"/>
        <v>66802.287800476537</v>
      </c>
      <c r="M274" s="302"/>
      <c r="N274" s="435">
        <f t="shared" si="105"/>
        <v>66802.287800476508</v>
      </c>
      <c r="O274" s="436">
        <f t="shared" si="96"/>
        <v>0</v>
      </c>
      <c r="P274" s="436">
        <f t="shared" si="106"/>
        <v>0</v>
      </c>
      <c r="R274" s="354">
        <f>+Hirdetmény!$AA$46</f>
        <v>0.13400000000000001</v>
      </c>
      <c r="S274" s="301">
        <f t="shared" si="107"/>
        <v>5112551.9863686394</v>
      </c>
      <c r="T274" s="301">
        <f t="shared" si="97"/>
        <v>86763.667417583521</v>
      </c>
      <c r="U274" s="301">
        <f t="shared" si="108"/>
        <v>58865.400145065796</v>
      </c>
      <c r="V274" s="301">
        <f t="shared" si="109"/>
        <v>145629.06756264932</v>
      </c>
      <c r="W274" s="301">
        <f t="shared" si="110"/>
        <v>145629.06756264932</v>
      </c>
      <c r="AA274" s="12">
        <f>+paraméterek!$B$346</f>
        <v>6.4600000000000005E-2</v>
      </c>
      <c r="AB274" s="301">
        <f t="shared" si="111"/>
        <v>3575202.3679866586</v>
      </c>
      <c r="AC274" s="301">
        <f t="shared" si="98"/>
        <v>69924.921083864116</v>
      </c>
      <c r="AD274" s="301">
        <f t="shared" si="112"/>
        <v>19895.476006711542</v>
      </c>
      <c r="AE274" s="301">
        <f t="shared" si="113"/>
        <v>89820.397090575658</v>
      </c>
      <c r="AF274" s="477">
        <f t="shared" si="114"/>
        <v>89820.397090575658</v>
      </c>
      <c r="AI274" s="543">
        <f t="shared" si="99"/>
        <v>64275.345365855574</v>
      </c>
      <c r="AJ274" s="543">
        <f t="shared" si="115"/>
        <v>7938.0692800003735</v>
      </c>
      <c r="AK274" s="300">
        <f t="shared" si="116"/>
        <v>3067456.0966068949</v>
      </c>
      <c r="AL274" s="543">
        <f t="shared" si="117"/>
        <v>72213.414645855941</v>
      </c>
      <c r="AM274" s="10">
        <f t="shared" si="118"/>
        <v>72213.414645855941</v>
      </c>
      <c r="AP274" s="437">
        <f t="shared" si="119"/>
        <v>146437.06756264932</v>
      </c>
    </row>
    <row r="275" spans="1:42" s="11" customFormat="1" hidden="1" x14ac:dyDescent="0.3">
      <c r="A275" s="775">
        <v>196</v>
      </c>
      <c r="B275" s="775">
        <f t="shared" si="100"/>
        <v>17</v>
      </c>
      <c r="C275" s="891">
        <f t="shared" si="101"/>
        <v>0.14489675614077413</v>
      </c>
      <c r="D275" s="891"/>
      <c r="E275" s="891">
        <f t="shared" si="101"/>
        <v>0.03</v>
      </c>
      <c r="F275" s="891">
        <f t="shared" si="93"/>
        <v>0.03</v>
      </c>
      <c r="G275" s="893">
        <f t="shared" si="102"/>
        <v>2777994.3990540891</v>
      </c>
      <c r="H275" s="436">
        <f t="shared" si="94"/>
        <v>59609.749507248147</v>
      </c>
      <c r="I275" s="302">
        <f t="shared" si="95"/>
        <v>0</v>
      </c>
      <c r="J275" s="301">
        <f t="shared" si="120"/>
        <v>7192.5382932283883</v>
      </c>
      <c r="K275" s="301">
        <f t="shared" si="103"/>
        <v>66802.287800476537</v>
      </c>
      <c r="L275" s="10">
        <f t="shared" si="104"/>
        <v>66802.287800476537</v>
      </c>
      <c r="M275" s="302"/>
      <c r="N275" s="435">
        <f t="shared" si="105"/>
        <v>66802.287800476508</v>
      </c>
      <c r="O275" s="436">
        <f t="shared" si="96"/>
        <v>0</v>
      </c>
      <c r="P275" s="436">
        <f t="shared" si="106"/>
        <v>0</v>
      </c>
      <c r="R275" s="354">
        <f>+Hirdetmény!$AA$46</f>
        <v>0.13400000000000001</v>
      </c>
      <c r="S275" s="301">
        <f t="shared" si="107"/>
        <v>5024806.0015961034</v>
      </c>
      <c r="T275" s="301">
        <f t="shared" si="97"/>
        <v>87745.984772535827</v>
      </c>
      <c r="U275" s="301">
        <f t="shared" si="108"/>
        <v>57883.082790113469</v>
      </c>
      <c r="V275" s="301">
        <f t="shared" si="109"/>
        <v>145629.06756264929</v>
      </c>
      <c r="W275" s="301">
        <f t="shared" si="110"/>
        <v>145629.06756264929</v>
      </c>
      <c r="AA275" s="12">
        <f>+paraméterek!$B$346</f>
        <v>6.4600000000000005E-2</v>
      </c>
      <c r="AB275" s="301">
        <f t="shared" si="111"/>
        <v>3504895.7895615362</v>
      </c>
      <c r="AC275" s="301">
        <f t="shared" si="98"/>
        <v>70306.578425122541</v>
      </c>
      <c r="AD275" s="301">
        <f t="shared" si="112"/>
        <v>19513.818665453109</v>
      </c>
      <c r="AE275" s="301">
        <f t="shared" si="113"/>
        <v>89820.397090575658</v>
      </c>
      <c r="AF275" s="477">
        <f t="shared" si="114"/>
        <v>89820.397090575658</v>
      </c>
      <c r="AI275" s="543">
        <f t="shared" si="99"/>
        <v>64438.26551209543</v>
      </c>
      <c r="AJ275" s="543">
        <f t="shared" si="115"/>
        <v>7775.1491337605321</v>
      </c>
      <c r="AK275" s="300">
        <f t="shared" si="116"/>
        <v>3003017.8310947996</v>
      </c>
      <c r="AL275" s="543">
        <f t="shared" si="117"/>
        <v>72213.414645855955</v>
      </c>
      <c r="AM275" s="10">
        <f t="shared" si="118"/>
        <v>72213.414645855955</v>
      </c>
      <c r="AP275" s="437">
        <f t="shared" si="119"/>
        <v>146437.06756264929</v>
      </c>
    </row>
    <row r="276" spans="1:42" s="11" customFormat="1" hidden="1" x14ac:dyDescent="0.3">
      <c r="A276" s="775">
        <v>197</v>
      </c>
      <c r="B276" s="775">
        <f t="shared" si="100"/>
        <v>17</v>
      </c>
      <c r="C276" s="891">
        <f t="shared" si="101"/>
        <v>0.14489675614077413</v>
      </c>
      <c r="D276" s="891"/>
      <c r="E276" s="891">
        <f t="shared" si="101"/>
        <v>0.03</v>
      </c>
      <c r="F276" s="891">
        <f t="shared" si="93"/>
        <v>0.03</v>
      </c>
      <c r="G276" s="893">
        <f t="shared" si="102"/>
        <v>2718233.5553901037</v>
      </c>
      <c r="H276" s="436">
        <f t="shared" si="94"/>
        <v>59760.843663985273</v>
      </c>
      <c r="I276" s="302">
        <f t="shared" si="95"/>
        <v>0</v>
      </c>
      <c r="J276" s="301">
        <f t="shared" si="120"/>
        <v>7041.4441364912673</v>
      </c>
      <c r="K276" s="301">
        <f t="shared" si="103"/>
        <v>66802.287800476537</v>
      </c>
      <c r="L276" s="10">
        <f t="shared" si="104"/>
        <v>66802.287800476537</v>
      </c>
      <c r="M276" s="302"/>
      <c r="N276" s="435">
        <f t="shared" si="105"/>
        <v>66802.287800476508</v>
      </c>
      <c r="O276" s="436">
        <f t="shared" si="96"/>
        <v>0</v>
      </c>
      <c r="P276" s="436">
        <f t="shared" si="106"/>
        <v>0</v>
      </c>
      <c r="R276" s="354">
        <f>+Hirdetmény!$AA$46</f>
        <v>0.13400000000000001</v>
      </c>
      <c r="S276" s="301">
        <f t="shared" si="107"/>
        <v>4936066.5779080065</v>
      </c>
      <c r="T276" s="301">
        <f t="shared" si="97"/>
        <v>88739.4236880971</v>
      </c>
      <c r="U276" s="301">
        <f t="shared" si="108"/>
        <v>56889.643874552188</v>
      </c>
      <c r="V276" s="301">
        <f t="shared" si="109"/>
        <v>145629.06756264929</v>
      </c>
      <c r="W276" s="301">
        <f t="shared" si="110"/>
        <v>145629.06756264929</v>
      </c>
      <c r="AA276" s="12">
        <f>+paraméterek!$B$346</f>
        <v>6.4600000000000005E-2</v>
      </c>
      <c r="AB276" s="301">
        <f t="shared" si="111"/>
        <v>3434205.4706705143</v>
      </c>
      <c r="AC276" s="301">
        <f t="shared" si="98"/>
        <v>70690.318891022078</v>
      </c>
      <c r="AD276" s="301">
        <f t="shared" si="112"/>
        <v>19130.078199553584</v>
      </c>
      <c r="AE276" s="301">
        <f t="shared" si="113"/>
        <v>89820.397090575658</v>
      </c>
      <c r="AF276" s="477">
        <f t="shared" si="114"/>
        <v>89820.397090575658</v>
      </c>
      <c r="AI276" s="543">
        <f t="shared" si="99"/>
        <v>64601.598615650386</v>
      </c>
      <c r="AJ276" s="543">
        <f t="shared" si="115"/>
        <v>7611.8160302055676</v>
      </c>
      <c r="AK276" s="300">
        <f t="shared" si="116"/>
        <v>2938416.232479149</v>
      </c>
      <c r="AL276" s="543">
        <f t="shared" si="117"/>
        <v>72213.414645855955</v>
      </c>
      <c r="AM276" s="10">
        <f t="shared" si="118"/>
        <v>72213.414645855955</v>
      </c>
      <c r="AP276" s="437">
        <f t="shared" si="119"/>
        <v>146437.06756264929</v>
      </c>
    </row>
    <row r="277" spans="1:42" s="11" customFormat="1" hidden="1" x14ac:dyDescent="0.3">
      <c r="A277" s="775">
        <v>198</v>
      </c>
      <c r="B277" s="775">
        <f t="shared" si="100"/>
        <v>17</v>
      </c>
      <c r="C277" s="891">
        <f t="shared" si="101"/>
        <v>0.14489675614077413</v>
      </c>
      <c r="D277" s="891"/>
      <c r="E277" s="891">
        <f t="shared" si="101"/>
        <v>0.03</v>
      </c>
      <c r="F277" s="891">
        <f t="shared" si="93"/>
        <v>0.03</v>
      </c>
      <c r="G277" s="893">
        <f t="shared" si="102"/>
        <v>2658321.2345876647</v>
      </c>
      <c r="H277" s="436">
        <f t="shared" si="94"/>
        <v>59912.320802439128</v>
      </c>
      <c r="I277" s="302">
        <f t="shared" si="95"/>
        <v>0</v>
      </c>
      <c r="J277" s="301">
        <f t="shared" si="120"/>
        <v>6889.9669980374156</v>
      </c>
      <c r="K277" s="301">
        <f t="shared" si="103"/>
        <v>66802.287800476537</v>
      </c>
      <c r="L277" s="10">
        <f t="shared" si="104"/>
        <v>66802.287800476537</v>
      </c>
      <c r="M277" s="302"/>
      <c r="N277" s="435">
        <f t="shared" si="105"/>
        <v>66802.287800476508</v>
      </c>
      <c r="O277" s="436">
        <f t="shared" si="96"/>
        <v>0</v>
      </c>
      <c r="P277" s="436">
        <f t="shared" si="106"/>
        <v>0</v>
      </c>
      <c r="R277" s="354">
        <f>+Hirdetmény!$AA$46</f>
        <v>0.13400000000000001</v>
      </c>
      <c r="S277" s="301">
        <f t="shared" si="107"/>
        <v>4846322.4678281071</v>
      </c>
      <c r="T277" s="301">
        <f t="shared" si="97"/>
        <v>89744.110079899168</v>
      </c>
      <c r="U277" s="301">
        <f t="shared" si="108"/>
        <v>55884.957482750142</v>
      </c>
      <c r="V277" s="301">
        <f t="shared" si="109"/>
        <v>145629.06756264932</v>
      </c>
      <c r="W277" s="301">
        <f t="shared" si="110"/>
        <v>145629.06756264932</v>
      </c>
      <c r="AA277" s="12">
        <f>+paraméterek!$B$346</f>
        <v>6.4600000000000005E-2</v>
      </c>
      <c r="AB277" s="301">
        <f t="shared" si="111"/>
        <v>3363129.3168190452</v>
      </c>
      <c r="AC277" s="301">
        <f t="shared" si="98"/>
        <v>71076.153851469164</v>
      </c>
      <c r="AD277" s="301">
        <f t="shared" si="112"/>
        <v>18744.243239106498</v>
      </c>
      <c r="AE277" s="301">
        <f t="shared" si="113"/>
        <v>89820.397090575658</v>
      </c>
      <c r="AF277" s="477">
        <f t="shared" si="114"/>
        <v>89820.397090575658</v>
      </c>
      <c r="AI277" s="543">
        <f t="shared" si="99"/>
        <v>64765.345723252554</v>
      </c>
      <c r="AJ277" s="543">
        <f t="shared" si="115"/>
        <v>7448.0689226033983</v>
      </c>
      <c r="AK277" s="300">
        <f t="shared" si="116"/>
        <v>2873650.8867558963</v>
      </c>
      <c r="AL277" s="543">
        <f t="shared" si="117"/>
        <v>72213.414645855955</v>
      </c>
      <c r="AM277" s="10">
        <f t="shared" si="118"/>
        <v>72213.414645855955</v>
      </c>
      <c r="AP277" s="437">
        <f t="shared" si="119"/>
        <v>146437.06756264932</v>
      </c>
    </row>
    <row r="278" spans="1:42" s="11" customFormat="1" hidden="1" x14ac:dyDescent="0.3">
      <c r="A278" s="775">
        <v>199</v>
      </c>
      <c r="B278" s="775">
        <f t="shared" si="100"/>
        <v>17</v>
      </c>
      <c r="C278" s="891">
        <f t="shared" si="101"/>
        <v>0.14489675614077413</v>
      </c>
      <c r="D278" s="891"/>
      <c r="E278" s="891">
        <f t="shared" si="101"/>
        <v>0.03</v>
      </c>
      <c r="F278" s="891">
        <f t="shared" si="93"/>
        <v>0.03</v>
      </c>
      <c r="G278" s="893">
        <f t="shared" si="102"/>
        <v>2598257.052694303</v>
      </c>
      <c r="H278" s="436">
        <f t="shared" si="94"/>
        <v>60064.181893361965</v>
      </c>
      <c r="I278" s="302">
        <f t="shared" si="95"/>
        <v>0</v>
      </c>
      <c r="J278" s="301">
        <f t="shared" si="120"/>
        <v>6738.1059071145683</v>
      </c>
      <c r="K278" s="301">
        <f t="shared" si="103"/>
        <v>66802.287800476537</v>
      </c>
      <c r="L278" s="10">
        <f t="shared" si="104"/>
        <v>66802.287800476537</v>
      </c>
      <c r="M278" s="302"/>
      <c r="N278" s="435">
        <f t="shared" si="105"/>
        <v>66802.287800476508</v>
      </c>
      <c r="O278" s="436">
        <f t="shared" si="96"/>
        <v>0</v>
      </c>
      <c r="P278" s="436">
        <f t="shared" si="106"/>
        <v>0</v>
      </c>
      <c r="R278" s="354">
        <f>+Hirdetmény!$AA$46</f>
        <v>0.13400000000000001</v>
      </c>
      <c r="S278" s="301">
        <f t="shared" si="107"/>
        <v>4755562.2965389472</v>
      </c>
      <c r="T278" s="301">
        <f t="shared" si="97"/>
        <v>90760.171289160236</v>
      </c>
      <c r="U278" s="301">
        <f t="shared" si="108"/>
        <v>54868.896273489067</v>
      </c>
      <c r="V278" s="301">
        <f t="shared" si="109"/>
        <v>145629.06756264932</v>
      </c>
      <c r="W278" s="301">
        <f t="shared" si="110"/>
        <v>145629.06756264932</v>
      </c>
      <c r="AA278" s="12">
        <f>+paraméterek!$B$346</f>
        <v>6.4600000000000005E-2</v>
      </c>
      <c r="AB278" s="301">
        <f t="shared" si="111"/>
        <v>3291665.2220806167</v>
      </c>
      <c r="AC278" s="301">
        <f t="shared" si="98"/>
        <v>71464.094738428379</v>
      </c>
      <c r="AD278" s="301">
        <f t="shared" si="112"/>
        <v>18356.302352147286</v>
      </c>
      <c r="AE278" s="301">
        <f t="shared" si="113"/>
        <v>89820.397090575658</v>
      </c>
      <c r="AF278" s="477">
        <f t="shared" si="114"/>
        <v>89820.397090575658</v>
      </c>
      <c r="AI278" s="543">
        <f t="shared" si="99"/>
        <v>64929.507884287188</v>
      </c>
      <c r="AJ278" s="543">
        <f t="shared" si="115"/>
        <v>7283.9067615687645</v>
      </c>
      <c r="AK278" s="300">
        <f t="shared" si="116"/>
        <v>2808721.378871609</v>
      </c>
      <c r="AL278" s="543">
        <f t="shared" si="117"/>
        <v>72213.414645855955</v>
      </c>
      <c r="AM278" s="10">
        <f t="shared" si="118"/>
        <v>72213.414645855955</v>
      </c>
      <c r="AP278" s="437">
        <f t="shared" si="119"/>
        <v>146437.06756264932</v>
      </c>
    </row>
    <row r="279" spans="1:42" s="11" customFormat="1" hidden="1" x14ac:dyDescent="0.3">
      <c r="A279" s="775">
        <v>200</v>
      </c>
      <c r="B279" s="775">
        <f t="shared" si="100"/>
        <v>17</v>
      </c>
      <c r="C279" s="891">
        <f t="shared" si="101"/>
        <v>0.14489675614077413</v>
      </c>
      <c r="D279" s="891"/>
      <c r="E279" s="891">
        <f t="shared" si="101"/>
        <v>0.03</v>
      </c>
      <c r="F279" s="891">
        <f t="shared" si="93"/>
        <v>0.03</v>
      </c>
      <c r="G279" s="893">
        <f t="shared" si="102"/>
        <v>2538040.6247843364</v>
      </c>
      <c r="H279" s="436">
        <f t="shared" si="94"/>
        <v>60216.427909966675</v>
      </c>
      <c r="I279" s="302">
        <f t="shared" si="95"/>
        <v>0</v>
      </c>
      <c r="J279" s="301">
        <f t="shared" si="120"/>
        <v>6585.8598905098652</v>
      </c>
      <c r="K279" s="301">
        <f t="shared" si="103"/>
        <v>66802.287800476537</v>
      </c>
      <c r="L279" s="10">
        <f t="shared" si="104"/>
        <v>66802.287800476537</v>
      </c>
      <c r="M279" s="302"/>
      <c r="N279" s="435">
        <f t="shared" si="105"/>
        <v>66802.287800476508</v>
      </c>
      <c r="O279" s="436">
        <f t="shared" si="96"/>
        <v>0</v>
      </c>
      <c r="P279" s="436">
        <f t="shared" si="106"/>
        <v>0</v>
      </c>
      <c r="R279" s="354">
        <f>+Hirdetmény!$AA$46</f>
        <v>0.13400000000000001</v>
      </c>
      <c r="S279" s="301">
        <f t="shared" si="107"/>
        <v>4663774.5604401221</v>
      </c>
      <c r="T279" s="301">
        <f t="shared" si="97"/>
        <v>91787.736098825248</v>
      </c>
      <c r="U279" s="301">
        <f t="shared" si="108"/>
        <v>53841.331463824055</v>
      </c>
      <c r="V279" s="301">
        <f t="shared" si="109"/>
        <v>145629.06756264932</v>
      </c>
      <c r="W279" s="301">
        <f t="shared" si="110"/>
        <v>145629.06756264932</v>
      </c>
      <c r="AA279" s="12">
        <f>+paraméterek!$B$346</f>
        <v>6.4600000000000005E-2</v>
      </c>
      <c r="AB279" s="301">
        <f t="shared" si="111"/>
        <v>3219811.0690343557</v>
      </c>
      <c r="AC279" s="301">
        <f t="shared" si="98"/>
        <v>71854.153046261112</v>
      </c>
      <c r="AD279" s="301">
        <f t="shared" si="112"/>
        <v>17966.244044314553</v>
      </c>
      <c r="AE279" s="301">
        <f t="shared" si="113"/>
        <v>89820.397090575658</v>
      </c>
      <c r="AF279" s="477">
        <f t="shared" si="114"/>
        <v>89820.397090575658</v>
      </c>
      <c r="AI279" s="543">
        <f t="shared" si="99"/>
        <v>65094.086150799441</v>
      </c>
      <c r="AJ279" s="543">
        <f t="shared" si="115"/>
        <v>7119.3284950565085</v>
      </c>
      <c r="AK279" s="300">
        <f t="shared" si="116"/>
        <v>2743627.2927208096</v>
      </c>
      <c r="AL279" s="543">
        <f t="shared" si="117"/>
        <v>72213.414645855955</v>
      </c>
      <c r="AM279" s="10">
        <f t="shared" si="118"/>
        <v>72213.414645855955</v>
      </c>
      <c r="AP279" s="437">
        <f t="shared" si="119"/>
        <v>146437.06756264932</v>
      </c>
    </row>
    <row r="280" spans="1:42" s="11" customFormat="1" hidden="1" x14ac:dyDescent="0.3">
      <c r="A280" s="775">
        <v>201</v>
      </c>
      <c r="B280" s="775">
        <f t="shared" si="100"/>
        <v>17</v>
      </c>
      <c r="C280" s="891">
        <f t="shared" si="101"/>
        <v>0.14489675614077413</v>
      </c>
      <c r="D280" s="891"/>
      <c r="E280" s="891">
        <f t="shared" si="101"/>
        <v>0.03</v>
      </c>
      <c r="F280" s="891">
        <f t="shared" si="93"/>
        <v>0.03</v>
      </c>
      <c r="G280" s="893">
        <f t="shared" si="102"/>
        <v>2477671.5649564033</v>
      </c>
      <c r="H280" s="436">
        <f t="shared" si="94"/>
        <v>60369.059827932906</v>
      </c>
      <c r="I280" s="302">
        <f t="shared" si="95"/>
        <v>0</v>
      </c>
      <c r="J280" s="301">
        <f t="shared" si="120"/>
        <v>6433.2279725436301</v>
      </c>
      <c r="K280" s="301">
        <f t="shared" si="103"/>
        <v>66802.287800476537</v>
      </c>
      <c r="L280" s="10">
        <f t="shared" si="104"/>
        <v>66802.287800476537</v>
      </c>
      <c r="M280" s="302"/>
      <c r="N280" s="435">
        <f t="shared" si="105"/>
        <v>66802.287800476508</v>
      </c>
      <c r="O280" s="436">
        <f t="shared" si="96"/>
        <v>0</v>
      </c>
      <c r="P280" s="436">
        <f t="shared" si="106"/>
        <v>0</v>
      </c>
      <c r="R280" s="354">
        <f>+Hirdetmény!$AA$46</f>
        <v>0.13400000000000001</v>
      </c>
      <c r="S280" s="301">
        <f t="shared" si="107"/>
        <v>4570947.6256902339</v>
      </c>
      <c r="T280" s="301">
        <f t="shared" si="97"/>
        <v>92826.934749888576</v>
      </c>
      <c r="U280" s="301">
        <f t="shared" si="108"/>
        <v>52802.132812760734</v>
      </c>
      <c r="V280" s="301">
        <f t="shared" si="109"/>
        <v>145629.06756264932</v>
      </c>
      <c r="W280" s="301">
        <f t="shared" si="110"/>
        <v>145629.06756264932</v>
      </c>
      <c r="AA280" s="12">
        <f>+paraméterek!$B$346</f>
        <v>6.4600000000000005E-2</v>
      </c>
      <c r="AB280" s="301">
        <f t="shared" si="111"/>
        <v>3147564.7287022895</v>
      </c>
      <c r="AC280" s="301">
        <f t="shared" si="98"/>
        <v>72246.34033206616</v>
      </c>
      <c r="AD280" s="301">
        <f t="shared" si="112"/>
        <v>17574.056758509509</v>
      </c>
      <c r="AE280" s="301">
        <f t="shared" si="113"/>
        <v>89820.397090575672</v>
      </c>
      <c r="AF280" s="477">
        <f t="shared" si="114"/>
        <v>89820.397090575672</v>
      </c>
      <c r="AI280" s="543">
        <f t="shared" si="99"/>
        <v>65259.081577501122</v>
      </c>
      <c r="AJ280" s="543">
        <f t="shared" si="115"/>
        <v>6954.3330683548302</v>
      </c>
      <c r="AK280" s="300">
        <f t="shared" si="116"/>
        <v>2678368.2111433083</v>
      </c>
      <c r="AL280" s="543">
        <f t="shared" si="117"/>
        <v>72213.414645855955</v>
      </c>
      <c r="AM280" s="10">
        <f t="shared" si="118"/>
        <v>72213.414645855955</v>
      </c>
      <c r="AP280" s="437">
        <f t="shared" si="119"/>
        <v>146437.06756264932</v>
      </c>
    </row>
    <row r="281" spans="1:42" s="11" customFormat="1" hidden="1" x14ac:dyDescent="0.3">
      <c r="A281" s="775">
        <v>202</v>
      </c>
      <c r="B281" s="775">
        <f t="shared" si="100"/>
        <v>17</v>
      </c>
      <c r="C281" s="891">
        <f t="shared" si="101"/>
        <v>0.14489675614077413</v>
      </c>
      <c r="D281" s="891"/>
      <c r="E281" s="891">
        <f t="shared" si="101"/>
        <v>0.03</v>
      </c>
      <c r="F281" s="891">
        <f t="shared" si="93"/>
        <v>0.03</v>
      </c>
      <c r="G281" s="893">
        <f t="shared" si="102"/>
        <v>2417149.4863309897</v>
      </c>
      <c r="H281" s="436">
        <f t="shared" si="94"/>
        <v>60522.078625413436</v>
      </c>
      <c r="I281" s="302">
        <f t="shared" si="95"/>
        <v>0</v>
      </c>
      <c r="J281" s="301">
        <f t="shared" si="120"/>
        <v>6280.2091750631062</v>
      </c>
      <c r="K281" s="301">
        <f t="shared" si="103"/>
        <v>66802.287800476537</v>
      </c>
      <c r="L281" s="10">
        <f t="shared" si="104"/>
        <v>66802.287800476537</v>
      </c>
      <c r="M281" s="302"/>
      <c r="N281" s="435">
        <f t="shared" si="105"/>
        <v>66802.287800476508</v>
      </c>
      <c r="O281" s="436">
        <f t="shared" si="96"/>
        <v>0</v>
      </c>
      <c r="P281" s="436">
        <f t="shared" si="106"/>
        <v>0</v>
      </c>
      <c r="R281" s="354">
        <f>+Hirdetmény!$AA$46</f>
        <v>0.13400000000000001</v>
      </c>
      <c r="S281" s="301">
        <f t="shared" si="107"/>
        <v>4477069.7267323323</v>
      </c>
      <c r="T281" s="301">
        <f t="shared" si="97"/>
        <v>93877.89895790178</v>
      </c>
      <c r="U281" s="301">
        <f t="shared" si="108"/>
        <v>51751.168604747538</v>
      </c>
      <c r="V281" s="301">
        <f t="shared" si="109"/>
        <v>145629.06756264932</v>
      </c>
      <c r="W281" s="301">
        <f t="shared" si="110"/>
        <v>145629.06756264932</v>
      </c>
      <c r="AA281" s="12">
        <f>+paraméterek!$B$346</f>
        <v>6.4600000000000005E-2</v>
      </c>
      <c r="AB281" s="301">
        <f t="shared" si="111"/>
        <v>3074924.0604862673</v>
      </c>
      <c r="AC281" s="301">
        <f t="shared" si="98"/>
        <v>72640.668216022124</v>
      </c>
      <c r="AD281" s="301">
        <f t="shared" si="112"/>
        <v>17179.728874553541</v>
      </c>
      <c r="AE281" s="301">
        <f t="shared" si="113"/>
        <v>89820.397090575658</v>
      </c>
      <c r="AF281" s="477">
        <f t="shared" si="114"/>
        <v>89820.397090575658</v>
      </c>
      <c r="AI281" s="543">
        <f t="shared" si="99"/>
        <v>65424.495221777419</v>
      </c>
      <c r="AJ281" s="543">
        <f t="shared" si="115"/>
        <v>6788.9194240785246</v>
      </c>
      <c r="AK281" s="300">
        <f t="shared" si="116"/>
        <v>2612943.715921531</v>
      </c>
      <c r="AL281" s="543">
        <f t="shared" si="117"/>
        <v>72213.414645855941</v>
      </c>
      <c r="AM281" s="10">
        <f t="shared" si="118"/>
        <v>72213.414645855941</v>
      </c>
      <c r="AP281" s="437">
        <f t="shared" si="119"/>
        <v>146437.06756264932</v>
      </c>
    </row>
    <row r="282" spans="1:42" s="11" customFormat="1" hidden="1" x14ac:dyDescent="0.3">
      <c r="A282" s="775">
        <v>203</v>
      </c>
      <c r="B282" s="775">
        <f t="shared" si="100"/>
        <v>17</v>
      </c>
      <c r="C282" s="891">
        <f t="shared" si="101"/>
        <v>0.14489675614077413</v>
      </c>
      <c r="D282" s="891"/>
      <c r="E282" s="891">
        <f t="shared" si="101"/>
        <v>0.03</v>
      </c>
      <c r="F282" s="891">
        <f t="shared" si="93"/>
        <v>0.03</v>
      </c>
      <c r="G282" s="893">
        <f t="shared" si="102"/>
        <v>2356474.0010479493</v>
      </c>
      <c r="H282" s="436">
        <f t="shared" si="94"/>
        <v>60675.485283040347</v>
      </c>
      <c r="I282" s="302">
        <f t="shared" si="95"/>
        <v>0</v>
      </c>
      <c r="J282" s="301">
        <f t="shared" si="120"/>
        <v>6126.8025174361892</v>
      </c>
      <c r="K282" s="301">
        <f t="shared" si="103"/>
        <v>66802.287800476537</v>
      </c>
      <c r="L282" s="10">
        <f t="shared" si="104"/>
        <v>66802.287800476537</v>
      </c>
      <c r="M282" s="302"/>
      <c r="N282" s="435">
        <f t="shared" si="105"/>
        <v>66802.287800476508</v>
      </c>
      <c r="O282" s="436">
        <f t="shared" si="96"/>
        <v>0</v>
      </c>
      <c r="P282" s="436">
        <f t="shared" si="106"/>
        <v>0</v>
      </c>
      <c r="R282" s="354">
        <f>+Hirdetmény!$AA$46</f>
        <v>0.13400000000000001</v>
      </c>
      <c r="S282" s="301">
        <f t="shared" si="107"/>
        <v>4382128.9648026638</v>
      </c>
      <c r="T282" s="301">
        <f t="shared" si="97"/>
        <v>94940.761929668224</v>
      </c>
      <c r="U282" s="301">
        <f t="shared" si="108"/>
        <v>50688.305632981115</v>
      </c>
      <c r="V282" s="301">
        <f t="shared" si="109"/>
        <v>145629.06756264935</v>
      </c>
      <c r="W282" s="301">
        <f t="shared" si="110"/>
        <v>145629.06756264935</v>
      </c>
      <c r="AA282" s="12">
        <f>+paraméterek!$B$346</f>
        <v>6.4600000000000005E-2</v>
      </c>
      <c r="AB282" s="301">
        <f t="shared" si="111"/>
        <v>3001886.9121045354</v>
      </c>
      <c r="AC282" s="301">
        <f t="shared" si="98"/>
        <v>73037.148381731749</v>
      </c>
      <c r="AD282" s="301">
        <f t="shared" si="112"/>
        <v>16783.248708843912</v>
      </c>
      <c r="AE282" s="301">
        <f t="shared" si="113"/>
        <v>89820.397090575658</v>
      </c>
      <c r="AF282" s="477">
        <f t="shared" si="114"/>
        <v>89820.397090575658</v>
      </c>
      <c r="AI282" s="543">
        <f t="shared" si="99"/>
        <v>65590.32814369374</v>
      </c>
      <c r="AJ282" s="543">
        <f t="shared" si="115"/>
        <v>6623.0865021622139</v>
      </c>
      <c r="AK282" s="300">
        <f t="shared" si="116"/>
        <v>2547353.387777837</v>
      </c>
      <c r="AL282" s="543">
        <f t="shared" si="117"/>
        <v>72213.414645855955</v>
      </c>
      <c r="AM282" s="10">
        <f t="shared" si="118"/>
        <v>72213.414645855955</v>
      </c>
      <c r="AP282" s="437">
        <f t="shared" si="119"/>
        <v>146437.06756264935</v>
      </c>
    </row>
    <row r="283" spans="1:42" s="11" customFormat="1" hidden="1" x14ac:dyDescent="0.3">
      <c r="A283" s="775">
        <v>204</v>
      </c>
      <c r="B283" s="775">
        <f t="shared" si="100"/>
        <v>17</v>
      </c>
      <c r="C283" s="891">
        <f t="shared" si="101"/>
        <v>0.14489675614077413</v>
      </c>
      <c r="D283" s="891"/>
      <c r="E283" s="891">
        <f t="shared" si="101"/>
        <v>0.03</v>
      </c>
      <c r="F283" s="891">
        <f t="shared" si="93"/>
        <v>0.03</v>
      </c>
      <c r="G283" s="893">
        <f t="shared" si="102"/>
        <v>2295644.720264018</v>
      </c>
      <c r="H283" s="436">
        <f t="shared" si="94"/>
        <v>60829.280783931383</v>
      </c>
      <c r="I283" s="302">
        <f t="shared" si="95"/>
        <v>0</v>
      </c>
      <c r="J283" s="301">
        <f t="shared" si="120"/>
        <v>5973.0070165451498</v>
      </c>
      <c r="K283" s="301">
        <f t="shared" si="103"/>
        <v>66802.287800476537</v>
      </c>
      <c r="L283" s="10">
        <f t="shared" si="104"/>
        <v>66802.287800476537</v>
      </c>
      <c r="M283" s="302"/>
      <c r="N283" s="435">
        <f t="shared" si="105"/>
        <v>66802.287800476508</v>
      </c>
      <c r="O283" s="436">
        <f t="shared" si="96"/>
        <v>0</v>
      </c>
      <c r="P283" s="436">
        <f t="shared" si="106"/>
        <v>0</v>
      </c>
      <c r="R283" s="354">
        <f>+Hirdetmény!$AA$46</f>
        <v>0.13400000000000001</v>
      </c>
      <c r="S283" s="301">
        <f t="shared" si="107"/>
        <v>4286113.3064225372</v>
      </c>
      <c r="T283" s="301">
        <f t="shared" si="97"/>
        <v>96015.658380126566</v>
      </c>
      <c r="U283" s="301">
        <f t="shared" si="108"/>
        <v>49613.409182522752</v>
      </c>
      <c r="V283" s="301">
        <f t="shared" si="109"/>
        <v>145629.06756264932</v>
      </c>
      <c r="W283" s="301">
        <f t="shared" si="110"/>
        <v>145629.06756264932</v>
      </c>
      <c r="AA283" s="12">
        <f>+paraméterek!$B$346</f>
        <v>6.4600000000000005E-2</v>
      </c>
      <c r="AB283" s="301">
        <f t="shared" si="111"/>
        <v>2928451.1195279672</v>
      </c>
      <c r="AC283" s="301">
        <f t="shared" si="98"/>
        <v>73435.792576568056</v>
      </c>
      <c r="AD283" s="301">
        <f t="shared" si="112"/>
        <v>16384.604514007602</v>
      </c>
      <c r="AE283" s="301">
        <f t="shared" si="113"/>
        <v>89820.397090575658</v>
      </c>
      <c r="AF283" s="477">
        <f t="shared" si="114"/>
        <v>89820.397090575658</v>
      </c>
      <c r="AI283" s="543">
        <f t="shared" si="99"/>
        <v>65756.581406002399</v>
      </c>
      <c r="AJ283" s="543">
        <f t="shared" si="115"/>
        <v>6456.833239853544</v>
      </c>
      <c r="AK283" s="300">
        <f t="shared" si="116"/>
        <v>2481596.8063718346</v>
      </c>
      <c r="AL283" s="543">
        <f t="shared" si="117"/>
        <v>72213.414645855941</v>
      </c>
      <c r="AM283" s="10">
        <f t="shared" si="118"/>
        <v>72213.414645855941</v>
      </c>
      <c r="AP283" s="437">
        <f t="shared" si="119"/>
        <v>146437.06756264932</v>
      </c>
    </row>
    <row r="284" spans="1:42" s="11" customFormat="1" hidden="1" x14ac:dyDescent="0.3">
      <c r="A284" s="775">
        <v>205</v>
      </c>
      <c r="B284" s="775">
        <f t="shared" si="100"/>
        <v>18</v>
      </c>
      <c r="C284" s="891">
        <f t="shared" si="101"/>
        <v>0.14489675614077413</v>
      </c>
      <c r="D284" s="891"/>
      <c r="E284" s="891">
        <f t="shared" si="101"/>
        <v>0.03</v>
      </c>
      <c r="F284" s="891">
        <f t="shared" si="93"/>
        <v>0.03</v>
      </c>
      <c r="G284" s="893">
        <f t="shared" si="102"/>
        <v>2234661.2541503217</v>
      </c>
      <c r="H284" s="436">
        <f t="shared" si="94"/>
        <v>60983.46611369621</v>
      </c>
      <c r="I284" s="302">
        <f t="shared" si="95"/>
        <v>0</v>
      </c>
      <c r="J284" s="301">
        <f t="shared" si="120"/>
        <v>5818.821686780323</v>
      </c>
      <c r="K284" s="301">
        <f t="shared" si="103"/>
        <v>66802.287800476537</v>
      </c>
      <c r="L284" s="10">
        <f t="shared" si="104"/>
        <v>66802.287800476537</v>
      </c>
      <c r="M284" s="302"/>
      <c r="N284" s="435">
        <f t="shared" si="105"/>
        <v>66802.287800476508</v>
      </c>
      <c r="O284" s="436">
        <f t="shared" si="96"/>
        <v>0</v>
      </c>
      <c r="P284" s="436">
        <f t="shared" si="106"/>
        <v>0</v>
      </c>
      <c r="R284" s="354">
        <f>+Hirdetmény!$AA$46</f>
        <v>0.13400000000000001</v>
      </c>
      <c r="S284" s="301">
        <f t="shared" si="107"/>
        <v>4189010.5818731114</v>
      </c>
      <c r="T284" s="301">
        <f t="shared" si="97"/>
        <v>97102.724549425635</v>
      </c>
      <c r="U284" s="301">
        <f t="shared" si="108"/>
        <v>48526.343013223683</v>
      </c>
      <c r="V284" s="301">
        <f t="shared" si="109"/>
        <v>145629.06756264932</v>
      </c>
      <c r="W284" s="301">
        <f t="shared" si="110"/>
        <v>145629.06756264932</v>
      </c>
      <c r="AA284" s="12">
        <f>+paraméterek!$B$346</f>
        <v>6.4600000000000005E-2</v>
      </c>
      <c r="AB284" s="301">
        <f t="shared" si="111"/>
        <v>2854614.5069159446</v>
      </c>
      <c r="AC284" s="301">
        <f t="shared" si="98"/>
        <v>73836.612612022422</v>
      </c>
      <c r="AD284" s="301">
        <f t="shared" si="112"/>
        <v>15983.784478553231</v>
      </c>
      <c r="AE284" s="301">
        <f t="shared" si="113"/>
        <v>89820.397090575658</v>
      </c>
      <c r="AF284" s="477">
        <f t="shared" si="114"/>
        <v>89820.397090575658</v>
      </c>
      <c r="AI284" s="543">
        <f t="shared" si="99"/>
        <v>65923.256074149554</v>
      </c>
      <c r="AJ284" s="543">
        <f t="shared" si="115"/>
        <v>6290.1585717063863</v>
      </c>
      <c r="AK284" s="300">
        <f t="shared" si="116"/>
        <v>2415673.550297685</v>
      </c>
      <c r="AL284" s="543">
        <f t="shared" si="117"/>
        <v>72213.414645855941</v>
      </c>
      <c r="AM284" s="10">
        <f t="shared" si="118"/>
        <v>72213.414645855941</v>
      </c>
      <c r="AP284" s="437">
        <f t="shared" si="119"/>
        <v>146437.06756264932</v>
      </c>
    </row>
    <row r="285" spans="1:42" s="11" customFormat="1" hidden="1" x14ac:dyDescent="0.3">
      <c r="A285" s="775">
        <v>206</v>
      </c>
      <c r="B285" s="775">
        <f t="shared" si="100"/>
        <v>18</v>
      </c>
      <c r="C285" s="891">
        <f t="shared" si="101"/>
        <v>0.14489675614077413</v>
      </c>
      <c r="D285" s="891"/>
      <c r="E285" s="891">
        <f t="shared" si="101"/>
        <v>0.03</v>
      </c>
      <c r="F285" s="891">
        <f t="shared" si="93"/>
        <v>0.03</v>
      </c>
      <c r="G285" s="893">
        <f t="shared" si="102"/>
        <v>2173523.2118898788</v>
      </c>
      <c r="H285" s="436">
        <f t="shared" si="94"/>
        <v>61138.042260442729</v>
      </c>
      <c r="I285" s="302">
        <f t="shared" si="95"/>
        <v>0</v>
      </c>
      <c r="J285" s="301">
        <f t="shared" si="120"/>
        <v>5664.2455400338013</v>
      </c>
      <c r="K285" s="301">
        <f t="shared" si="103"/>
        <v>66802.287800476537</v>
      </c>
      <c r="L285" s="10">
        <f t="shared" si="104"/>
        <v>66802.287800476537</v>
      </c>
      <c r="M285" s="302"/>
      <c r="N285" s="435">
        <f t="shared" si="105"/>
        <v>66802.287800476508</v>
      </c>
      <c r="O285" s="436">
        <f t="shared" si="96"/>
        <v>0</v>
      </c>
      <c r="P285" s="436">
        <f t="shared" si="106"/>
        <v>0</v>
      </c>
      <c r="R285" s="354">
        <f>+Hirdetmény!$AA$46</f>
        <v>0.13400000000000001</v>
      </c>
      <c r="S285" s="301">
        <f t="shared" si="107"/>
        <v>4090808.4836529191</v>
      </c>
      <c r="T285" s="301">
        <f t="shared" si="97"/>
        <v>98202.098220192391</v>
      </c>
      <c r="U285" s="301">
        <f t="shared" si="108"/>
        <v>47426.96934245692</v>
      </c>
      <c r="V285" s="301">
        <f t="shared" si="109"/>
        <v>145629.06756264932</v>
      </c>
      <c r="W285" s="301">
        <f t="shared" si="110"/>
        <v>145629.06756264932</v>
      </c>
      <c r="AA285" s="12">
        <f>+paraméterek!$B$346</f>
        <v>6.4600000000000005E-2</v>
      </c>
      <c r="AB285" s="301">
        <f t="shared" si="111"/>
        <v>2780374.8865518901</v>
      </c>
      <c r="AC285" s="301">
        <f t="shared" si="98"/>
        <v>74239.620364054572</v>
      </c>
      <c r="AD285" s="301">
        <f t="shared" si="112"/>
        <v>15580.77672652108</v>
      </c>
      <c r="AE285" s="301">
        <f t="shared" si="113"/>
        <v>89820.397090575658</v>
      </c>
      <c r="AF285" s="477">
        <f t="shared" si="114"/>
        <v>89820.397090575658</v>
      </c>
      <c r="AI285" s="543">
        <f t="shared" si="99"/>
        <v>66090.353216281947</v>
      </c>
      <c r="AJ285" s="543">
        <f t="shared" si="115"/>
        <v>6123.0614295739924</v>
      </c>
      <c r="AK285" s="300">
        <f t="shared" si="116"/>
        <v>2349583.1970814029</v>
      </c>
      <c r="AL285" s="543">
        <f t="shared" si="117"/>
        <v>72213.414645855941</v>
      </c>
      <c r="AM285" s="10">
        <f t="shared" si="118"/>
        <v>72213.414645855941</v>
      </c>
      <c r="AP285" s="437">
        <f t="shared" si="119"/>
        <v>146437.06756264932</v>
      </c>
    </row>
    <row r="286" spans="1:42" s="11" customFormat="1" hidden="1" x14ac:dyDescent="0.3">
      <c r="A286" s="775">
        <v>207</v>
      </c>
      <c r="B286" s="775">
        <f t="shared" si="100"/>
        <v>18</v>
      </c>
      <c r="C286" s="891">
        <f t="shared" si="101"/>
        <v>0.14489675614077413</v>
      </c>
      <c r="D286" s="891"/>
      <c r="E286" s="891">
        <f t="shared" si="101"/>
        <v>0.03</v>
      </c>
      <c r="F286" s="891">
        <f t="shared" si="93"/>
        <v>0.03</v>
      </c>
      <c r="G286" s="893">
        <f t="shared" si="102"/>
        <v>2112230.2016750956</v>
      </c>
      <c r="H286" s="436">
        <f t="shared" si="94"/>
        <v>61293.01021478344</v>
      </c>
      <c r="I286" s="302">
        <f t="shared" si="95"/>
        <v>0</v>
      </c>
      <c r="J286" s="301">
        <f t="shared" si="120"/>
        <v>5509.2775856930957</v>
      </c>
      <c r="K286" s="301">
        <f t="shared" si="103"/>
        <v>66802.287800476537</v>
      </c>
      <c r="L286" s="10">
        <f t="shared" si="104"/>
        <v>66802.287800476537</v>
      </c>
      <c r="M286" s="302"/>
      <c r="N286" s="435">
        <f t="shared" si="105"/>
        <v>66802.287800476508</v>
      </c>
      <c r="O286" s="436">
        <f t="shared" si="96"/>
        <v>0</v>
      </c>
      <c r="P286" s="436">
        <f t="shared" si="106"/>
        <v>0</v>
      </c>
      <c r="R286" s="354">
        <f>+Hirdetmény!$AA$46</f>
        <v>0.13400000000000001</v>
      </c>
      <c r="S286" s="301">
        <f t="shared" si="107"/>
        <v>3991494.5649179234</v>
      </c>
      <c r="T286" s="301">
        <f t="shared" si="97"/>
        <v>99313.918734995561</v>
      </c>
      <c r="U286" s="301">
        <f t="shared" si="108"/>
        <v>46315.148827653771</v>
      </c>
      <c r="V286" s="301">
        <f t="shared" si="109"/>
        <v>145629.06756264932</v>
      </c>
      <c r="W286" s="301">
        <f t="shared" si="110"/>
        <v>145629.06756264932</v>
      </c>
      <c r="AA286" s="12">
        <f>+paraméterek!$B$346</f>
        <v>6.4600000000000005E-2</v>
      </c>
      <c r="AB286" s="301">
        <f t="shared" si="111"/>
        <v>2705730.0587784457</v>
      </c>
      <c r="AC286" s="301">
        <f t="shared" si="98"/>
        <v>74644.827773444398</v>
      </c>
      <c r="AD286" s="301">
        <f t="shared" si="112"/>
        <v>15175.569317131256</v>
      </c>
      <c r="AE286" s="301">
        <f t="shared" si="113"/>
        <v>89820.397090575658</v>
      </c>
      <c r="AF286" s="477">
        <f t="shared" si="114"/>
        <v>89820.397090575658</v>
      </c>
      <c r="AI286" s="543">
        <f t="shared" si="99"/>
        <v>66257.873903253771</v>
      </c>
      <c r="AJ286" s="543">
        <f t="shared" si="115"/>
        <v>5955.5407426021675</v>
      </c>
      <c r="AK286" s="300">
        <f t="shared" si="116"/>
        <v>2283325.3231781493</v>
      </c>
      <c r="AL286" s="543">
        <f t="shared" si="117"/>
        <v>72213.414645855941</v>
      </c>
      <c r="AM286" s="10">
        <f t="shared" si="118"/>
        <v>72213.414645855941</v>
      </c>
      <c r="AP286" s="437">
        <f t="shared" si="119"/>
        <v>146437.06756264932</v>
      </c>
    </row>
    <row r="287" spans="1:42" s="11" customFormat="1" hidden="1" x14ac:dyDescent="0.3">
      <c r="A287" s="775">
        <v>208</v>
      </c>
      <c r="B287" s="775">
        <f t="shared" si="100"/>
        <v>18</v>
      </c>
      <c r="C287" s="891">
        <f t="shared" si="101"/>
        <v>0.14489675614077413</v>
      </c>
      <c r="D287" s="891"/>
      <c r="E287" s="891">
        <f t="shared" si="101"/>
        <v>0.03</v>
      </c>
      <c r="F287" s="891">
        <f t="shared" si="93"/>
        <v>0.03</v>
      </c>
      <c r="G287" s="893">
        <f t="shared" si="102"/>
        <v>2050781.8307052539</v>
      </c>
      <c r="H287" s="436">
        <f t="shared" si="94"/>
        <v>61448.370969841744</v>
      </c>
      <c r="I287" s="302">
        <f t="shared" si="95"/>
        <v>0</v>
      </c>
      <c r="J287" s="301">
        <f t="shared" si="120"/>
        <v>5353.916830634791</v>
      </c>
      <c r="K287" s="301">
        <f t="shared" si="103"/>
        <v>66802.287800476537</v>
      </c>
      <c r="L287" s="10">
        <f t="shared" si="104"/>
        <v>66802.287800476537</v>
      </c>
      <c r="M287" s="302"/>
      <c r="N287" s="435">
        <f t="shared" si="105"/>
        <v>66802.287800476508</v>
      </c>
      <c r="O287" s="436">
        <f t="shared" si="96"/>
        <v>0</v>
      </c>
      <c r="P287" s="436">
        <f t="shared" si="106"/>
        <v>0</v>
      </c>
      <c r="R287" s="354">
        <f>+Hirdetmény!$AA$46</f>
        <v>0.13400000000000001</v>
      </c>
      <c r="S287" s="301">
        <f t="shared" si="107"/>
        <v>3891056.2379039167</v>
      </c>
      <c r="T287" s="301">
        <f t="shared" si="97"/>
        <v>100438.32701400681</v>
      </c>
      <c r="U287" s="301">
        <f t="shared" si="108"/>
        <v>45190.740548642512</v>
      </c>
      <c r="V287" s="301">
        <f t="shared" si="109"/>
        <v>145629.06756264932</v>
      </c>
      <c r="W287" s="301">
        <f t="shared" si="110"/>
        <v>145629.06756264932</v>
      </c>
      <c r="AA287" s="12">
        <f>+paraméterek!$B$346</f>
        <v>6.4600000000000005E-2</v>
      </c>
      <c r="AB287" s="301">
        <f t="shared" si="111"/>
        <v>2630677.8119322998</v>
      </c>
      <c r="AC287" s="301">
        <f t="shared" si="98"/>
        <v>75052.24684614579</v>
      </c>
      <c r="AD287" s="301">
        <f t="shared" si="112"/>
        <v>14768.150244429857</v>
      </c>
      <c r="AE287" s="301">
        <f t="shared" si="113"/>
        <v>89820.397090575643</v>
      </c>
      <c r="AF287" s="477">
        <f t="shared" si="114"/>
        <v>89820.397090575643</v>
      </c>
      <c r="AI287" s="543">
        <f t="shared" si="99"/>
        <v>66425.819208633548</v>
      </c>
      <c r="AJ287" s="543">
        <f t="shared" si="115"/>
        <v>5787.5954372223923</v>
      </c>
      <c r="AK287" s="300">
        <f t="shared" si="116"/>
        <v>2216899.5039695157</v>
      </c>
      <c r="AL287" s="543">
        <f t="shared" si="117"/>
        <v>72213.414645855941</v>
      </c>
      <c r="AM287" s="10">
        <f t="shared" si="118"/>
        <v>72213.414645855941</v>
      </c>
      <c r="AP287" s="437">
        <f t="shared" si="119"/>
        <v>146437.06756264932</v>
      </c>
    </row>
    <row r="288" spans="1:42" s="11" customFormat="1" hidden="1" x14ac:dyDescent="0.3">
      <c r="A288" s="775">
        <v>209</v>
      </c>
      <c r="B288" s="775">
        <f t="shared" si="100"/>
        <v>18</v>
      </c>
      <c r="C288" s="891">
        <f t="shared" si="101"/>
        <v>0.14489675614077413</v>
      </c>
      <c r="D288" s="891"/>
      <c r="E288" s="891">
        <f t="shared" si="101"/>
        <v>0.03</v>
      </c>
      <c r="F288" s="891">
        <f t="shared" si="93"/>
        <v>0.03</v>
      </c>
      <c r="G288" s="893">
        <f t="shared" si="102"/>
        <v>1989177.7051839954</v>
      </c>
      <c r="H288" s="436">
        <f t="shared" si="94"/>
        <v>61604.125521258364</v>
      </c>
      <c r="I288" s="302">
        <f t="shared" si="95"/>
        <v>0</v>
      </c>
      <c r="J288" s="301">
        <f t="shared" si="120"/>
        <v>5198.1622792181779</v>
      </c>
      <c r="K288" s="301">
        <f t="shared" si="103"/>
        <v>66802.287800476537</v>
      </c>
      <c r="L288" s="10">
        <f t="shared" si="104"/>
        <v>66802.287800476537</v>
      </c>
      <c r="M288" s="302"/>
      <c r="N288" s="435">
        <f t="shared" si="105"/>
        <v>66802.287800476508</v>
      </c>
      <c r="O288" s="436">
        <f t="shared" si="96"/>
        <v>0</v>
      </c>
      <c r="P288" s="436">
        <f t="shared" si="106"/>
        <v>0</v>
      </c>
      <c r="R288" s="354">
        <f>+Hirdetmény!$AA$46</f>
        <v>0.13400000000000001</v>
      </c>
      <c r="S288" s="301">
        <f t="shared" si="107"/>
        <v>3789480.7723310548</v>
      </c>
      <c r="T288" s="301">
        <f t="shared" si="97"/>
        <v>101575.46557286216</v>
      </c>
      <c r="U288" s="301">
        <f t="shared" si="108"/>
        <v>44053.601989787174</v>
      </c>
      <c r="V288" s="301">
        <f t="shared" si="109"/>
        <v>145629.06756264932</v>
      </c>
      <c r="W288" s="301">
        <f t="shared" si="110"/>
        <v>145629.06756264932</v>
      </c>
      <c r="AA288" s="12">
        <f>+paraméterek!$B$346</f>
        <v>6.4600000000000005E-2</v>
      </c>
      <c r="AB288" s="301">
        <f t="shared" si="111"/>
        <v>2555215.9222786576</v>
      </c>
      <c r="AC288" s="301">
        <f t="shared" si="98"/>
        <v>75461.889653642385</v>
      </c>
      <c r="AD288" s="301">
        <f t="shared" si="112"/>
        <v>14358.507436933263</v>
      </c>
      <c r="AE288" s="301">
        <f t="shared" si="113"/>
        <v>89820.397090575643</v>
      </c>
      <c r="AF288" s="477">
        <f t="shared" si="114"/>
        <v>89820.397090575643</v>
      </c>
      <c r="AI288" s="543">
        <f t="shared" si="99"/>
        <v>66594.190208710977</v>
      </c>
      <c r="AJ288" s="543">
        <f t="shared" si="115"/>
        <v>5619.2244371449533</v>
      </c>
      <c r="AK288" s="300">
        <f t="shared" si="116"/>
        <v>2150305.3137608045</v>
      </c>
      <c r="AL288" s="543">
        <f t="shared" si="117"/>
        <v>72213.414645855926</v>
      </c>
      <c r="AM288" s="10">
        <f t="shared" si="118"/>
        <v>72213.414645855926</v>
      </c>
      <c r="AP288" s="437">
        <f t="shared" si="119"/>
        <v>146437.06756264932</v>
      </c>
    </row>
    <row r="289" spans="1:42" s="11" customFormat="1" hidden="1" x14ac:dyDescent="0.3">
      <c r="A289" s="775">
        <v>210</v>
      </c>
      <c r="B289" s="775">
        <f t="shared" si="100"/>
        <v>18</v>
      </c>
      <c r="C289" s="891">
        <f t="shared" ref="C289:E304" si="121">+C288</f>
        <v>0.14489675614077413</v>
      </c>
      <c r="D289" s="891"/>
      <c r="E289" s="891">
        <f t="shared" si="121"/>
        <v>0.03</v>
      </c>
      <c r="F289" s="891">
        <f t="shared" si="93"/>
        <v>0.03</v>
      </c>
      <c r="G289" s="893">
        <f t="shared" si="102"/>
        <v>1927417.4303167977</v>
      </c>
      <c r="H289" s="436">
        <f t="shared" si="94"/>
        <v>61760.274867197659</v>
      </c>
      <c r="I289" s="302">
        <f t="shared" si="95"/>
        <v>0</v>
      </c>
      <c r="J289" s="301">
        <f t="shared" si="120"/>
        <v>5042.0129332788765</v>
      </c>
      <c r="K289" s="301">
        <f t="shared" si="103"/>
        <v>66802.287800476537</v>
      </c>
      <c r="L289" s="10">
        <f t="shared" si="104"/>
        <v>66802.287800476537</v>
      </c>
      <c r="M289" s="302"/>
      <c r="N289" s="435">
        <f t="shared" si="105"/>
        <v>66802.287800476508</v>
      </c>
      <c r="O289" s="436">
        <f t="shared" si="96"/>
        <v>0</v>
      </c>
      <c r="P289" s="436">
        <f t="shared" si="106"/>
        <v>0</v>
      </c>
      <c r="R289" s="354">
        <f>+Hirdetmény!$AA$46</f>
        <v>0.13400000000000001</v>
      </c>
      <c r="S289" s="301">
        <f t="shared" si="107"/>
        <v>3686755.2937903297</v>
      </c>
      <c r="T289" s="301">
        <f t="shared" si="97"/>
        <v>102725.47854072528</v>
      </c>
      <c r="U289" s="301">
        <f t="shared" si="108"/>
        <v>42903.589021924054</v>
      </c>
      <c r="V289" s="301">
        <f t="shared" si="109"/>
        <v>145629.06756264932</v>
      </c>
      <c r="W289" s="301">
        <f t="shared" si="110"/>
        <v>145629.06756264932</v>
      </c>
      <c r="AA289" s="12">
        <f>+paraméterek!$B$346</f>
        <v>6.4600000000000005E-2</v>
      </c>
      <c r="AB289" s="301">
        <f t="shared" si="111"/>
        <v>2479342.1539453524</v>
      </c>
      <c r="AC289" s="301">
        <f t="shared" si="98"/>
        <v>75873.768333305183</v>
      </c>
      <c r="AD289" s="301">
        <f t="shared" si="112"/>
        <v>13946.62875727048</v>
      </c>
      <c r="AE289" s="301">
        <f t="shared" si="113"/>
        <v>89820.397090575658</v>
      </c>
      <c r="AF289" s="477">
        <f t="shared" si="114"/>
        <v>89820.397090575658</v>
      </c>
      <c r="AI289" s="543">
        <f t="shared" si="99"/>
        <v>66762.987982503895</v>
      </c>
      <c r="AJ289" s="543">
        <f t="shared" si="115"/>
        <v>5450.4266633520392</v>
      </c>
      <c r="AK289" s="300">
        <f t="shared" si="116"/>
        <v>2083542.3257783006</v>
      </c>
      <c r="AL289" s="543">
        <f t="shared" si="117"/>
        <v>72213.414645855941</v>
      </c>
      <c r="AM289" s="10">
        <f t="shared" si="118"/>
        <v>72213.414645855941</v>
      </c>
      <c r="AP289" s="437">
        <f t="shared" si="119"/>
        <v>146437.06756264932</v>
      </c>
    </row>
    <row r="290" spans="1:42" s="11" customFormat="1" hidden="1" x14ac:dyDescent="0.3">
      <c r="A290" s="775">
        <v>211</v>
      </c>
      <c r="B290" s="775">
        <f t="shared" si="100"/>
        <v>18</v>
      </c>
      <c r="C290" s="891">
        <f t="shared" si="121"/>
        <v>0.14489675614077413</v>
      </c>
      <c r="D290" s="891"/>
      <c r="E290" s="891">
        <f t="shared" si="121"/>
        <v>0.03</v>
      </c>
      <c r="F290" s="891">
        <f t="shared" si="93"/>
        <v>0.03</v>
      </c>
      <c r="G290" s="893">
        <f t="shared" si="102"/>
        <v>1865500.6103084437</v>
      </c>
      <c r="H290" s="436">
        <f t="shared" si="94"/>
        <v>61916.820008354094</v>
      </c>
      <c r="I290" s="302">
        <f t="shared" si="95"/>
        <v>0</v>
      </c>
      <c r="J290" s="301">
        <f t="shared" si="120"/>
        <v>4885.4677921224393</v>
      </c>
      <c r="K290" s="301">
        <f t="shared" si="103"/>
        <v>66802.287800476537</v>
      </c>
      <c r="L290" s="10">
        <f t="shared" si="104"/>
        <v>66802.287800476537</v>
      </c>
      <c r="M290" s="302"/>
      <c r="N290" s="435">
        <f t="shared" si="105"/>
        <v>66802.287800476508</v>
      </c>
      <c r="O290" s="436">
        <f t="shared" si="96"/>
        <v>0</v>
      </c>
      <c r="P290" s="436">
        <f t="shared" si="106"/>
        <v>0</v>
      </c>
      <c r="R290" s="354">
        <f>+Hirdetmény!$AA$46</f>
        <v>0.13400000000000001</v>
      </c>
      <c r="S290" s="301">
        <f t="shared" si="107"/>
        <v>3582866.7821117742</v>
      </c>
      <c r="T290" s="301">
        <f t="shared" si="97"/>
        <v>103888.51167855559</v>
      </c>
      <c r="U290" s="301">
        <f t="shared" si="108"/>
        <v>41740.555884093759</v>
      </c>
      <c r="V290" s="301">
        <f t="shared" si="109"/>
        <v>145629.06756264935</v>
      </c>
      <c r="W290" s="301">
        <f t="shared" si="110"/>
        <v>145629.06756264935</v>
      </c>
      <c r="AA290" s="12">
        <f>+paraméterek!$B$346</f>
        <v>6.4600000000000005E-2</v>
      </c>
      <c r="AB290" s="301">
        <f t="shared" si="111"/>
        <v>2403054.2588566002</v>
      </c>
      <c r="AC290" s="301">
        <f t="shared" si="98"/>
        <v>76287.89508875215</v>
      </c>
      <c r="AD290" s="301">
        <f t="shared" si="112"/>
        <v>13532.502001823488</v>
      </c>
      <c r="AE290" s="301">
        <f t="shared" si="113"/>
        <v>89820.397090575643</v>
      </c>
      <c r="AF290" s="477">
        <f t="shared" si="114"/>
        <v>89820.397090575643</v>
      </c>
      <c r="AI290" s="543">
        <f t="shared" si="99"/>
        <v>66932.213611765095</v>
      </c>
      <c r="AJ290" s="543">
        <f t="shared" si="115"/>
        <v>5281.2010340908319</v>
      </c>
      <c r="AK290" s="300">
        <f t="shared" si="116"/>
        <v>2016610.1121665356</v>
      </c>
      <c r="AL290" s="543">
        <f t="shared" si="117"/>
        <v>72213.414645855926</v>
      </c>
      <c r="AM290" s="10">
        <f t="shared" si="118"/>
        <v>72213.414645855926</v>
      </c>
      <c r="AP290" s="437">
        <f t="shared" si="119"/>
        <v>146437.06756264935</v>
      </c>
    </row>
    <row r="291" spans="1:42" s="11" customFormat="1" hidden="1" x14ac:dyDescent="0.3">
      <c r="A291" s="775">
        <v>212</v>
      </c>
      <c r="B291" s="775">
        <f t="shared" si="100"/>
        <v>18</v>
      </c>
      <c r="C291" s="891">
        <f t="shared" si="121"/>
        <v>0.14489675614077413</v>
      </c>
      <c r="D291" s="891"/>
      <c r="E291" s="891">
        <f t="shared" si="121"/>
        <v>0.03</v>
      </c>
      <c r="F291" s="891">
        <f t="shared" si="93"/>
        <v>0.03</v>
      </c>
      <c r="G291" s="893">
        <f t="shared" si="102"/>
        <v>1803426.8483604852</v>
      </c>
      <c r="H291" s="436">
        <f t="shared" si="94"/>
        <v>62073.761947958606</v>
      </c>
      <c r="I291" s="302">
        <f t="shared" si="95"/>
        <v>0</v>
      </c>
      <c r="J291" s="301">
        <f t="shared" si="120"/>
        <v>4728.5258525179297</v>
      </c>
      <c r="K291" s="301">
        <f t="shared" si="103"/>
        <v>66802.287800476537</v>
      </c>
      <c r="L291" s="10">
        <f t="shared" si="104"/>
        <v>66802.287800476537</v>
      </c>
      <c r="M291" s="302"/>
      <c r="N291" s="435">
        <f t="shared" si="105"/>
        <v>66802.287800476508</v>
      </c>
      <c r="O291" s="436">
        <f t="shared" si="96"/>
        <v>0</v>
      </c>
      <c r="P291" s="436">
        <f t="shared" si="106"/>
        <v>0</v>
      </c>
      <c r="R291" s="354">
        <f>+Hirdetmény!$AA$46</f>
        <v>0.13400000000000001</v>
      </c>
      <c r="S291" s="301">
        <f t="shared" si="107"/>
        <v>3477802.0697141914</v>
      </c>
      <c r="T291" s="301">
        <f t="shared" si="97"/>
        <v>105064.71239758293</v>
      </c>
      <c r="U291" s="301">
        <f t="shared" si="108"/>
        <v>40564.355165066409</v>
      </c>
      <c r="V291" s="301">
        <f t="shared" si="109"/>
        <v>145629.06756264935</v>
      </c>
      <c r="W291" s="301">
        <f t="shared" si="110"/>
        <v>145629.06756264935</v>
      </c>
      <c r="AA291" s="12">
        <f>+paraméterek!$B$346</f>
        <v>6.4600000000000005E-2</v>
      </c>
      <c r="AB291" s="301">
        <f t="shared" si="111"/>
        <v>2326349.97666639</v>
      </c>
      <c r="AC291" s="301">
        <f t="shared" si="98"/>
        <v>76704.282190209953</v>
      </c>
      <c r="AD291" s="301">
        <f t="shared" si="112"/>
        <v>13116.11490036569</v>
      </c>
      <c r="AE291" s="301">
        <f t="shared" si="113"/>
        <v>89820.397090575643</v>
      </c>
      <c r="AF291" s="477">
        <f t="shared" si="114"/>
        <v>89820.397090575643</v>
      </c>
      <c r="AI291" s="543">
        <f t="shared" si="99"/>
        <v>67101.868180989361</v>
      </c>
      <c r="AJ291" s="543">
        <f t="shared" si="115"/>
        <v>5111.5464648665666</v>
      </c>
      <c r="AK291" s="300">
        <f t="shared" si="116"/>
        <v>1949508.2439855463</v>
      </c>
      <c r="AL291" s="543">
        <f t="shared" si="117"/>
        <v>72213.414645855926</v>
      </c>
      <c r="AM291" s="10">
        <f t="shared" si="118"/>
        <v>72213.414645855926</v>
      </c>
      <c r="AP291" s="437">
        <f t="shared" si="119"/>
        <v>146437.06756264935</v>
      </c>
    </row>
    <row r="292" spans="1:42" s="11" customFormat="1" hidden="1" x14ac:dyDescent="0.3">
      <c r="A292" s="775">
        <v>213</v>
      </c>
      <c r="B292" s="775">
        <f t="shared" si="100"/>
        <v>18</v>
      </c>
      <c r="C292" s="891">
        <f t="shared" si="121"/>
        <v>0.14489675614077413</v>
      </c>
      <c r="D292" s="891"/>
      <c r="E292" s="891">
        <f t="shared" si="121"/>
        <v>0.03</v>
      </c>
      <c r="F292" s="891">
        <f t="shared" si="93"/>
        <v>0.03</v>
      </c>
      <c r="G292" s="893">
        <f t="shared" si="102"/>
        <v>1741195.7466687001</v>
      </c>
      <c r="H292" s="436">
        <f t="shared" si="94"/>
        <v>62231.101691785021</v>
      </c>
      <c r="I292" s="302">
        <f t="shared" si="95"/>
        <v>0</v>
      </c>
      <c r="J292" s="301">
        <f t="shared" si="120"/>
        <v>4571.1861086915069</v>
      </c>
      <c r="K292" s="301">
        <f t="shared" si="103"/>
        <v>66802.287800476523</v>
      </c>
      <c r="L292" s="10">
        <f t="shared" si="104"/>
        <v>66802.287800476523</v>
      </c>
      <c r="M292" s="302"/>
      <c r="N292" s="435">
        <f t="shared" si="105"/>
        <v>66802.287800476508</v>
      </c>
      <c r="O292" s="436">
        <f t="shared" si="96"/>
        <v>0</v>
      </c>
      <c r="P292" s="436">
        <f t="shared" si="106"/>
        <v>0</v>
      </c>
      <c r="R292" s="354">
        <f>+Hirdetmény!$AA$46</f>
        <v>0.13400000000000001</v>
      </c>
      <c r="S292" s="301">
        <f t="shared" si="107"/>
        <v>3371547.8399361996</v>
      </c>
      <c r="T292" s="301">
        <f t="shared" si="97"/>
        <v>106254.2297779917</v>
      </c>
      <c r="U292" s="301">
        <f t="shared" si="108"/>
        <v>39374.83778465767</v>
      </c>
      <c r="V292" s="301">
        <f t="shared" si="109"/>
        <v>145629.06756264938</v>
      </c>
      <c r="W292" s="301">
        <f t="shared" si="110"/>
        <v>145629.06756264938</v>
      </c>
      <c r="AA292" s="12">
        <f>+paraméterek!$B$346</f>
        <v>6.4600000000000005E-2</v>
      </c>
      <c r="AB292" s="301">
        <f t="shared" si="111"/>
        <v>2249227.0346915126</v>
      </c>
      <c r="AC292" s="301">
        <f t="shared" si="98"/>
        <v>77122.941974877307</v>
      </c>
      <c r="AD292" s="301">
        <f t="shared" si="112"/>
        <v>12697.455115698338</v>
      </c>
      <c r="AE292" s="301">
        <f t="shared" si="113"/>
        <v>89820.397090575643</v>
      </c>
      <c r="AF292" s="477">
        <f t="shared" si="114"/>
        <v>89820.397090575643</v>
      </c>
      <c r="AI292" s="543">
        <f t="shared" si="99"/>
        <v>67271.952777420345</v>
      </c>
      <c r="AJ292" s="543">
        <f t="shared" si="115"/>
        <v>4941.4618684355864</v>
      </c>
      <c r="AK292" s="300">
        <f t="shared" si="116"/>
        <v>1882236.2912081259</v>
      </c>
      <c r="AL292" s="543">
        <f t="shared" si="117"/>
        <v>72213.414645855926</v>
      </c>
      <c r="AM292" s="10">
        <f t="shared" si="118"/>
        <v>72213.414645855926</v>
      </c>
      <c r="AP292" s="437">
        <f t="shared" si="119"/>
        <v>146437.06756264938</v>
      </c>
    </row>
    <row r="293" spans="1:42" s="11" customFormat="1" hidden="1" x14ac:dyDescent="0.3">
      <c r="A293" s="775">
        <v>214</v>
      </c>
      <c r="B293" s="775">
        <f t="shared" si="100"/>
        <v>18</v>
      </c>
      <c r="C293" s="891">
        <f t="shared" si="121"/>
        <v>0.14489675614077413</v>
      </c>
      <c r="D293" s="891"/>
      <c r="E293" s="891">
        <f t="shared" si="121"/>
        <v>0.03</v>
      </c>
      <c r="F293" s="891">
        <f t="shared" si="93"/>
        <v>0.03</v>
      </c>
      <c r="G293" s="893">
        <f t="shared" si="102"/>
        <v>1678806.9064205436</v>
      </c>
      <c r="H293" s="436">
        <f t="shared" si="94"/>
        <v>62388.840248156564</v>
      </c>
      <c r="I293" s="302">
        <f t="shared" si="95"/>
        <v>0</v>
      </c>
      <c r="J293" s="301">
        <f t="shared" si="120"/>
        <v>4413.447552319969</v>
      </c>
      <c r="K293" s="301">
        <f t="shared" si="103"/>
        <v>66802.287800476537</v>
      </c>
      <c r="L293" s="10">
        <f t="shared" si="104"/>
        <v>66802.287800476537</v>
      </c>
      <c r="M293" s="302"/>
      <c r="N293" s="435">
        <f t="shared" si="105"/>
        <v>66802.287800476508</v>
      </c>
      <c r="O293" s="436">
        <f t="shared" si="96"/>
        <v>0</v>
      </c>
      <c r="P293" s="436">
        <f t="shared" si="106"/>
        <v>0</v>
      </c>
      <c r="R293" s="354">
        <f>+Hirdetmény!$AA$46</f>
        <v>0.13400000000000001</v>
      </c>
      <c r="S293" s="301">
        <f t="shared" si="107"/>
        <v>3264090.6253483836</v>
      </c>
      <c r="T293" s="301">
        <f t="shared" si="97"/>
        <v>107457.2145878161</v>
      </c>
      <c r="U293" s="301">
        <f t="shared" si="108"/>
        <v>38171.852974833229</v>
      </c>
      <c r="V293" s="301">
        <f t="shared" si="109"/>
        <v>145629.06756264932</v>
      </c>
      <c r="W293" s="301">
        <f t="shared" si="110"/>
        <v>145629.06756264932</v>
      </c>
      <c r="AA293" s="12">
        <f>+paraméterek!$B$346</f>
        <v>6.4600000000000005E-2</v>
      </c>
      <c r="AB293" s="301">
        <f t="shared" si="111"/>
        <v>2171683.1478442219</v>
      </c>
      <c r="AC293" s="301">
        <f t="shared" si="98"/>
        <v>77543.886847290647</v>
      </c>
      <c r="AD293" s="301">
        <f t="shared" si="112"/>
        <v>12276.510243284994</v>
      </c>
      <c r="AE293" s="301">
        <f t="shared" si="113"/>
        <v>89820.397090575643</v>
      </c>
      <c r="AF293" s="477">
        <f t="shared" si="114"/>
        <v>89820.397090575643</v>
      </c>
      <c r="AI293" s="543">
        <f t="shared" si="99"/>
        <v>67442.468491057574</v>
      </c>
      <c r="AJ293" s="543">
        <f t="shared" si="115"/>
        <v>4770.9461547983747</v>
      </c>
      <c r="AK293" s="300">
        <f t="shared" si="116"/>
        <v>1814793.8227170683</v>
      </c>
      <c r="AL293" s="543">
        <f t="shared" si="117"/>
        <v>72213.414645855955</v>
      </c>
      <c r="AM293" s="10">
        <f t="shared" si="118"/>
        <v>72213.414645855955</v>
      </c>
      <c r="AP293" s="437">
        <f t="shared" si="119"/>
        <v>146437.06756264932</v>
      </c>
    </row>
    <row r="294" spans="1:42" s="11" customFormat="1" hidden="1" x14ac:dyDescent="0.3">
      <c r="A294" s="775">
        <v>215</v>
      </c>
      <c r="B294" s="775">
        <f t="shared" si="100"/>
        <v>18</v>
      </c>
      <c r="C294" s="891">
        <f t="shared" si="121"/>
        <v>0.14489675614077413</v>
      </c>
      <c r="D294" s="891"/>
      <c r="E294" s="891">
        <f t="shared" si="121"/>
        <v>0.03</v>
      </c>
      <c r="F294" s="891">
        <f t="shared" si="93"/>
        <v>0.03</v>
      </c>
      <c r="G294" s="893">
        <f t="shared" si="102"/>
        <v>1616259.9277925913</v>
      </c>
      <c r="H294" s="436">
        <f t="shared" si="94"/>
        <v>62546.978627952238</v>
      </c>
      <c r="I294" s="302">
        <f t="shared" si="95"/>
        <v>0</v>
      </c>
      <c r="J294" s="301">
        <f t="shared" si="120"/>
        <v>4255.3091725242939</v>
      </c>
      <c r="K294" s="301">
        <f t="shared" si="103"/>
        <v>66802.287800476537</v>
      </c>
      <c r="L294" s="10">
        <f t="shared" si="104"/>
        <v>66802.287800476537</v>
      </c>
      <c r="M294" s="302"/>
      <c r="N294" s="435">
        <f t="shared" si="105"/>
        <v>66802.287800476508</v>
      </c>
      <c r="O294" s="436">
        <f t="shared" si="96"/>
        <v>0</v>
      </c>
      <c r="P294" s="436">
        <f t="shared" si="106"/>
        <v>0</v>
      </c>
      <c r="R294" s="354">
        <f>+Hirdetmény!$AA$46</f>
        <v>0.13400000000000001</v>
      </c>
      <c r="S294" s="301">
        <f t="shared" si="107"/>
        <v>3155416.8060463336</v>
      </c>
      <c r="T294" s="301">
        <f t="shared" si="97"/>
        <v>108673.8193020499</v>
      </c>
      <c r="U294" s="301">
        <f t="shared" si="108"/>
        <v>36955.248260599408</v>
      </c>
      <c r="V294" s="301">
        <f t="shared" si="109"/>
        <v>145629.06756264932</v>
      </c>
      <c r="W294" s="301">
        <f t="shared" si="110"/>
        <v>145629.06756264932</v>
      </c>
      <c r="AA294" s="12">
        <f>+paraméterek!$B$346</f>
        <v>6.4600000000000005E-2</v>
      </c>
      <c r="AB294" s="301">
        <f t="shared" si="111"/>
        <v>2093716.0185645302</v>
      </c>
      <c r="AC294" s="301">
        <f t="shared" si="98"/>
        <v>77967.129279691624</v>
      </c>
      <c r="AD294" s="301">
        <f t="shared" si="112"/>
        <v>11853.267810884008</v>
      </c>
      <c r="AE294" s="301">
        <f t="shared" si="113"/>
        <v>89820.397090575629</v>
      </c>
      <c r="AF294" s="477">
        <f t="shared" si="114"/>
        <v>89820.397090575629</v>
      </c>
      <c r="AI294" s="543">
        <f t="shared" si="99"/>
        <v>67613.416414663356</v>
      </c>
      <c r="AJ294" s="543">
        <f t="shared" si="115"/>
        <v>4599.9982311925687</v>
      </c>
      <c r="AK294" s="300">
        <f t="shared" si="116"/>
        <v>1747180.4063024048</v>
      </c>
      <c r="AL294" s="543">
        <f t="shared" si="117"/>
        <v>72213.414645855926</v>
      </c>
      <c r="AM294" s="10">
        <f t="shared" si="118"/>
        <v>72213.414645855926</v>
      </c>
      <c r="AP294" s="437">
        <f t="shared" si="119"/>
        <v>146437.06756264932</v>
      </c>
    </row>
    <row r="295" spans="1:42" s="11" customFormat="1" hidden="1" x14ac:dyDescent="0.3">
      <c r="A295" s="775">
        <v>216</v>
      </c>
      <c r="B295" s="775">
        <f t="shared" si="100"/>
        <v>18</v>
      </c>
      <c r="C295" s="891">
        <f t="shared" si="121"/>
        <v>0.14489675614077413</v>
      </c>
      <c r="D295" s="891"/>
      <c r="E295" s="891">
        <f t="shared" si="121"/>
        <v>0.03</v>
      </c>
      <c r="F295" s="891">
        <f t="shared" si="93"/>
        <v>0.03</v>
      </c>
      <c r="G295" s="893">
        <f t="shared" si="102"/>
        <v>1553554.4099479779</v>
      </c>
      <c r="H295" s="436">
        <f t="shared" si="94"/>
        <v>62705.517844613372</v>
      </c>
      <c r="I295" s="302">
        <f t="shared" si="95"/>
        <v>0</v>
      </c>
      <c r="J295" s="301">
        <f t="shared" si="120"/>
        <v>4096.7699558631657</v>
      </c>
      <c r="K295" s="301">
        <f t="shared" si="103"/>
        <v>66802.287800476537</v>
      </c>
      <c r="L295" s="10">
        <f t="shared" si="104"/>
        <v>66802.287800476537</v>
      </c>
      <c r="M295" s="302"/>
      <c r="N295" s="435">
        <f t="shared" si="105"/>
        <v>66802.287800476508</v>
      </c>
      <c r="O295" s="436">
        <f t="shared" si="96"/>
        <v>0</v>
      </c>
      <c r="P295" s="436">
        <f t="shared" si="106"/>
        <v>0</v>
      </c>
      <c r="R295" s="354">
        <f>+Hirdetmény!$AA$46</f>
        <v>0.13400000000000001</v>
      </c>
      <c r="S295" s="301">
        <f t="shared" si="107"/>
        <v>3045512.6079243617</v>
      </c>
      <c r="T295" s="301">
        <f t="shared" si="97"/>
        <v>109904.198121972</v>
      </c>
      <c r="U295" s="301">
        <f t="shared" si="108"/>
        <v>35724.869440677357</v>
      </c>
      <c r="V295" s="301">
        <f t="shared" si="109"/>
        <v>145629.06756264938</v>
      </c>
      <c r="W295" s="301">
        <f t="shared" si="110"/>
        <v>145629.06756264938</v>
      </c>
      <c r="AA295" s="12">
        <f>+paraméterek!$B$346</f>
        <v>6.4600000000000005E-2</v>
      </c>
      <c r="AB295" s="301">
        <f t="shared" si="111"/>
        <v>2015323.3367521334</v>
      </c>
      <c r="AC295" s="301">
        <f t="shared" si="98"/>
        <v>78392.681812396695</v>
      </c>
      <c r="AD295" s="301">
        <f t="shared" si="112"/>
        <v>11427.71527817895</v>
      </c>
      <c r="AE295" s="301">
        <f t="shared" si="113"/>
        <v>89820.397090575643</v>
      </c>
      <c r="AF295" s="477">
        <f t="shared" si="114"/>
        <v>89820.397090575643</v>
      </c>
      <c r="AI295" s="543">
        <f t="shared" si="99"/>
        <v>67784.797643769984</v>
      </c>
      <c r="AJ295" s="543">
        <f t="shared" si="115"/>
        <v>4428.6170020859563</v>
      </c>
      <c r="AK295" s="300">
        <f t="shared" si="116"/>
        <v>1679395.6086586348</v>
      </c>
      <c r="AL295" s="543">
        <f t="shared" si="117"/>
        <v>72213.414645855941</v>
      </c>
      <c r="AM295" s="10">
        <f t="shared" si="118"/>
        <v>72213.414645855941</v>
      </c>
      <c r="AP295" s="437">
        <f t="shared" si="119"/>
        <v>146437.06756264938</v>
      </c>
    </row>
    <row r="296" spans="1:42" s="11" customFormat="1" hidden="1" x14ac:dyDescent="0.3">
      <c r="A296" s="775">
        <v>217</v>
      </c>
      <c r="B296" s="775">
        <f t="shared" si="100"/>
        <v>19</v>
      </c>
      <c r="C296" s="891">
        <f t="shared" si="121"/>
        <v>0.14489675614077413</v>
      </c>
      <c r="D296" s="891"/>
      <c r="E296" s="891">
        <f t="shared" si="121"/>
        <v>0.03</v>
      </c>
      <c r="F296" s="891">
        <f t="shared" si="93"/>
        <v>0.03</v>
      </c>
      <c r="G296" s="893">
        <f t="shared" si="102"/>
        <v>1490689.9510338278</v>
      </c>
      <c r="H296" s="436">
        <f t="shared" si="94"/>
        <v>62864.458914150055</v>
      </c>
      <c r="I296" s="302">
        <f t="shared" si="95"/>
        <v>0</v>
      </c>
      <c r="J296" s="301">
        <f t="shared" si="120"/>
        <v>3937.828886326472</v>
      </c>
      <c r="K296" s="301">
        <f t="shared" si="103"/>
        <v>66802.287800476523</v>
      </c>
      <c r="L296" s="10">
        <f t="shared" si="104"/>
        <v>66802.287800476523</v>
      </c>
      <c r="M296" s="302"/>
      <c r="N296" s="435">
        <f t="shared" si="105"/>
        <v>66802.287800476508</v>
      </c>
      <c r="O296" s="436">
        <f t="shared" si="96"/>
        <v>0</v>
      </c>
      <c r="P296" s="436">
        <f t="shared" si="106"/>
        <v>0</v>
      </c>
      <c r="R296" s="354">
        <f>+Hirdetmény!$AA$46</f>
        <v>0.13400000000000001</v>
      </c>
      <c r="S296" s="301">
        <f t="shared" si="107"/>
        <v>2934364.100929671</v>
      </c>
      <c r="T296" s="301">
        <f t="shared" si="97"/>
        <v>111148.50699469091</v>
      </c>
      <c r="U296" s="301">
        <f t="shared" si="108"/>
        <v>34480.560567958455</v>
      </c>
      <c r="V296" s="301">
        <f t="shared" si="109"/>
        <v>145629.06756264938</v>
      </c>
      <c r="W296" s="301">
        <f t="shared" si="110"/>
        <v>145629.06756264938</v>
      </c>
      <c r="AA296" s="12">
        <f>+paraméterek!$B$346</f>
        <v>6.4600000000000005E-2</v>
      </c>
      <c r="AB296" s="301">
        <f t="shared" si="111"/>
        <v>1936502.7796979649</v>
      </c>
      <c r="AC296" s="301">
        <f t="shared" si="98"/>
        <v>78820.557054168559</v>
      </c>
      <c r="AD296" s="301">
        <f t="shared" si="112"/>
        <v>10999.840036407075</v>
      </c>
      <c r="AE296" s="301">
        <f t="shared" si="113"/>
        <v>89820.397090575629</v>
      </c>
      <c r="AF296" s="477">
        <f t="shared" si="114"/>
        <v>89820.397090575629</v>
      </c>
      <c r="AI296" s="543">
        <f t="shared" si="99"/>
        <v>67956.613276686461</v>
      </c>
      <c r="AJ296" s="543">
        <f t="shared" si="115"/>
        <v>4256.8013691694568</v>
      </c>
      <c r="AK296" s="300">
        <f t="shared" si="116"/>
        <v>1611438.9953819483</v>
      </c>
      <c r="AL296" s="543">
        <f t="shared" si="117"/>
        <v>72213.414645855912</v>
      </c>
      <c r="AM296" s="10">
        <f t="shared" si="118"/>
        <v>72213.414645855912</v>
      </c>
      <c r="AP296" s="437">
        <f t="shared" si="119"/>
        <v>146437.06756264938</v>
      </c>
    </row>
    <row r="297" spans="1:42" s="11" customFormat="1" hidden="1" x14ac:dyDescent="0.3">
      <c r="A297" s="775">
        <v>218</v>
      </c>
      <c r="B297" s="775">
        <f t="shared" si="100"/>
        <v>19</v>
      </c>
      <c r="C297" s="891">
        <f t="shared" si="121"/>
        <v>0.14489675614077413</v>
      </c>
      <c r="D297" s="891"/>
      <c r="E297" s="891">
        <f t="shared" si="121"/>
        <v>0.03</v>
      </c>
      <c r="F297" s="891">
        <f t="shared" si="93"/>
        <v>0.03</v>
      </c>
      <c r="G297" s="893">
        <f t="shared" si="102"/>
        <v>1427666.1481786801</v>
      </c>
      <c r="H297" s="436">
        <f t="shared" si="94"/>
        <v>63023.802855147733</v>
      </c>
      <c r="I297" s="302">
        <f t="shared" si="95"/>
        <v>0</v>
      </c>
      <c r="J297" s="301">
        <f t="shared" si="120"/>
        <v>3778.4849453287993</v>
      </c>
      <c r="K297" s="301">
        <f t="shared" si="103"/>
        <v>66802.287800476537</v>
      </c>
      <c r="L297" s="10">
        <f t="shared" si="104"/>
        <v>66802.287800476537</v>
      </c>
      <c r="M297" s="302"/>
      <c r="N297" s="435">
        <f t="shared" si="105"/>
        <v>66802.287800476508</v>
      </c>
      <c r="O297" s="436">
        <f t="shared" si="96"/>
        <v>0</v>
      </c>
      <c r="P297" s="436">
        <f t="shared" si="106"/>
        <v>0</v>
      </c>
      <c r="R297" s="354">
        <f>+Hirdetmény!$AA$46</f>
        <v>0.13400000000000001</v>
      </c>
      <c r="S297" s="301">
        <f t="shared" si="107"/>
        <v>2821957.19729676</v>
      </c>
      <c r="T297" s="301">
        <f t="shared" si="97"/>
        <v>112406.90363291088</v>
      </c>
      <c r="U297" s="301">
        <f t="shared" si="108"/>
        <v>33222.163929738475</v>
      </c>
      <c r="V297" s="301">
        <f t="shared" si="109"/>
        <v>145629.06756264935</v>
      </c>
      <c r="W297" s="301">
        <f t="shared" si="110"/>
        <v>145629.06756264935</v>
      </c>
      <c r="AA297" s="12">
        <f>+paraméterek!$B$346</f>
        <v>6.4600000000000005E-2</v>
      </c>
      <c r="AB297" s="301">
        <f t="shared" si="111"/>
        <v>1857252.0120153751</v>
      </c>
      <c r="AC297" s="301">
        <f t="shared" si="98"/>
        <v>79250.767682589896</v>
      </c>
      <c r="AD297" s="301">
        <f t="shared" si="112"/>
        <v>10569.629407985722</v>
      </c>
      <c r="AE297" s="301">
        <f t="shared" si="113"/>
        <v>89820.397090575614</v>
      </c>
      <c r="AF297" s="477">
        <f t="shared" si="114"/>
        <v>89820.397090575614</v>
      </c>
      <c r="AI297" s="543">
        <f t="shared" si="99"/>
        <v>68128.86441450585</v>
      </c>
      <c r="AJ297" s="543">
        <f t="shared" si="115"/>
        <v>4084.5502313500774</v>
      </c>
      <c r="AK297" s="300">
        <f t="shared" si="116"/>
        <v>1543310.1309674424</v>
      </c>
      <c r="AL297" s="543">
        <f t="shared" si="117"/>
        <v>72213.414645855926</v>
      </c>
      <c r="AM297" s="10">
        <f t="shared" si="118"/>
        <v>72213.414645855926</v>
      </c>
      <c r="AP297" s="437">
        <f t="shared" si="119"/>
        <v>146437.06756264935</v>
      </c>
    </row>
    <row r="298" spans="1:42" s="11" customFormat="1" hidden="1" x14ac:dyDescent="0.3">
      <c r="A298" s="775">
        <v>219</v>
      </c>
      <c r="B298" s="775">
        <f t="shared" si="100"/>
        <v>19</v>
      </c>
      <c r="C298" s="891">
        <f t="shared" si="121"/>
        <v>0.14489675614077413</v>
      </c>
      <c r="D298" s="891"/>
      <c r="E298" s="891">
        <f t="shared" si="121"/>
        <v>0.03</v>
      </c>
      <c r="F298" s="891">
        <f t="shared" si="93"/>
        <v>0.03</v>
      </c>
      <c r="G298" s="893">
        <f t="shared" si="102"/>
        <v>1364482.5974899065</v>
      </c>
      <c r="H298" s="436">
        <f t="shared" si="94"/>
        <v>63183.550688773626</v>
      </c>
      <c r="I298" s="302">
        <f t="shared" si="95"/>
        <v>0</v>
      </c>
      <c r="J298" s="301">
        <f t="shared" si="120"/>
        <v>3618.7371117029043</v>
      </c>
      <c r="K298" s="301">
        <f t="shared" si="103"/>
        <v>66802.287800476537</v>
      </c>
      <c r="L298" s="10">
        <f t="shared" si="104"/>
        <v>66802.287800476537</v>
      </c>
      <c r="M298" s="302"/>
      <c r="N298" s="435">
        <f t="shared" si="105"/>
        <v>66802.287800476508</v>
      </c>
      <c r="O298" s="436">
        <f t="shared" si="96"/>
        <v>0</v>
      </c>
      <c r="P298" s="436">
        <f t="shared" si="106"/>
        <v>0</v>
      </c>
      <c r="R298" s="354">
        <f>+Hirdetmény!$AA$46</f>
        <v>0.13400000000000001</v>
      </c>
      <c r="S298" s="301">
        <f t="shared" si="107"/>
        <v>2708277.6497618388</v>
      </c>
      <c r="T298" s="301">
        <f t="shared" si="97"/>
        <v>113679.54753492144</v>
      </c>
      <c r="U298" s="301">
        <f t="shared" si="108"/>
        <v>31949.520027727907</v>
      </c>
      <c r="V298" s="301">
        <f t="shared" si="109"/>
        <v>145629.06756264935</v>
      </c>
      <c r="W298" s="301">
        <f t="shared" si="110"/>
        <v>145629.06756264935</v>
      </c>
      <c r="AA298" s="12">
        <f>+paraméterek!$B$346</f>
        <v>6.4600000000000005E-2</v>
      </c>
      <c r="AB298" s="301">
        <f t="shared" si="111"/>
        <v>1777568.6855709362</v>
      </c>
      <c r="AC298" s="301">
        <f t="shared" si="98"/>
        <v>79683.326444438935</v>
      </c>
      <c r="AD298" s="301">
        <f t="shared" si="112"/>
        <v>10137.070646136697</v>
      </c>
      <c r="AE298" s="301">
        <f t="shared" si="113"/>
        <v>89820.397090575629</v>
      </c>
      <c r="AF298" s="477">
        <f t="shared" si="114"/>
        <v>89820.397090575629</v>
      </c>
      <c r="AI298" s="543">
        <f t="shared" si="99"/>
        <v>68301.552161112064</v>
      </c>
      <c r="AJ298" s="543">
        <f t="shared" si="115"/>
        <v>3911.8624847438641</v>
      </c>
      <c r="AK298" s="300">
        <f t="shared" si="116"/>
        <v>1475008.5788063304</v>
      </c>
      <c r="AL298" s="543">
        <f t="shared" si="117"/>
        <v>72213.414645855926</v>
      </c>
      <c r="AM298" s="10">
        <f t="shared" si="118"/>
        <v>72213.414645855926</v>
      </c>
      <c r="AP298" s="437">
        <f t="shared" si="119"/>
        <v>146437.06756264935</v>
      </c>
    </row>
    <row r="299" spans="1:42" s="11" customFormat="1" hidden="1" x14ac:dyDescent="0.3">
      <c r="A299" s="775">
        <v>220</v>
      </c>
      <c r="B299" s="775">
        <f t="shared" si="100"/>
        <v>19</v>
      </c>
      <c r="C299" s="891">
        <f t="shared" si="121"/>
        <v>0.14489675614077413</v>
      </c>
      <c r="D299" s="891"/>
      <c r="E299" s="891">
        <f t="shared" si="121"/>
        <v>0.03</v>
      </c>
      <c r="F299" s="891">
        <f t="shared" si="93"/>
        <v>0.03</v>
      </c>
      <c r="G299" s="893">
        <f t="shared" si="102"/>
        <v>1301138.8940511232</v>
      </c>
      <c r="H299" s="436">
        <f t="shared" si="94"/>
        <v>63343.703438783363</v>
      </c>
      <c r="I299" s="302">
        <f t="shared" si="95"/>
        <v>0</v>
      </c>
      <c r="J299" s="301">
        <f t="shared" si="120"/>
        <v>3458.5843616931661</v>
      </c>
      <c r="K299" s="301">
        <f t="shared" si="103"/>
        <v>66802.287800476523</v>
      </c>
      <c r="L299" s="10">
        <f t="shared" si="104"/>
        <v>66802.287800476523</v>
      </c>
      <c r="M299" s="302"/>
      <c r="N299" s="435">
        <f t="shared" si="105"/>
        <v>66802.287800476508</v>
      </c>
      <c r="O299" s="436">
        <f t="shared" si="96"/>
        <v>0</v>
      </c>
      <c r="P299" s="436">
        <f t="shared" si="106"/>
        <v>0</v>
      </c>
      <c r="R299" s="354">
        <f>+Hirdetmény!$AA$46</f>
        <v>0.13400000000000001</v>
      </c>
      <c r="S299" s="301">
        <f t="shared" si="107"/>
        <v>2593311.0497570257</v>
      </c>
      <c r="T299" s="301">
        <f t="shared" si="97"/>
        <v>114966.60000481337</v>
      </c>
      <c r="U299" s="301">
        <f t="shared" si="108"/>
        <v>30662.467557836007</v>
      </c>
      <c r="V299" s="301">
        <f t="shared" si="109"/>
        <v>145629.06756264938</v>
      </c>
      <c r="W299" s="301">
        <f t="shared" si="110"/>
        <v>145629.06756264938</v>
      </c>
      <c r="AA299" s="12">
        <f>+paraméterek!$B$346</f>
        <v>6.4600000000000005E-2</v>
      </c>
      <c r="AB299" s="301">
        <f t="shared" si="111"/>
        <v>1697450.4394148691</v>
      </c>
      <c r="AC299" s="301">
        <f t="shared" si="98"/>
        <v>80118.246156067034</v>
      </c>
      <c r="AD299" s="301">
        <f t="shared" si="112"/>
        <v>9702.1509345085888</v>
      </c>
      <c r="AE299" s="301">
        <f t="shared" si="113"/>
        <v>89820.397090575629</v>
      </c>
      <c r="AF299" s="477">
        <f t="shared" si="114"/>
        <v>89820.397090575629</v>
      </c>
      <c r="AI299" s="543">
        <f t="shared" si="99"/>
        <v>68474.67762318709</v>
      </c>
      <c r="AJ299" s="543">
        <f t="shared" si="115"/>
        <v>3738.737022668824</v>
      </c>
      <c r="AK299" s="300">
        <f t="shared" si="116"/>
        <v>1406533.9011831433</v>
      </c>
      <c r="AL299" s="543">
        <f t="shared" si="117"/>
        <v>72213.414645855912</v>
      </c>
      <c r="AM299" s="10">
        <f t="shared" si="118"/>
        <v>72213.414645855912</v>
      </c>
      <c r="AP299" s="437">
        <f t="shared" si="119"/>
        <v>146437.06756264938</v>
      </c>
    </row>
    <row r="300" spans="1:42" s="11" customFormat="1" hidden="1" x14ac:dyDescent="0.3">
      <c r="A300" s="775">
        <v>221</v>
      </c>
      <c r="B300" s="775">
        <f t="shared" si="100"/>
        <v>19</v>
      </c>
      <c r="C300" s="891">
        <f t="shared" si="121"/>
        <v>0.14489675614077413</v>
      </c>
      <c r="D300" s="891"/>
      <c r="E300" s="891">
        <f t="shared" si="121"/>
        <v>0.03</v>
      </c>
      <c r="F300" s="891">
        <f t="shared" si="93"/>
        <v>0.03</v>
      </c>
      <c r="G300" s="893">
        <f t="shared" si="102"/>
        <v>1237634.6319195956</v>
      </c>
      <c r="H300" s="436">
        <f t="shared" si="94"/>
        <v>63504.262131527503</v>
      </c>
      <c r="I300" s="302">
        <f t="shared" si="95"/>
        <v>0</v>
      </c>
      <c r="J300" s="301">
        <f t="shared" si="120"/>
        <v>3298.0256689490275</v>
      </c>
      <c r="K300" s="301">
        <f t="shared" si="103"/>
        <v>66802.287800476537</v>
      </c>
      <c r="L300" s="10">
        <f t="shared" si="104"/>
        <v>66802.287800476537</v>
      </c>
      <c r="M300" s="302"/>
      <c r="N300" s="435">
        <f t="shared" si="105"/>
        <v>66802.287800476508</v>
      </c>
      <c r="O300" s="436">
        <f t="shared" si="96"/>
        <v>0</v>
      </c>
      <c r="P300" s="436">
        <f t="shared" si="106"/>
        <v>0</v>
      </c>
      <c r="R300" s="354">
        <f>+Hirdetmény!$AA$46</f>
        <v>0.13400000000000001</v>
      </c>
      <c r="S300" s="301">
        <f t="shared" si="107"/>
        <v>2477042.8255841024</v>
      </c>
      <c r="T300" s="301">
        <f t="shared" si="97"/>
        <v>116268.22417292342</v>
      </c>
      <c r="U300" s="301">
        <f t="shared" si="108"/>
        <v>29360.843389725957</v>
      </c>
      <c r="V300" s="301">
        <f t="shared" si="109"/>
        <v>145629.06756264938</v>
      </c>
      <c r="W300" s="301">
        <f t="shared" si="110"/>
        <v>145629.06756264938</v>
      </c>
      <c r="AA300" s="12">
        <f>+paraméterek!$B$346</f>
        <v>6.4600000000000005E-2</v>
      </c>
      <c r="AB300" s="301">
        <f t="shared" si="111"/>
        <v>1616894.8997110904</v>
      </c>
      <c r="AC300" s="301">
        <f t="shared" si="98"/>
        <v>80555.539703778588</v>
      </c>
      <c r="AD300" s="301">
        <f t="shared" si="112"/>
        <v>9264.8573867970372</v>
      </c>
      <c r="AE300" s="301">
        <f t="shared" si="113"/>
        <v>89820.397090575629</v>
      </c>
      <c r="AF300" s="477">
        <f t="shared" si="114"/>
        <v>89820.397090575629</v>
      </c>
      <c r="AI300" s="543">
        <f t="shared" si="99"/>
        <v>68648.241910218101</v>
      </c>
      <c r="AJ300" s="543">
        <f t="shared" si="115"/>
        <v>3565.1727356378283</v>
      </c>
      <c r="AK300" s="300">
        <f t="shared" si="116"/>
        <v>1337885.6592729252</v>
      </c>
      <c r="AL300" s="543">
        <f t="shared" si="117"/>
        <v>72213.414645855926</v>
      </c>
      <c r="AM300" s="10">
        <f t="shared" si="118"/>
        <v>72213.414645855926</v>
      </c>
      <c r="AP300" s="437">
        <f t="shared" si="119"/>
        <v>146437.06756264938</v>
      </c>
    </row>
    <row r="301" spans="1:42" s="11" customFormat="1" hidden="1" x14ac:dyDescent="0.3">
      <c r="A301" s="775">
        <v>222</v>
      </c>
      <c r="B301" s="775">
        <f t="shared" si="100"/>
        <v>19</v>
      </c>
      <c r="C301" s="891">
        <f t="shared" si="121"/>
        <v>0.14489675614077413</v>
      </c>
      <c r="D301" s="891"/>
      <c r="E301" s="891">
        <f t="shared" si="121"/>
        <v>0.03</v>
      </c>
      <c r="F301" s="891">
        <f t="shared" si="93"/>
        <v>0.03</v>
      </c>
      <c r="G301" s="893">
        <f t="shared" si="102"/>
        <v>1173969.4041236376</v>
      </c>
      <c r="H301" s="436">
        <f t="shared" si="94"/>
        <v>63665.227795958112</v>
      </c>
      <c r="I301" s="302">
        <f t="shared" si="95"/>
        <v>0</v>
      </c>
      <c r="J301" s="301">
        <f t="shared" si="120"/>
        <v>3137.0600045184192</v>
      </c>
      <c r="K301" s="301">
        <f t="shared" si="103"/>
        <v>66802.287800476537</v>
      </c>
      <c r="L301" s="10">
        <f t="shared" si="104"/>
        <v>66802.287800476537</v>
      </c>
      <c r="M301" s="302"/>
      <c r="N301" s="435">
        <f t="shared" si="105"/>
        <v>66802.287800476508</v>
      </c>
      <c r="O301" s="436">
        <f t="shared" si="96"/>
        <v>0</v>
      </c>
      <c r="P301" s="436">
        <f t="shared" si="106"/>
        <v>0</v>
      </c>
      <c r="R301" s="354">
        <f>+Hirdetmény!$AA$46</f>
        <v>0.13400000000000001</v>
      </c>
      <c r="S301" s="301">
        <f t="shared" si="107"/>
        <v>2359458.2405675915</v>
      </c>
      <c r="T301" s="301">
        <f t="shared" si="97"/>
        <v>117584.58501651087</v>
      </c>
      <c r="U301" s="301">
        <f t="shared" si="108"/>
        <v>28044.482546138534</v>
      </c>
      <c r="V301" s="301">
        <f t="shared" si="109"/>
        <v>145629.0675626494</v>
      </c>
      <c r="W301" s="301">
        <f t="shared" si="110"/>
        <v>145629.0675626494</v>
      </c>
      <c r="AA301" s="12">
        <f>+paraméterek!$B$346</f>
        <v>6.4600000000000005E-2</v>
      </c>
      <c r="AB301" s="301">
        <f t="shared" si="111"/>
        <v>1535899.6796668777</v>
      </c>
      <c r="AC301" s="301">
        <f t="shared" si="98"/>
        <v>80995.220044212707</v>
      </c>
      <c r="AD301" s="301">
        <f t="shared" si="112"/>
        <v>8825.1770463629182</v>
      </c>
      <c r="AE301" s="301">
        <f t="shared" si="113"/>
        <v>89820.397090575629</v>
      </c>
      <c r="AF301" s="477">
        <f t="shared" si="114"/>
        <v>89820.397090575629</v>
      </c>
      <c r="AI301" s="543">
        <f t="shared" si="99"/>
        <v>68822.246134504414</v>
      </c>
      <c r="AJ301" s="543">
        <f t="shared" si="115"/>
        <v>3391.1685113515118</v>
      </c>
      <c r="AK301" s="300">
        <f t="shared" si="116"/>
        <v>1269063.4131384208</v>
      </c>
      <c r="AL301" s="543">
        <f t="shared" si="117"/>
        <v>72213.414645855926</v>
      </c>
      <c r="AM301" s="10">
        <f t="shared" si="118"/>
        <v>72213.414645855926</v>
      </c>
      <c r="AP301" s="437">
        <f t="shared" si="119"/>
        <v>146437.0675626494</v>
      </c>
    </row>
    <row r="302" spans="1:42" s="11" customFormat="1" hidden="1" x14ac:dyDescent="0.3">
      <c r="A302" s="775">
        <v>223</v>
      </c>
      <c r="B302" s="775">
        <f t="shared" si="100"/>
        <v>19</v>
      </c>
      <c r="C302" s="891">
        <f t="shared" si="121"/>
        <v>0.14489675614077413</v>
      </c>
      <c r="D302" s="891"/>
      <c r="E302" s="891">
        <f t="shared" si="121"/>
        <v>0.03</v>
      </c>
      <c r="F302" s="891">
        <f t="shared" si="93"/>
        <v>0.03</v>
      </c>
      <c r="G302" s="893">
        <f t="shared" si="102"/>
        <v>1110142.8026600021</v>
      </c>
      <c r="H302" s="436">
        <f t="shared" si="94"/>
        <v>63826.601463635365</v>
      </c>
      <c r="I302" s="302">
        <f t="shared" si="95"/>
        <v>0</v>
      </c>
      <c r="J302" s="301">
        <f t="shared" si="120"/>
        <v>2975.686336841165</v>
      </c>
      <c r="K302" s="301">
        <f t="shared" si="103"/>
        <v>66802.287800476537</v>
      </c>
      <c r="L302" s="10">
        <f t="shared" si="104"/>
        <v>66802.287800476537</v>
      </c>
      <c r="M302" s="302"/>
      <c r="N302" s="435">
        <f t="shared" si="105"/>
        <v>66802.287800476508</v>
      </c>
      <c r="O302" s="436">
        <f t="shared" si="96"/>
        <v>0</v>
      </c>
      <c r="P302" s="436">
        <f t="shared" si="106"/>
        <v>0</v>
      </c>
      <c r="R302" s="354">
        <f>+Hirdetmény!$AA$46</f>
        <v>0.13400000000000001</v>
      </c>
      <c r="S302" s="301">
        <f t="shared" si="107"/>
        <v>2240542.3911869237</v>
      </c>
      <c r="T302" s="301">
        <f t="shared" si="97"/>
        <v>118915.84938066771</v>
      </c>
      <c r="U302" s="301">
        <f t="shared" si="108"/>
        <v>26713.218181981694</v>
      </c>
      <c r="V302" s="301">
        <f t="shared" si="109"/>
        <v>145629.0675626494</v>
      </c>
      <c r="W302" s="301">
        <f t="shared" si="110"/>
        <v>145629.0675626494</v>
      </c>
      <c r="AA302" s="12">
        <f>+paraméterek!$B$346</f>
        <v>6.4600000000000005E-2</v>
      </c>
      <c r="AB302" s="301">
        <f t="shared" si="111"/>
        <v>1454462.3794621506</v>
      </c>
      <c r="AC302" s="301">
        <f t="shared" si="98"/>
        <v>81437.300204727173</v>
      </c>
      <c r="AD302" s="301">
        <f t="shared" si="112"/>
        <v>8383.0968858484539</v>
      </c>
      <c r="AE302" s="301">
        <f t="shared" si="113"/>
        <v>89820.397090575629</v>
      </c>
      <c r="AF302" s="477">
        <f t="shared" si="114"/>
        <v>89820.397090575629</v>
      </c>
      <c r="AI302" s="543">
        <f t="shared" si="99"/>
        <v>68996.691411164778</v>
      </c>
      <c r="AJ302" s="543">
        <f t="shared" si="115"/>
        <v>3216.723234691136</v>
      </c>
      <c r="AK302" s="300">
        <f t="shared" si="116"/>
        <v>1200066.721727256</v>
      </c>
      <c r="AL302" s="543">
        <f t="shared" si="117"/>
        <v>72213.414645855912</v>
      </c>
      <c r="AM302" s="10">
        <f t="shared" si="118"/>
        <v>72213.414645855912</v>
      </c>
      <c r="AP302" s="437">
        <f t="shared" si="119"/>
        <v>146437.0675626494</v>
      </c>
    </row>
    <row r="303" spans="1:42" s="11" customFormat="1" hidden="1" x14ac:dyDescent="0.3">
      <c r="A303" s="775">
        <v>224</v>
      </c>
      <c r="B303" s="775">
        <f t="shared" si="100"/>
        <v>19</v>
      </c>
      <c r="C303" s="891">
        <f t="shared" si="121"/>
        <v>0.14489675614077413</v>
      </c>
      <c r="D303" s="891"/>
      <c r="E303" s="891">
        <f t="shared" si="121"/>
        <v>0.03</v>
      </c>
      <c r="F303" s="891">
        <f t="shared" si="93"/>
        <v>0.03</v>
      </c>
      <c r="G303" s="893">
        <f t="shared" si="102"/>
        <v>1046154.4184912679</v>
      </c>
      <c r="H303" s="436">
        <f t="shared" si="94"/>
        <v>63988.38416873417</v>
      </c>
      <c r="I303" s="302">
        <f t="shared" si="95"/>
        <v>0</v>
      </c>
      <c r="J303" s="301">
        <f t="shared" si="120"/>
        <v>2813.9036317423665</v>
      </c>
      <c r="K303" s="301">
        <f t="shared" si="103"/>
        <v>66802.287800476537</v>
      </c>
      <c r="L303" s="10">
        <f t="shared" si="104"/>
        <v>66802.287800476537</v>
      </c>
      <c r="M303" s="302"/>
      <c r="N303" s="435">
        <f t="shared" si="105"/>
        <v>66802.287800476508</v>
      </c>
      <c r="O303" s="436">
        <f t="shared" si="96"/>
        <v>0</v>
      </c>
      <c r="P303" s="436">
        <f t="shared" si="106"/>
        <v>0</v>
      </c>
      <c r="R303" s="354">
        <f>+Hirdetmény!$AA$46</f>
        <v>0.13400000000000001</v>
      </c>
      <c r="S303" s="301">
        <f t="shared" si="107"/>
        <v>2120280.2051874576</v>
      </c>
      <c r="T303" s="301">
        <f t="shared" si="97"/>
        <v>120262.18599946596</v>
      </c>
      <c r="U303" s="301">
        <f t="shared" si="108"/>
        <v>25366.881563183437</v>
      </c>
      <c r="V303" s="301">
        <f t="shared" si="109"/>
        <v>145629.0675626494</v>
      </c>
      <c r="W303" s="301">
        <f t="shared" si="110"/>
        <v>145629.0675626494</v>
      </c>
      <c r="AA303" s="12">
        <f>+paraméterek!$B$346</f>
        <v>6.4600000000000005E-2</v>
      </c>
      <c r="AB303" s="301">
        <f t="shared" si="111"/>
        <v>1372580.5861783661</v>
      </c>
      <c r="AC303" s="301">
        <f t="shared" si="98"/>
        <v>81881.793283784427</v>
      </c>
      <c r="AD303" s="301">
        <f t="shared" si="112"/>
        <v>7938.6038067912159</v>
      </c>
      <c r="AE303" s="301">
        <f t="shared" si="113"/>
        <v>89820.397090575643</v>
      </c>
      <c r="AF303" s="477">
        <f t="shared" si="114"/>
        <v>89820.397090575643</v>
      </c>
      <c r="AI303" s="543">
        <f t="shared" si="99"/>
        <v>69171.578858144479</v>
      </c>
      <c r="AJ303" s="543">
        <f t="shared" si="115"/>
        <v>3041.8357877114477</v>
      </c>
      <c r="AK303" s="300">
        <f t="shared" si="116"/>
        <v>1130895.1428691114</v>
      </c>
      <c r="AL303" s="543">
        <f t="shared" si="117"/>
        <v>72213.414645855926</v>
      </c>
      <c r="AM303" s="10">
        <f t="shared" si="118"/>
        <v>72213.414645855926</v>
      </c>
      <c r="AP303" s="437">
        <f t="shared" si="119"/>
        <v>146437.0675626494</v>
      </c>
    </row>
    <row r="304" spans="1:42" s="11" customFormat="1" hidden="1" x14ac:dyDescent="0.3">
      <c r="A304" s="775">
        <v>225</v>
      </c>
      <c r="B304" s="775">
        <f t="shared" si="100"/>
        <v>19</v>
      </c>
      <c r="C304" s="891">
        <f t="shared" si="121"/>
        <v>0.14489675614077413</v>
      </c>
      <c r="D304" s="891"/>
      <c r="E304" s="891">
        <f t="shared" si="121"/>
        <v>0.03</v>
      </c>
      <c r="F304" s="891">
        <f t="shared" si="93"/>
        <v>0.03</v>
      </c>
      <c r="G304" s="893">
        <f t="shared" si="102"/>
        <v>982003.84154321719</v>
      </c>
      <c r="H304" s="436">
        <f t="shared" si="94"/>
        <v>64150.576948050752</v>
      </c>
      <c r="I304" s="302">
        <f t="shared" si="95"/>
        <v>0</v>
      </c>
      <c r="J304" s="301">
        <f t="shared" si="120"/>
        <v>2651.7108524257833</v>
      </c>
      <c r="K304" s="301">
        <f t="shared" si="103"/>
        <v>66802.287800476537</v>
      </c>
      <c r="L304" s="10">
        <f t="shared" si="104"/>
        <v>66802.287800476537</v>
      </c>
      <c r="M304" s="302"/>
      <c r="N304" s="435">
        <f t="shared" si="105"/>
        <v>66802.287800476508</v>
      </c>
      <c r="O304" s="436">
        <f t="shared" si="96"/>
        <v>0</v>
      </c>
      <c r="P304" s="436">
        <f t="shared" si="106"/>
        <v>0</v>
      </c>
      <c r="R304" s="354">
        <f>+Hirdetmény!$AA$46</f>
        <v>0.13400000000000001</v>
      </c>
      <c r="S304" s="301">
        <f t="shared" si="107"/>
        <v>1998656.4396701134</v>
      </c>
      <c r="T304" s="301">
        <f t="shared" si="97"/>
        <v>121623.76551734415</v>
      </c>
      <c r="U304" s="301">
        <f t="shared" si="108"/>
        <v>24005.30204530522</v>
      </c>
      <c r="V304" s="301">
        <f t="shared" si="109"/>
        <v>145629.06756264938</v>
      </c>
      <c r="W304" s="301">
        <f t="shared" si="110"/>
        <v>145629.06756264938</v>
      </c>
      <c r="AA304" s="12">
        <f>+paraméterek!$B$346</f>
        <v>6.4600000000000005E-2</v>
      </c>
      <c r="AB304" s="301">
        <f t="shared" si="111"/>
        <v>1290251.8737270264</v>
      </c>
      <c r="AC304" s="301">
        <f t="shared" si="98"/>
        <v>82328.712451339583</v>
      </c>
      <c r="AD304" s="301">
        <f t="shared" si="112"/>
        <v>7491.6846392360403</v>
      </c>
      <c r="AE304" s="301">
        <f t="shared" si="113"/>
        <v>89820.397090575629</v>
      </c>
      <c r="AF304" s="477">
        <f t="shared" si="114"/>
        <v>89820.397090575629</v>
      </c>
      <c r="AI304" s="543">
        <f t="shared" si="99"/>
        <v>69346.909596222409</v>
      </c>
      <c r="AJ304" s="543">
        <f t="shared" si="115"/>
        <v>2866.5050496335116</v>
      </c>
      <c r="AK304" s="300">
        <f t="shared" si="116"/>
        <v>1061548.2332728889</v>
      </c>
      <c r="AL304" s="543">
        <f t="shared" si="117"/>
        <v>72213.414645855926</v>
      </c>
      <c r="AM304" s="10">
        <f t="shared" si="118"/>
        <v>72213.414645855926</v>
      </c>
      <c r="AP304" s="437">
        <f t="shared" si="119"/>
        <v>146437.06756264938</v>
      </c>
    </row>
    <row r="305" spans="1:42" s="11" customFormat="1" hidden="1" x14ac:dyDescent="0.3">
      <c r="A305" s="775">
        <v>226</v>
      </c>
      <c r="B305" s="775">
        <f t="shared" si="100"/>
        <v>19</v>
      </c>
      <c r="C305" s="891">
        <f t="shared" ref="C305:E320" si="122">+C304</f>
        <v>0.14489675614077413</v>
      </c>
      <c r="D305" s="891"/>
      <c r="E305" s="891">
        <f t="shared" si="122"/>
        <v>0.03</v>
      </c>
      <c r="F305" s="891">
        <f t="shared" si="93"/>
        <v>0.03</v>
      </c>
      <c r="G305" s="893">
        <f t="shared" si="102"/>
        <v>917690.66070220782</v>
      </c>
      <c r="H305" s="436">
        <f t="shared" si="94"/>
        <v>64313.180841009351</v>
      </c>
      <c r="I305" s="302">
        <f t="shared" si="95"/>
        <v>0</v>
      </c>
      <c r="J305" s="301">
        <f t="shared" si="120"/>
        <v>2489.1069594671822</v>
      </c>
      <c r="K305" s="301">
        <f t="shared" si="103"/>
        <v>66802.287800476537</v>
      </c>
      <c r="L305" s="10">
        <f t="shared" si="104"/>
        <v>66802.287800476537</v>
      </c>
      <c r="M305" s="302"/>
      <c r="N305" s="435">
        <f t="shared" si="105"/>
        <v>66802.287800476508</v>
      </c>
      <c r="O305" s="436">
        <f t="shared" si="96"/>
        <v>0</v>
      </c>
      <c r="P305" s="436">
        <f t="shared" si="106"/>
        <v>0</v>
      </c>
      <c r="R305" s="354">
        <f>+Hirdetmény!$AA$46</f>
        <v>0.13400000000000001</v>
      </c>
      <c r="S305" s="301">
        <f t="shared" si="107"/>
        <v>1875655.6791593772</v>
      </c>
      <c r="T305" s="301">
        <f t="shared" si="97"/>
        <v>123000.76051073612</v>
      </c>
      <c r="U305" s="301">
        <f t="shared" si="108"/>
        <v>22628.307051913256</v>
      </c>
      <c r="V305" s="301">
        <f t="shared" si="109"/>
        <v>145629.06756264938</v>
      </c>
      <c r="W305" s="301">
        <f t="shared" si="110"/>
        <v>145629.06756264938</v>
      </c>
      <c r="AA305" s="12">
        <f>+paraméterek!$B$346</f>
        <v>6.4600000000000005E-2</v>
      </c>
      <c r="AB305" s="301">
        <f t="shared" si="111"/>
        <v>1207473.8027777956</v>
      </c>
      <c r="AC305" s="301">
        <f t="shared" si="98"/>
        <v>82778.070949230809</v>
      </c>
      <c r="AD305" s="301">
        <f t="shared" si="112"/>
        <v>7042.3261413448045</v>
      </c>
      <c r="AE305" s="301">
        <f t="shared" si="113"/>
        <v>89820.397090575614</v>
      </c>
      <c r="AF305" s="477">
        <f t="shared" si="114"/>
        <v>89820.397090575614</v>
      </c>
      <c r="AI305" s="543">
        <f t="shared" si="99"/>
        <v>69522.684749018386</v>
      </c>
      <c r="AJ305" s="543">
        <f t="shared" si="115"/>
        <v>2690.7298968375312</v>
      </c>
      <c r="AK305" s="300">
        <f t="shared" si="116"/>
        <v>992025.54852387053</v>
      </c>
      <c r="AL305" s="543">
        <f t="shared" si="117"/>
        <v>72213.414645855912</v>
      </c>
      <c r="AM305" s="10">
        <f t="shared" si="118"/>
        <v>72213.414645855912</v>
      </c>
      <c r="AP305" s="437">
        <f t="shared" si="119"/>
        <v>146437.06756264938</v>
      </c>
    </row>
    <row r="306" spans="1:42" s="11" customFormat="1" hidden="1" x14ac:dyDescent="0.3">
      <c r="A306" s="775">
        <v>227</v>
      </c>
      <c r="B306" s="775">
        <f t="shared" si="100"/>
        <v>19</v>
      </c>
      <c r="C306" s="891">
        <f t="shared" si="122"/>
        <v>0.14489675614077413</v>
      </c>
      <c r="D306" s="891"/>
      <c r="E306" s="891">
        <f t="shared" si="122"/>
        <v>0.03</v>
      </c>
      <c r="F306" s="891">
        <f t="shared" si="93"/>
        <v>0.03</v>
      </c>
      <c r="G306" s="893">
        <f t="shared" si="102"/>
        <v>853214.463812539</v>
      </c>
      <c r="H306" s="436">
        <f t="shared" si="94"/>
        <v>64476.196889668856</v>
      </c>
      <c r="I306" s="302">
        <f t="shared" si="95"/>
        <v>0</v>
      </c>
      <c r="J306" s="301">
        <f t="shared" si="120"/>
        <v>2326.0909108076794</v>
      </c>
      <c r="K306" s="301">
        <f t="shared" si="103"/>
        <v>66802.287800476537</v>
      </c>
      <c r="L306" s="10">
        <f t="shared" si="104"/>
        <v>66802.287800476537</v>
      </c>
      <c r="M306" s="302"/>
      <c r="N306" s="435">
        <f t="shared" si="105"/>
        <v>66802.287800476508</v>
      </c>
      <c r="O306" s="436">
        <f t="shared" si="96"/>
        <v>0</v>
      </c>
      <c r="P306" s="436">
        <f t="shared" si="106"/>
        <v>0</v>
      </c>
      <c r="R306" s="354">
        <f>+Hirdetmény!$AA$46</f>
        <v>0.13400000000000001</v>
      </c>
      <c r="S306" s="301">
        <f t="shared" si="107"/>
        <v>1751262.3336494328</v>
      </c>
      <c r="T306" s="301">
        <f t="shared" si="97"/>
        <v>124393.34550994448</v>
      </c>
      <c r="U306" s="301">
        <f t="shared" si="108"/>
        <v>21235.722052704892</v>
      </c>
      <c r="V306" s="301">
        <f t="shared" si="109"/>
        <v>145629.06756264938</v>
      </c>
      <c r="W306" s="301">
        <f t="shared" si="110"/>
        <v>145629.06756264938</v>
      </c>
      <c r="AA306" s="12">
        <f>+paraméterek!$B$346</f>
        <v>6.4600000000000005E-2</v>
      </c>
      <c r="AB306" s="301">
        <f t="shared" si="111"/>
        <v>1124243.920686224</v>
      </c>
      <c r="AC306" s="301">
        <f t="shared" si="98"/>
        <v>83229.882091571533</v>
      </c>
      <c r="AD306" s="301">
        <f t="shared" si="112"/>
        <v>6590.5149990040845</v>
      </c>
      <c r="AE306" s="301">
        <f t="shared" si="113"/>
        <v>89820.397090575614</v>
      </c>
      <c r="AF306" s="477">
        <f t="shared" si="114"/>
        <v>89820.397090575614</v>
      </c>
      <c r="AI306" s="543">
        <f t="shared" si="99"/>
        <v>69698.905443000287</v>
      </c>
      <c r="AJ306" s="543">
        <f t="shared" si="115"/>
        <v>2514.5092028556442</v>
      </c>
      <c r="AK306" s="300">
        <f t="shared" si="116"/>
        <v>922326.64308087027</v>
      </c>
      <c r="AL306" s="543">
        <f t="shared" si="117"/>
        <v>72213.414645855926</v>
      </c>
      <c r="AM306" s="10">
        <f t="shared" si="118"/>
        <v>72213.414645855926</v>
      </c>
      <c r="AP306" s="437">
        <f t="shared" si="119"/>
        <v>146437.06756264938</v>
      </c>
    </row>
    <row r="307" spans="1:42" s="11" customFormat="1" hidden="1" x14ac:dyDescent="0.3">
      <c r="A307" s="775">
        <v>228</v>
      </c>
      <c r="B307" s="775">
        <f t="shared" si="100"/>
        <v>19</v>
      </c>
      <c r="C307" s="891">
        <f t="shared" si="122"/>
        <v>0.14489675614077413</v>
      </c>
      <c r="D307" s="891"/>
      <c r="E307" s="891">
        <f t="shared" si="122"/>
        <v>0.03</v>
      </c>
      <c r="F307" s="891">
        <f t="shared" si="93"/>
        <v>0.03</v>
      </c>
      <c r="G307" s="893">
        <f t="shared" si="102"/>
        <v>788574.8376738095</v>
      </c>
      <c r="H307" s="436">
        <f t="shared" si="94"/>
        <v>64639.626138729465</v>
      </c>
      <c r="I307" s="302">
        <f t="shared" si="95"/>
        <v>0</v>
      </c>
      <c r="J307" s="301">
        <f t="shared" si="120"/>
        <v>2162.6616617470604</v>
      </c>
      <c r="K307" s="301">
        <f t="shared" si="103"/>
        <v>66802.287800476523</v>
      </c>
      <c r="L307" s="10">
        <f t="shared" si="104"/>
        <v>66802.287800476523</v>
      </c>
      <c r="M307" s="302"/>
      <c r="N307" s="435">
        <f t="shared" si="105"/>
        <v>66802.287800476508</v>
      </c>
      <c r="O307" s="436">
        <f t="shared" si="96"/>
        <v>0</v>
      </c>
      <c r="P307" s="436">
        <f t="shared" si="106"/>
        <v>0</v>
      </c>
      <c r="R307" s="354">
        <f>+Hirdetmény!$AA$46</f>
        <v>0.13400000000000001</v>
      </c>
      <c r="S307" s="301">
        <f t="shared" si="107"/>
        <v>1625460.6366281707</v>
      </c>
      <c r="T307" s="301">
        <f t="shared" si="97"/>
        <v>125801.69702126193</v>
      </c>
      <c r="U307" s="301">
        <f t="shared" si="108"/>
        <v>19827.370541387445</v>
      </c>
      <c r="V307" s="301">
        <f t="shared" si="109"/>
        <v>145629.06756264938</v>
      </c>
      <c r="W307" s="301">
        <f t="shared" si="110"/>
        <v>145629.06756264938</v>
      </c>
      <c r="AA307" s="12">
        <f>+paraméterek!$B$346</f>
        <v>6.4600000000000005E-2</v>
      </c>
      <c r="AB307" s="301">
        <f t="shared" si="111"/>
        <v>1040559.761421079</v>
      </c>
      <c r="AC307" s="301">
        <f t="shared" si="98"/>
        <v>83684.159265144946</v>
      </c>
      <c r="AD307" s="301">
        <f t="shared" si="112"/>
        <v>6136.2378254306668</v>
      </c>
      <c r="AE307" s="301">
        <f t="shared" si="113"/>
        <v>89820.397090575614</v>
      </c>
      <c r="AF307" s="477">
        <f t="shared" si="114"/>
        <v>89820.397090575614</v>
      </c>
      <c r="AI307" s="543">
        <f t="shared" si="99"/>
        <v>69875.572807491204</v>
      </c>
      <c r="AJ307" s="543">
        <f t="shared" si="115"/>
        <v>2337.8418383647063</v>
      </c>
      <c r="AK307" s="300">
        <f t="shared" si="116"/>
        <v>852451.0702733791</v>
      </c>
      <c r="AL307" s="543">
        <f t="shared" si="117"/>
        <v>72213.414645855912</v>
      </c>
      <c r="AM307" s="10">
        <f t="shared" si="118"/>
        <v>72213.414645855912</v>
      </c>
      <c r="AP307" s="437">
        <f t="shared" si="119"/>
        <v>146437.06756264938</v>
      </c>
    </row>
    <row r="308" spans="1:42" s="11" customFormat="1" hidden="1" x14ac:dyDescent="0.3">
      <c r="A308" s="775">
        <v>229</v>
      </c>
      <c r="B308" s="775">
        <f t="shared" si="100"/>
        <v>20</v>
      </c>
      <c r="C308" s="891">
        <f t="shared" si="122"/>
        <v>0.14489675614077413</v>
      </c>
      <c r="D308" s="891"/>
      <c r="E308" s="891">
        <f t="shared" si="122"/>
        <v>0.03</v>
      </c>
      <c r="F308" s="891">
        <f t="shared" si="93"/>
        <v>0.03</v>
      </c>
      <c r="G308" s="893">
        <f t="shared" si="102"/>
        <v>723771.36803827004</v>
      </c>
      <c r="H308" s="436">
        <f t="shared" si="94"/>
        <v>64803.469635539448</v>
      </c>
      <c r="I308" s="302">
        <f t="shared" si="95"/>
        <v>0</v>
      </c>
      <c r="J308" s="301">
        <f t="shared" si="120"/>
        <v>1998.8181649370867</v>
      </c>
      <c r="K308" s="301">
        <f t="shared" si="103"/>
        <v>66802.287800476537</v>
      </c>
      <c r="L308" s="10">
        <f t="shared" si="104"/>
        <v>66802.287800476537</v>
      </c>
      <c r="M308" s="302"/>
      <c r="N308" s="435">
        <f t="shared" si="105"/>
        <v>66802.287800476508</v>
      </c>
      <c r="O308" s="436">
        <f t="shared" si="96"/>
        <v>0</v>
      </c>
      <c r="P308" s="436">
        <f t="shared" si="106"/>
        <v>0</v>
      </c>
      <c r="R308" s="354">
        <f>+Hirdetmény!$AA$46</f>
        <v>0.13400000000000001</v>
      </c>
      <c r="S308" s="301">
        <f t="shared" si="107"/>
        <v>1498234.6430788278</v>
      </c>
      <c r="T308" s="301">
        <f t="shared" si="97"/>
        <v>127225.99354934292</v>
      </c>
      <c r="U308" s="301">
        <f t="shared" si="108"/>
        <v>18403.074013306443</v>
      </c>
      <c r="V308" s="301">
        <f t="shared" si="109"/>
        <v>145629.06756264938</v>
      </c>
      <c r="W308" s="301">
        <f t="shared" si="110"/>
        <v>145629.06756264938</v>
      </c>
      <c r="AA308" s="12">
        <f>+paraméterek!$B$346</f>
        <v>6.4600000000000005E-2</v>
      </c>
      <c r="AB308" s="301">
        <f t="shared" si="111"/>
        <v>956418.84549127833</v>
      </c>
      <c r="AC308" s="301">
        <f t="shared" si="98"/>
        <v>84140.9159298007</v>
      </c>
      <c r="AD308" s="301">
        <f t="shared" si="112"/>
        <v>5679.4811607749134</v>
      </c>
      <c r="AE308" s="301">
        <f t="shared" si="113"/>
        <v>89820.397090575614</v>
      </c>
      <c r="AF308" s="477">
        <f t="shared" si="114"/>
        <v>89820.397090575614</v>
      </c>
      <c r="AI308" s="543">
        <f t="shared" si="99"/>
        <v>70052.687974676854</v>
      </c>
      <c r="AJ308" s="543">
        <f t="shared" si="115"/>
        <v>2160.7266711790512</v>
      </c>
      <c r="AK308" s="300">
        <f t="shared" si="116"/>
        <v>782398.38229870226</v>
      </c>
      <c r="AL308" s="543">
        <f t="shared" si="117"/>
        <v>72213.414645855912</v>
      </c>
      <c r="AM308" s="10">
        <f t="shared" si="118"/>
        <v>72213.414645855912</v>
      </c>
      <c r="AP308" s="437">
        <f t="shared" si="119"/>
        <v>146437.06756264938</v>
      </c>
    </row>
    <row r="309" spans="1:42" s="11" customFormat="1" hidden="1" x14ac:dyDescent="0.3">
      <c r="A309" s="775">
        <v>230</v>
      </c>
      <c r="B309" s="775">
        <f t="shared" si="100"/>
        <v>20</v>
      </c>
      <c r="C309" s="891">
        <f t="shared" si="122"/>
        <v>0.14489675614077413</v>
      </c>
      <c r="D309" s="891"/>
      <c r="E309" s="891">
        <f t="shared" si="122"/>
        <v>0.03</v>
      </c>
      <c r="F309" s="891">
        <f t="shared" si="93"/>
        <v>0.03</v>
      </c>
      <c r="G309" s="893">
        <f t="shared" si="102"/>
        <v>658803.63960816828</v>
      </c>
      <c r="H309" s="436">
        <f t="shared" si="94"/>
        <v>64967.72843010175</v>
      </c>
      <c r="I309" s="302">
        <f t="shared" si="95"/>
        <v>0</v>
      </c>
      <c r="J309" s="301">
        <f t="shared" si="120"/>
        <v>1834.5593703747816</v>
      </c>
      <c r="K309" s="301">
        <f t="shared" si="103"/>
        <v>66802.287800476537</v>
      </c>
      <c r="L309" s="10">
        <f t="shared" si="104"/>
        <v>66802.287800476537</v>
      </c>
      <c r="M309" s="302"/>
      <c r="N309" s="435">
        <f t="shared" si="105"/>
        <v>66802.287800476508</v>
      </c>
      <c r="O309" s="436">
        <f t="shared" si="96"/>
        <v>0</v>
      </c>
      <c r="P309" s="436">
        <f t="shared" si="106"/>
        <v>0</v>
      </c>
      <c r="R309" s="354">
        <f>+Hirdetmény!$AA$46</f>
        <v>0.13400000000000001</v>
      </c>
      <c r="S309" s="301">
        <f t="shared" si="107"/>
        <v>1369568.227458999</v>
      </c>
      <c r="T309" s="301">
        <f t="shared" si="97"/>
        <v>128666.41561982867</v>
      </c>
      <c r="U309" s="301">
        <f t="shared" si="108"/>
        <v>16962.651942820714</v>
      </c>
      <c r="V309" s="301">
        <f t="shared" si="109"/>
        <v>145629.06756264938</v>
      </c>
      <c r="W309" s="301">
        <f t="shared" si="110"/>
        <v>145629.06756264938</v>
      </c>
      <c r="AA309" s="12">
        <f>+paraméterek!$B$346</f>
        <v>6.4600000000000005E-2</v>
      </c>
      <c r="AB309" s="301">
        <f t="shared" si="111"/>
        <v>871818.67987242469</v>
      </c>
      <c r="AC309" s="301">
        <f t="shared" si="98"/>
        <v>84600.165618853644</v>
      </c>
      <c r="AD309" s="301">
        <f t="shared" si="112"/>
        <v>5220.231471721957</v>
      </c>
      <c r="AE309" s="301">
        <f t="shared" si="113"/>
        <v>89820.3970905756</v>
      </c>
      <c r="AF309" s="477">
        <f t="shared" si="114"/>
        <v>89820.3970905756</v>
      </c>
      <c r="AI309" s="543">
        <f t="shared" si="99"/>
        <v>70230.252079612677</v>
      </c>
      <c r="AJ309" s="543">
        <f t="shared" si="115"/>
        <v>1983.1625662432382</v>
      </c>
      <c r="AK309" s="300">
        <f t="shared" si="116"/>
        <v>712168.13021908957</v>
      </c>
      <c r="AL309" s="543">
        <f t="shared" si="117"/>
        <v>72213.414645855912</v>
      </c>
      <c r="AM309" s="10">
        <f t="shared" si="118"/>
        <v>72213.414645855912</v>
      </c>
      <c r="AP309" s="437">
        <f t="shared" si="119"/>
        <v>146437.06756264938</v>
      </c>
    </row>
    <row r="310" spans="1:42" s="11" customFormat="1" hidden="1" x14ac:dyDescent="0.3">
      <c r="A310" s="775">
        <v>231</v>
      </c>
      <c r="B310" s="775">
        <f t="shared" si="100"/>
        <v>20</v>
      </c>
      <c r="C310" s="891">
        <f t="shared" si="122"/>
        <v>0.14489675614077413</v>
      </c>
      <c r="D310" s="891"/>
      <c r="E310" s="891">
        <f t="shared" si="122"/>
        <v>0.03</v>
      </c>
      <c r="F310" s="891">
        <f t="shared" si="93"/>
        <v>0.03</v>
      </c>
      <c r="G310" s="893">
        <f t="shared" si="102"/>
        <v>593671.23603308748</v>
      </c>
      <c r="H310" s="436">
        <f t="shared" si="94"/>
        <v>65132.403575080833</v>
      </c>
      <c r="I310" s="302">
        <f t="shared" si="95"/>
        <v>0</v>
      </c>
      <c r="J310" s="301">
        <f t="shared" si="120"/>
        <v>1669.8842253957043</v>
      </c>
      <c r="K310" s="301">
        <f t="shared" si="103"/>
        <v>66802.287800476537</v>
      </c>
      <c r="L310" s="10">
        <f t="shared" si="104"/>
        <v>66802.287800476537</v>
      </c>
      <c r="M310" s="302"/>
      <c r="N310" s="435">
        <f t="shared" si="105"/>
        <v>66802.287800476508</v>
      </c>
      <c r="O310" s="436">
        <f t="shared" si="96"/>
        <v>0</v>
      </c>
      <c r="P310" s="436">
        <f t="shared" si="106"/>
        <v>0</v>
      </c>
      <c r="R310" s="354">
        <f>+Hirdetmény!$AA$46</f>
        <v>0.13400000000000001</v>
      </c>
      <c r="S310" s="301">
        <f t="shared" si="107"/>
        <v>1239445.0816567708</v>
      </c>
      <c r="T310" s="301">
        <f t="shared" si="97"/>
        <v>130123.14580222817</v>
      </c>
      <c r="U310" s="301">
        <f t="shared" si="108"/>
        <v>15505.921760421215</v>
      </c>
      <c r="V310" s="301">
        <f t="shared" si="109"/>
        <v>145629.06756264938</v>
      </c>
      <c r="W310" s="301">
        <f t="shared" si="110"/>
        <v>145629.06756264938</v>
      </c>
      <c r="AA310" s="12">
        <f>+paraméterek!$B$346</f>
        <v>6.4600000000000005E-2</v>
      </c>
      <c r="AB310" s="301">
        <f t="shared" si="111"/>
        <v>786756.7579329398</v>
      </c>
      <c r="AC310" s="301">
        <f t="shared" si="98"/>
        <v>85061.921939484891</v>
      </c>
      <c r="AD310" s="301">
        <f t="shared" si="112"/>
        <v>4758.4751510907181</v>
      </c>
      <c r="AE310" s="301">
        <f t="shared" si="113"/>
        <v>89820.397090575614</v>
      </c>
      <c r="AF310" s="477">
        <f t="shared" si="114"/>
        <v>89820.397090575614</v>
      </c>
      <c r="AI310" s="543">
        <f t="shared" si="99"/>
        <v>70408.266260231161</v>
      </c>
      <c r="AJ310" s="543">
        <f t="shared" si="115"/>
        <v>1805.1483856247755</v>
      </c>
      <c r="AK310" s="300">
        <f t="shared" si="116"/>
        <v>641759.86395885842</v>
      </c>
      <c r="AL310" s="543">
        <f t="shared" si="117"/>
        <v>72213.414645855941</v>
      </c>
      <c r="AM310" s="10">
        <f t="shared" si="118"/>
        <v>72213.414645855941</v>
      </c>
      <c r="AP310" s="437">
        <f t="shared" si="119"/>
        <v>146437.06756264938</v>
      </c>
    </row>
    <row r="311" spans="1:42" s="11" customFormat="1" hidden="1" x14ac:dyDescent="0.3">
      <c r="A311" s="775">
        <v>232</v>
      </c>
      <c r="B311" s="775">
        <f t="shared" si="100"/>
        <v>20</v>
      </c>
      <c r="C311" s="891">
        <f t="shared" si="122"/>
        <v>0.14489675614077413</v>
      </c>
      <c r="D311" s="891"/>
      <c r="E311" s="891">
        <f t="shared" si="122"/>
        <v>0.03</v>
      </c>
      <c r="F311" s="891">
        <f t="shared" si="93"/>
        <v>0.03</v>
      </c>
      <c r="G311" s="893">
        <f t="shared" si="102"/>
        <v>528373.7399072781</v>
      </c>
      <c r="H311" s="436">
        <f t="shared" si="94"/>
        <v>65297.496125809339</v>
      </c>
      <c r="I311" s="302">
        <f t="shared" si="95"/>
        <v>0</v>
      </c>
      <c r="J311" s="301">
        <f t="shared" si="120"/>
        <v>1504.7916746672008</v>
      </c>
      <c r="K311" s="301">
        <f t="shared" si="103"/>
        <v>66802.287800476537</v>
      </c>
      <c r="L311" s="10">
        <f t="shared" si="104"/>
        <v>66802.287800476537</v>
      </c>
      <c r="M311" s="302"/>
      <c r="N311" s="435">
        <f t="shared" si="105"/>
        <v>66802.287800476508</v>
      </c>
      <c r="O311" s="436">
        <f t="shared" si="96"/>
        <v>0</v>
      </c>
      <c r="P311" s="436">
        <f t="shared" si="106"/>
        <v>0</v>
      </c>
      <c r="R311" s="354">
        <f>+Hirdetmény!$AA$46</f>
        <v>0.13400000000000001</v>
      </c>
      <c r="S311" s="301">
        <f t="shared" si="107"/>
        <v>1107848.7129237123</v>
      </c>
      <c r="T311" s="301">
        <f t="shared" si="97"/>
        <v>131596.36873305845</v>
      </c>
      <c r="U311" s="301">
        <f t="shared" si="108"/>
        <v>14032.698829590896</v>
      </c>
      <c r="V311" s="301">
        <f t="shared" si="109"/>
        <v>145629.06756264935</v>
      </c>
      <c r="W311" s="301">
        <f t="shared" si="110"/>
        <v>145629.06756264935</v>
      </c>
      <c r="AA311" s="12">
        <f>+paraméterek!$B$346</f>
        <v>6.4600000000000005E-2</v>
      </c>
      <c r="AB311" s="301">
        <f t="shared" si="111"/>
        <v>701230.55935979495</v>
      </c>
      <c r="AC311" s="301">
        <f t="shared" si="98"/>
        <v>85526.198573144866</v>
      </c>
      <c r="AD311" s="301">
        <f t="shared" si="112"/>
        <v>4294.1985174307383</v>
      </c>
      <c r="AE311" s="301">
        <f t="shared" si="113"/>
        <v>89820.3970905756</v>
      </c>
      <c r="AF311" s="477">
        <f t="shared" si="114"/>
        <v>89820.3970905756</v>
      </c>
      <c r="AI311" s="543">
        <f t="shared" si="99"/>
        <v>70586.731657349083</v>
      </c>
      <c r="AJ311" s="543">
        <f t="shared" si="115"/>
        <v>1626.6829885068285</v>
      </c>
      <c r="AK311" s="300">
        <f t="shared" si="116"/>
        <v>571173.13230150938</v>
      </c>
      <c r="AL311" s="543">
        <f t="shared" si="117"/>
        <v>72213.414645855912</v>
      </c>
      <c r="AM311" s="10">
        <f t="shared" si="118"/>
        <v>72213.414645855912</v>
      </c>
      <c r="AP311" s="437">
        <f t="shared" si="119"/>
        <v>146437.06756264935</v>
      </c>
    </row>
    <row r="312" spans="1:42" s="11" customFormat="1" hidden="1" x14ac:dyDescent="0.3">
      <c r="A312" s="775">
        <v>233</v>
      </c>
      <c r="B312" s="775">
        <f t="shared" si="100"/>
        <v>20</v>
      </c>
      <c r="C312" s="891">
        <f t="shared" si="122"/>
        <v>0.14489675614077413</v>
      </c>
      <c r="D312" s="891"/>
      <c r="E312" s="891">
        <f t="shared" si="122"/>
        <v>0.03</v>
      </c>
      <c r="F312" s="891">
        <f t="shared" si="93"/>
        <v>0.03</v>
      </c>
      <c r="G312" s="893">
        <f t="shared" si="102"/>
        <v>462910.73276698322</v>
      </c>
      <c r="H312" s="436">
        <f t="shared" si="94"/>
        <v>65463.007140294896</v>
      </c>
      <c r="I312" s="302">
        <f t="shared" si="95"/>
        <v>0</v>
      </c>
      <c r="J312" s="301">
        <f t="shared" si="120"/>
        <v>1339.2806601816426</v>
      </c>
      <c r="K312" s="301">
        <f t="shared" si="103"/>
        <v>66802.287800476537</v>
      </c>
      <c r="L312" s="10">
        <f t="shared" si="104"/>
        <v>66802.287800476537</v>
      </c>
      <c r="M312" s="302"/>
      <c r="N312" s="435">
        <f t="shared" si="105"/>
        <v>66802.287800476508</v>
      </c>
      <c r="O312" s="436">
        <f t="shared" si="96"/>
        <v>0</v>
      </c>
      <c r="P312" s="436">
        <f t="shared" si="106"/>
        <v>0</v>
      </c>
      <c r="R312" s="354">
        <f>+Hirdetmény!$AA$46</f>
        <v>0.13400000000000001</v>
      </c>
      <c r="S312" s="301">
        <f t="shared" si="107"/>
        <v>974762.44178446545</v>
      </c>
      <c r="T312" s="301">
        <f t="shared" si="97"/>
        <v>133086.27113924688</v>
      </c>
      <c r="U312" s="301">
        <f t="shared" si="108"/>
        <v>12542.796423402495</v>
      </c>
      <c r="V312" s="301">
        <f t="shared" si="109"/>
        <v>145629.06756264938</v>
      </c>
      <c r="W312" s="301">
        <f t="shared" si="110"/>
        <v>145629.06756264938</v>
      </c>
      <c r="AA312" s="12">
        <f>+paraméterek!$B$346</f>
        <v>6.4600000000000005E-2</v>
      </c>
      <c r="AB312" s="301">
        <f t="shared" si="111"/>
        <v>615237.55008383607</v>
      </c>
      <c r="AC312" s="301">
        <f t="shared" si="98"/>
        <v>85993.009275958815</v>
      </c>
      <c r="AD312" s="301">
        <f t="shared" si="112"/>
        <v>3827.3878146168072</v>
      </c>
      <c r="AE312" s="301">
        <f t="shared" si="113"/>
        <v>89820.397090575629</v>
      </c>
      <c r="AF312" s="477">
        <f t="shared" si="114"/>
        <v>89820.397090575629</v>
      </c>
      <c r="AI312" s="543">
        <f t="shared" si="99"/>
        <v>70765.649414675019</v>
      </c>
      <c r="AJ312" s="543">
        <f t="shared" si="115"/>
        <v>1447.7652311809093</v>
      </c>
      <c r="AK312" s="300">
        <f t="shared" si="116"/>
        <v>500407.48288683436</v>
      </c>
      <c r="AL312" s="543">
        <f t="shared" si="117"/>
        <v>72213.414645855926</v>
      </c>
      <c r="AM312" s="10">
        <f t="shared" si="118"/>
        <v>72213.414645855926</v>
      </c>
      <c r="AP312" s="437">
        <f t="shared" si="119"/>
        <v>146437.06756264938</v>
      </c>
    </row>
    <row r="313" spans="1:42" s="11" customFormat="1" hidden="1" x14ac:dyDescent="0.3">
      <c r="A313" s="775">
        <v>234</v>
      </c>
      <c r="B313" s="775">
        <f t="shared" si="100"/>
        <v>20</v>
      </c>
      <c r="C313" s="891">
        <f t="shared" si="122"/>
        <v>0.14489675614077413</v>
      </c>
      <c r="D313" s="891"/>
      <c r="E313" s="891">
        <f t="shared" si="122"/>
        <v>0.03</v>
      </c>
      <c r="F313" s="891">
        <f t="shared" si="93"/>
        <v>0.03</v>
      </c>
      <c r="G313" s="893">
        <f t="shared" si="102"/>
        <v>397281.79508775636</v>
      </c>
      <c r="H313" s="436">
        <f t="shared" si="94"/>
        <v>65628.937679226889</v>
      </c>
      <c r="I313" s="302">
        <f t="shared" si="95"/>
        <v>0</v>
      </c>
      <c r="J313" s="301">
        <f t="shared" si="120"/>
        <v>1173.3501212496451</v>
      </c>
      <c r="K313" s="301">
        <f t="shared" si="103"/>
        <v>66802.287800476537</v>
      </c>
      <c r="L313" s="10">
        <f t="shared" si="104"/>
        <v>66802.287800476537</v>
      </c>
      <c r="M313" s="302"/>
      <c r="N313" s="435">
        <f t="shared" si="105"/>
        <v>66802.287800476508</v>
      </c>
      <c r="O313" s="436">
        <f t="shared" si="96"/>
        <v>0</v>
      </c>
      <c r="P313" s="436">
        <f t="shared" si="106"/>
        <v>0</v>
      </c>
      <c r="R313" s="354">
        <f>+Hirdetmény!$AA$46</f>
        <v>0.13400000000000001</v>
      </c>
      <c r="S313" s="301">
        <f t="shared" si="107"/>
        <v>840169.39992266754</v>
      </c>
      <c r="T313" s="301">
        <f t="shared" si="97"/>
        <v>134593.04186179794</v>
      </c>
      <c r="U313" s="301">
        <f t="shared" si="108"/>
        <v>11036.025700851438</v>
      </c>
      <c r="V313" s="301">
        <f t="shared" si="109"/>
        <v>145629.06756264938</v>
      </c>
      <c r="W313" s="301">
        <f t="shared" si="110"/>
        <v>145629.06756264938</v>
      </c>
      <c r="AA313" s="12">
        <f>+paraméterek!$B$346</f>
        <v>6.4600000000000005E-2</v>
      </c>
      <c r="AB313" s="301">
        <f t="shared" si="111"/>
        <v>528775.18220470182</v>
      </c>
      <c r="AC313" s="301">
        <f t="shared" si="98"/>
        <v>86462.367879134224</v>
      </c>
      <c r="AD313" s="301">
        <f t="shared" si="112"/>
        <v>3358.0292114413828</v>
      </c>
      <c r="AE313" s="301">
        <f t="shared" si="113"/>
        <v>89820.397090575614</v>
      </c>
      <c r="AF313" s="477">
        <f t="shared" si="114"/>
        <v>89820.397090575614</v>
      </c>
      <c r="AI313" s="543">
        <f t="shared" si="99"/>
        <v>70945.020678816378</v>
      </c>
      <c r="AJ313" s="543">
        <f t="shared" si="115"/>
        <v>1268.3939670395453</v>
      </c>
      <c r="AK313" s="300">
        <f t="shared" si="116"/>
        <v>429462.462208018</v>
      </c>
      <c r="AL313" s="543">
        <f t="shared" si="117"/>
        <v>72213.414645855926</v>
      </c>
      <c r="AM313" s="10">
        <f t="shared" si="118"/>
        <v>72213.414645855926</v>
      </c>
      <c r="AP313" s="437">
        <f t="shared" si="119"/>
        <v>146437.06756264938</v>
      </c>
    </row>
    <row r="314" spans="1:42" s="11" customFormat="1" hidden="1" x14ac:dyDescent="0.3">
      <c r="A314" s="775">
        <v>235</v>
      </c>
      <c r="B314" s="775">
        <f t="shared" si="100"/>
        <v>20</v>
      </c>
      <c r="C314" s="891">
        <f t="shared" si="122"/>
        <v>0.14489675614077413</v>
      </c>
      <c r="D314" s="891"/>
      <c r="E314" s="891">
        <f t="shared" si="122"/>
        <v>0.03</v>
      </c>
      <c r="F314" s="891">
        <f t="shared" si="93"/>
        <v>0.03</v>
      </c>
      <c r="G314" s="893">
        <f t="shared" si="102"/>
        <v>331486.50628177309</v>
      </c>
      <c r="H314" s="436">
        <f t="shared" si="94"/>
        <v>65795.288805983262</v>
      </c>
      <c r="I314" s="302">
        <f t="shared" si="95"/>
        <v>0</v>
      </c>
      <c r="J314" s="301">
        <f t="shared" si="120"/>
        <v>1006.9989944932713</v>
      </c>
      <c r="K314" s="301">
        <f t="shared" si="103"/>
        <v>66802.287800476537</v>
      </c>
      <c r="L314" s="10">
        <f t="shared" si="104"/>
        <v>66802.287800476537</v>
      </c>
      <c r="M314" s="302"/>
      <c r="N314" s="435">
        <f t="shared" si="105"/>
        <v>66802.287800476508</v>
      </c>
      <c r="O314" s="436">
        <f t="shared" si="96"/>
        <v>0</v>
      </c>
      <c r="P314" s="436">
        <f t="shared" si="106"/>
        <v>0</v>
      </c>
      <c r="R314" s="354">
        <f>+Hirdetmény!$AA$46</f>
        <v>0.13400000000000001</v>
      </c>
      <c r="S314" s="301">
        <f t="shared" si="107"/>
        <v>704052.52804293891</v>
      </c>
      <c r="T314" s="301">
        <f t="shared" si="97"/>
        <v>136116.87187972863</v>
      </c>
      <c r="U314" s="301">
        <f t="shared" si="108"/>
        <v>9512.1956829207575</v>
      </c>
      <c r="V314" s="301">
        <f t="shared" si="109"/>
        <v>145629.06756264938</v>
      </c>
      <c r="W314" s="301">
        <f t="shared" si="110"/>
        <v>145629.06756264938</v>
      </c>
      <c r="AA314" s="12">
        <f>+paraméterek!$B$346</f>
        <v>6.4600000000000005E-2</v>
      </c>
      <c r="AB314" s="301">
        <f t="shared" si="111"/>
        <v>441840.89391533099</v>
      </c>
      <c r="AC314" s="301">
        <f t="shared" si="98"/>
        <v>86934.288289370801</v>
      </c>
      <c r="AD314" s="301">
        <f t="shared" si="112"/>
        <v>2886.108801204784</v>
      </c>
      <c r="AE314" s="301">
        <f t="shared" si="113"/>
        <v>89820.397090575585</v>
      </c>
      <c r="AF314" s="477">
        <f t="shared" si="114"/>
        <v>89820.397090575585</v>
      </c>
      <c r="AI314" s="543">
        <f t="shared" si="99"/>
        <v>71124.846599286975</v>
      </c>
      <c r="AJ314" s="543">
        <f t="shared" si="115"/>
        <v>1088.5680465689345</v>
      </c>
      <c r="AK314" s="300">
        <f t="shared" si="116"/>
        <v>358337.61560873105</v>
      </c>
      <c r="AL314" s="543">
        <f t="shared" si="117"/>
        <v>72213.414645855912</v>
      </c>
      <c r="AM314" s="10">
        <f t="shared" si="118"/>
        <v>72213.414645855912</v>
      </c>
      <c r="AP314" s="437">
        <f t="shared" si="119"/>
        <v>146437.06756264938</v>
      </c>
    </row>
    <row r="315" spans="1:42" s="11" customFormat="1" hidden="1" x14ac:dyDescent="0.3">
      <c r="A315" s="775">
        <v>236</v>
      </c>
      <c r="B315" s="775">
        <f t="shared" si="100"/>
        <v>20</v>
      </c>
      <c r="C315" s="891">
        <f t="shared" si="122"/>
        <v>0.14489675614077413</v>
      </c>
      <c r="D315" s="891"/>
      <c r="E315" s="891">
        <f t="shared" si="122"/>
        <v>0.03</v>
      </c>
      <c r="F315" s="891">
        <f t="shared" si="93"/>
        <v>0.03</v>
      </c>
      <c r="G315" s="893">
        <f t="shared" si="102"/>
        <v>265524.44469513575</v>
      </c>
      <c r="H315" s="436">
        <f t="shared" si="94"/>
        <v>65962.061586637326</v>
      </c>
      <c r="I315" s="302">
        <f t="shared" si="95"/>
        <v>0</v>
      </c>
      <c r="J315" s="301">
        <f t="shared" si="120"/>
        <v>840.2262138392166</v>
      </c>
      <c r="K315" s="301">
        <f t="shared" si="103"/>
        <v>66802.287800476537</v>
      </c>
      <c r="L315" s="10">
        <f t="shared" si="104"/>
        <v>66802.287800476537</v>
      </c>
      <c r="M315" s="302"/>
      <c r="N315" s="435">
        <f t="shared" si="105"/>
        <v>66802.287800476508</v>
      </c>
      <c r="O315" s="436">
        <f t="shared" si="96"/>
        <v>0</v>
      </c>
      <c r="P315" s="436">
        <f t="shared" si="106"/>
        <v>0</v>
      </c>
      <c r="R315" s="354">
        <f>+Hirdetmény!$AA$46</f>
        <v>0.13400000000000001</v>
      </c>
      <c r="S315" s="301">
        <f t="shared" si="107"/>
        <v>566394.57370866463</v>
      </c>
      <c r="T315" s="301">
        <f t="shared" si="97"/>
        <v>137657.95433427434</v>
      </c>
      <c r="U315" s="301">
        <f t="shared" si="108"/>
        <v>7971.1132283750339</v>
      </c>
      <c r="V315" s="301">
        <f t="shared" si="109"/>
        <v>145629.06756264938</v>
      </c>
      <c r="W315" s="301">
        <f t="shared" si="110"/>
        <v>145629.06756264938</v>
      </c>
      <c r="AA315" s="12">
        <f>+paraméterek!$B$346</f>
        <v>6.4600000000000005E-2</v>
      </c>
      <c r="AB315" s="301">
        <f t="shared" si="111"/>
        <v>354432.10942605854</v>
      </c>
      <c r="AC315" s="301">
        <f t="shared" si="98"/>
        <v>87408.784489272453</v>
      </c>
      <c r="AD315" s="301">
        <f t="shared" si="112"/>
        <v>2411.6126013031458</v>
      </c>
      <c r="AE315" s="301">
        <f t="shared" si="113"/>
        <v>89820.3970905756</v>
      </c>
      <c r="AF315" s="477">
        <f t="shared" si="114"/>
        <v>89820.3970905756</v>
      </c>
      <c r="AI315" s="543">
        <f t="shared" si="99"/>
        <v>71305.128328514373</v>
      </c>
      <c r="AJ315" s="543">
        <f t="shared" si="115"/>
        <v>908.28631734157523</v>
      </c>
      <c r="AK315" s="300">
        <f t="shared" si="116"/>
        <v>287032.48728021665</v>
      </c>
      <c r="AL315" s="543">
        <f t="shared" si="117"/>
        <v>72213.414645855941</v>
      </c>
      <c r="AM315" s="10">
        <f t="shared" si="118"/>
        <v>72213.414645855941</v>
      </c>
      <c r="AP315" s="437">
        <f t="shared" si="119"/>
        <v>146437.06756264938</v>
      </c>
    </row>
    <row r="316" spans="1:42" s="11" customFormat="1" hidden="1" x14ac:dyDescent="0.3">
      <c r="A316" s="775">
        <v>237</v>
      </c>
      <c r="B316" s="775">
        <f t="shared" si="100"/>
        <v>20</v>
      </c>
      <c r="C316" s="891">
        <f t="shared" si="122"/>
        <v>0.14489675614077413</v>
      </c>
      <c r="D316" s="891"/>
      <c r="E316" s="891">
        <f t="shared" si="122"/>
        <v>0.03</v>
      </c>
      <c r="F316" s="891">
        <f t="shared" si="93"/>
        <v>0.03</v>
      </c>
      <c r="G316" s="893">
        <f t="shared" si="102"/>
        <v>199395.18760517117</v>
      </c>
      <c r="H316" s="436">
        <f t="shared" si="94"/>
        <v>66129.257089964565</v>
      </c>
      <c r="I316" s="302">
        <f t="shared" si="95"/>
        <v>0</v>
      </c>
      <c r="J316" s="301">
        <f t="shared" si="120"/>
        <v>673.03071051197605</v>
      </c>
      <c r="K316" s="301">
        <f t="shared" si="103"/>
        <v>66802.287800476537</v>
      </c>
      <c r="L316" s="10">
        <f t="shared" si="104"/>
        <v>66802.287800476537</v>
      </c>
      <c r="M316" s="302"/>
      <c r="N316" s="435">
        <f t="shared" si="105"/>
        <v>66802.287800476508</v>
      </c>
      <c r="O316" s="436">
        <f t="shared" si="96"/>
        <v>0</v>
      </c>
      <c r="P316" s="436">
        <f t="shared" si="106"/>
        <v>0</v>
      </c>
      <c r="R316" s="354">
        <f>+Hirdetmény!$AA$46</f>
        <v>0.13400000000000001</v>
      </c>
      <c r="S316" s="301">
        <f t="shared" si="107"/>
        <v>427178.08915529551</v>
      </c>
      <c r="T316" s="301">
        <f t="shared" si="97"/>
        <v>139216.48455336914</v>
      </c>
      <c r="U316" s="301">
        <f t="shared" si="108"/>
        <v>6412.5830092802753</v>
      </c>
      <c r="V316" s="301">
        <f t="shared" si="109"/>
        <v>145629.0675626494</v>
      </c>
      <c r="W316" s="301">
        <f t="shared" si="110"/>
        <v>145629.0675626494</v>
      </c>
      <c r="AA316" s="12">
        <f>+paraméterek!$B$346</f>
        <v>6.4600000000000005E-2</v>
      </c>
      <c r="AB316" s="301">
        <f t="shared" si="111"/>
        <v>266546.23888829706</v>
      </c>
      <c r="AC316" s="301">
        <f t="shared" si="98"/>
        <v>87885.870537761468</v>
      </c>
      <c r="AD316" s="301">
        <f t="shared" si="112"/>
        <v>1934.5265528141283</v>
      </c>
      <c r="AE316" s="301">
        <f t="shared" si="113"/>
        <v>89820.3970905756</v>
      </c>
      <c r="AF316" s="477">
        <f t="shared" si="114"/>
        <v>89820.3970905756</v>
      </c>
      <c r="AI316" s="543">
        <f t="shared" si="99"/>
        <v>71485.867021847036</v>
      </c>
      <c r="AJ316" s="543">
        <f t="shared" si="115"/>
        <v>727.54762400888239</v>
      </c>
      <c r="AK316" s="300">
        <f t="shared" si="116"/>
        <v>215546.6202583696</v>
      </c>
      <c r="AL316" s="543">
        <f t="shared" si="117"/>
        <v>72213.414645855912</v>
      </c>
      <c r="AM316" s="10">
        <f t="shared" si="118"/>
        <v>72213.414645855912</v>
      </c>
      <c r="AP316" s="437">
        <f t="shared" si="119"/>
        <v>146437.0675626494</v>
      </c>
    </row>
    <row r="317" spans="1:42" s="11" customFormat="1" hidden="1" x14ac:dyDescent="0.3">
      <c r="A317" s="775">
        <v>238</v>
      </c>
      <c r="B317" s="775">
        <f t="shared" si="100"/>
        <v>20</v>
      </c>
      <c r="C317" s="891">
        <f t="shared" si="122"/>
        <v>0.14489675614077413</v>
      </c>
      <c r="D317" s="891"/>
      <c r="E317" s="891">
        <f t="shared" si="122"/>
        <v>0.03</v>
      </c>
      <c r="F317" s="891">
        <f t="shared" si="93"/>
        <v>0.03</v>
      </c>
      <c r="G317" s="893">
        <f t="shared" si="102"/>
        <v>133098.31121772164</v>
      </c>
      <c r="H317" s="436">
        <f t="shared" si="94"/>
        <v>66296.876387449534</v>
      </c>
      <c r="I317" s="302">
        <f t="shared" si="95"/>
        <v>0</v>
      </c>
      <c r="J317" s="301">
        <f t="shared" si="120"/>
        <v>505.4114130269964</v>
      </c>
      <c r="K317" s="301">
        <f t="shared" si="103"/>
        <v>66802.287800476537</v>
      </c>
      <c r="L317" s="10">
        <f t="shared" si="104"/>
        <v>66802.287800476537</v>
      </c>
      <c r="M317" s="302"/>
      <c r="N317" s="435">
        <f t="shared" si="105"/>
        <v>66802.287800476508</v>
      </c>
      <c r="O317" s="436">
        <f t="shared" si="96"/>
        <v>0</v>
      </c>
      <c r="P317" s="436">
        <f t="shared" si="106"/>
        <v>0</v>
      </c>
      <c r="R317" s="354">
        <f>+Hirdetmény!$AA$46</f>
        <v>0.13400000000000001</v>
      </c>
      <c r="S317" s="301">
        <f t="shared" si="107"/>
        <v>286385.4290788928</v>
      </c>
      <c r="T317" s="301">
        <f t="shared" si="97"/>
        <v>140792.66007640274</v>
      </c>
      <c r="U317" s="301">
        <f t="shared" si="108"/>
        <v>4836.407486246645</v>
      </c>
      <c r="V317" s="301">
        <f t="shared" si="109"/>
        <v>145629.06756264938</v>
      </c>
      <c r="W317" s="301">
        <f t="shared" si="110"/>
        <v>145629.06756264938</v>
      </c>
      <c r="AA317" s="12">
        <f>+paraméterek!$B$346</f>
        <v>6.4600000000000005E-2</v>
      </c>
      <c r="AB317" s="301">
        <f t="shared" si="111"/>
        <v>178180.67831780185</v>
      </c>
      <c r="AC317" s="301">
        <f t="shared" si="98"/>
        <v>88365.560570495203</v>
      </c>
      <c r="AD317" s="301">
        <f t="shared" si="112"/>
        <v>1454.8365200803603</v>
      </c>
      <c r="AE317" s="301">
        <f t="shared" si="113"/>
        <v>89820.39709057557</v>
      </c>
      <c r="AF317" s="477">
        <f t="shared" si="114"/>
        <v>89820.39709057557</v>
      </c>
      <c r="AI317" s="543">
        <f t="shared" si="99"/>
        <v>71667.063837562135</v>
      </c>
      <c r="AJ317" s="543">
        <f t="shared" si="115"/>
        <v>546.3508082937841</v>
      </c>
      <c r="AK317" s="300">
        <f t="shared" si="116"/>
        <v>143879.55642080746</v>
      </c>
      <c r="AL317" s="543">
        <f t="shared" si="117"/>
        <v>72213.414645855912</v>
      </c>
      <c r="AM317" s="10">
        <f t="shared" si="118"/>
        <v>72213.414645855912</v>
      </c>
      <c r="AP317" s="437">
        <f t="shared" si="119"/>
        <v>146437.06756264938</v>
      </c>
    </row>
    <row r="318" spans="1:42" s="11" customFormat="1" hidden="1" x14ac:dyDescent="0.3">
      <c r="A318" s="775">
        <v>239</v>
      </c>
      <c r="B318" s="775">
        <f t="shared" si="100"/>
        <v>20</v>
      </c>
      <c r="C318" s="891">
        <f t="shared" si="122"/>
        <v>0.14489675614077413</v>
      </c>
      <c r="D318" s="891"/>
      <c r="E318" s="891">
        <f t="shared" si="122"/>
        <v>0.03</v>
      </c>
      <c r="F318" s="891">
        <f t="shared" si="93"/>
        <v>0.03</v>
      </c>
      <c r="G318" s="893">
        <f t="shared" si="102"/>
        <v>66633.390664428909</v>
      </c>
      <c r="H318" s="436">
        <f t="shared" si="94"/>
        <v>66464.92055329273</v>
      </c>
      <c r="I318" s="302">
        <f t="shared" si="95"/>
        <v>0</v>
      </c>
      <c r="J318" s="301">
        <f t="shared" si="120"/>
        <v>337.36724718380833</v>
      </c>
      <c r="K318" s="301">
        <f t="shared" si="103"/>
        <v>66802.287800476537</v>
      </c>
      <c r="L318" s="10">
        <f t="shared" si="104"/>
        <v>66802.287800476537</v>
      </c>
      <c r="M318" s="302"/>
      <c r="N318" s="435">
        <f t="shared" si="105"/>
        <v>66802.287800476508</v>
      </c>
      <c r="O318" s="436">
        <f t="shared" si="96"/>
        <v>0</v>
      </c>
      <c r="P318" s="436">
        <f t="shared" si="106"/>
        <v>0</v>
      </c>
      <c r="R318" s="354">
        <f>+Hirdetmény!$AA$46</f>
        <v>0.13400000000000001</v>
      </c>
      <c r="S318" s="301">
        <f t="shared" si="107"/>
        <v>143998.74839963421</v>
      </c>
      <c r="T318" s="301">
        <f t="shared" si="97"/>
        <v>142386.6806792586</v>
      </c>
      <c r="U318" s="301">
        <f t="shared" si="108"/>
        <v>3242.3868833908909</v>
      </c>
      <c r="V318" s="301">
        <f t="shared" si="109"/>
        <v>145629.06756264949</v>
      </c>
      <c r="W318" s="301">
        <f t="shared" si="110"/>
        <v>145629.06756264949</v>
      </c>
      <c r="AA318" s="12">
        <f>+paraméterek!$B$346</f>
        <v>6.4600000000000005E-2</v>
      </c>
      <c r="AB318" s="301">
        <f t="shared" si="111"/>
        <v>89332.8095175169</v>
      </c>
      <c r="AC318" s="301">
        <f t="shared" si="98"/>
        <v>88847.868800284952</v>
      </c>
      <c r="AD318" s="301">
        <f t="shared" si="112"/>
        <v>972.52829029061365</v>
      </c>
      <c r="AE318" s="301">
        <f t="shared" si="113"/>
        <v>89820.39709057557</v>
      </c>
      <c r="AF318" s="477">
        <f t="shared" si="114"/>
        <v>89820.39709057557</v>
      </c>
      <c r="AI318" s="543">
        <f t="shared" si="99"/>
        <v>71848.719936872629</v>
      </c>
      <c r="AJ318" s="543">
        <f t="shared" si="115"/>
        <v>364.69470898329666</v>
      </c>
      <c r="AK318" s="300">
        <f t="shared" si="116"/>
        <v>72030.836483934836</v>
      </c>
      <c r="AL318" s="543">
        <f t="shared" si="117"/>
        <v>72213.414645855926</v>
      </c>
      <c r="AM318" s="10">
        <f t="shared" si="118"/>
        <v>72213.414645855926</v>
      </c>
      <c r="AP318" s="437">
        <f t="shared" si="119"/>
        <v>146437.06756264949</v>
      </c>
    </row>
    <row r="319" spans="1:42" s="11" customFormat="1" hidden="1" x14ac:dyDescent="0.3">
      <c r="A319" s="775">
        <v>240</v>
      </c>
      <c r="B319" s="775">
        <f t="shared" si="100"/>
        <v>20</v>
      </c>
      <c r="C319" s="891">
        <f t="shared" si="122"/>
        <v>0.14489675614077413</v>
      </c>
      <c r="D319" s="891"/>
      <c r="E319" s="891">
        <f t="shared" si="122"/>
        <v>0.03</v>
      </c>
      <c r="F319" s="891">
        <f t="shared" si="93"/>
        <v>0.03</v>
      </c>
      <c r="G319" s="893">
        <f t="shared" si="102"/>
        <v>1.151056494563818E-8</v>
      </c>
      <c r="H319" s="436">
        <f t="shared" si="94"/>
        <v>66633.390664417399</v>
      </c>
      <c r="I319" s="302">
        <f t="shared" si="95"/>
        <v>0</v>
      </c>
      <c r="J319" s="301">
        <f t="shared" si="120"/>
        <v>168.89713605914272</v>
      </c>
      <c r="K319" s="301">
        <f t="shared" si="103"/>
        <v>66802.287800476537</v>
      </c>
      <c r="L319" s="10">
        <f t="shared" si="104"/>
        <v>66802.287800476537</v>
      </c>
      <c r="M319" s="302"/>
      <c r="N319" s="435">
        <f t="shared" si="105"/>
        <v>66802.287800476508</v>
      </c>
      <c r="O319" s="436">
        <f t="shared" si="96"/>
        <v>0</v>
      </c>
      <c r="P319" s="436">
        <f t="shared" si="106"/>
        <v>0</v>
      </c>
      <c r="R319" s="354">
        <f>+Hirdetmény!$AA$46</f>
        <v>0.13400000000000001</v>
      </c>
      <c r="S319" s="301">
        <f t="shared" si="107"/>
        <v>0</v>
      </c>
      <c r="T319" s="301">
        <f t="shared" si="97"/>
        <v>143998.74839963418</v>
      </c>
      <c r="U319" s="301">
        <f t="shared" si="108"/>
        <v>1630.319163015303</v>
      </c>
      <c r="V319" s="301">
        <f t="shared" si="109"/>
        <v>145629.06756264949</v>
      </c>
      <c r="W319" s="301">
        <f t="shared" si="110"/>
        <v>145629.06756264949</v>
      </c>
      <c r="AA319" s="12">
        <f>+paraméterek!$B$346</f>
        <v>6.4600000000000005E-2</v>
      </c>
      <c r="AB319" s="301">
        <f t="shared" si="111"/>
        <v>0</v>
      </c>
      <c r="AC319" s="301">
        <f t="shared" si="98"/>
        <v>89332.8095175169</v>
      </c>
      <c r="AD319" s="301">
        <f t="shared" si="112"/>
        <v>487.58757305868778</v>
      </c>
      <c r="AE319" s="301">
        <f t="shared" si="113"/>
        <v>89820.397090575585</v>
      </c>
      <c r="AF319" s="477">
        <f t="shared" si="114"/>
        <v>89820.397090575585</v>
      </c>
      <c r="AI319" s="543">
        <f t="shared" si="99"/>
        <v>72030.836483934836</v>
      </c>
      <c r="AJ319" s="543">
        <f t="shared" si="115"/>
        <v>182.57816192108484</v>
      </c>
      <c r="AK319" s="300">
        <f t="shared" si="116"/>
        <v>0</v>
      </c>
      <c r="AL319" s="543">
        <f t="shared" si="117"/>
        <v>72213.414645855926</v>
      </c>
      <c r="AM319" s="10">
        <f t="shared" si="118"/>
        <v>72213.414645855926</v>
      </c>
      <c r="AP319" s="437">
        <f t="shared" si="119"/>
        <v>146437.06756264949</v>
      </c>
    </row>
    <row r="320" spans="1:42" s="11" customFormat="1" hidden="1" x14ac:dyDescent="0.3">
      <c r="A320" s="775">
        <v>241</v>
      </c>
      <c r="B320" s="775">
        <f t="shared" si="100"/>
        <v>21</v>
      </c>
      <c r="C320" s="891">
        <f t="shared" si="122"/>
        <v>0.14489675614077413</v>
      </c>
      <c r="D320" s="891"/>
      <c r="E320" s="891">
        <f t="shared" si="122"/>
        <v>0.03</v>
      </c>
      <c r="F320" s="891">
        <f t="shared" si="93"/>
        <v>0.03</v>
      </c>
      <c r="G320" s="893">
        <f t="shared" si="102"/>
        <v>1.151056494563818E-8</v>
      </c>
      <c r="H320" s="436">
        <f t="shared" si="94"/>
        <v>0</v>
      </c>
      <c r="I320" s="302">
        <f t="shared" si="95"/>
        <v>0</v>
      </c>
      <c r="J320" s="301">
        <f t="shared" si="120"/>
        <v>2.9176084758041223E-11</v>
      </c>
      <c r="K320" s="301">
        <f t="shared" si="103"/>
        <v>2.9176084758041223E-11</v>
      </c>
      <c r="L320" s="10">
        <f t="shared" si="104"/>
        <v>2.9176084758041223E-11</v>
      </c>
      <c r="M320" s="302"/>
      <c r="N320" s="435">
        <f t="shared" si="105"/>
        <v>0</v>
      </c>
      <c r="O320" s="436">
        <f t="shared" si="96"/>
        <v>0</v>
      </c>
      <c r="P320" s="436">
        <f t="shared" si="106"/>
        <v>0</v>
      </c>
      <c r="R320" s="354">
        <f>+Hirdetmény!$AA$46</f>
        <v>0.13400000000000001</v>
      </c>
      <c r="S320" s="301">
        <f t="shared" si="107"/>
        <v>0</v>
      </c>
      <c r="T320" s="301">
        <f t="shared" si="97"/>
        <v>0</v>
      </c>
      <c r="U320" s="301">
        <f t="shared" si="108"/>
        <v>0</v>
      </c>
      <c r="V320" s="301">
        <f t="shared" si="109"/>
        <v>0</v>
      </c>
      <c r="W320" s="301">
        <f t="shared" si="110"/>
        <v>0</v>
      </c>
      <c r="AA320" s="12">
        <f>+paraméterek!$B$346</f>
        <v>6.4600000000000005E-2</v>
      </c>
      <c r="AB320" s="301">
        <f t="shared" si="111"/>
        <v>0</v>
      </c>
      <c r="AC320" s="301">
        <f t="shared" si="98"/>
        <v>0</v>
      </c>
      <c r="AD320" s="301">
        <f t="shared" si="112"/>
        <v>0</v>
      </c>
      <c r="AE320" s="301">
        <f t="shared" si="113"/>
        <v>0</v>
      </c>
      <c r="AF320" s="477">
        <f t="shared" si="114"/>
        <v>0</v>
      </c>
      <c r="AI320" s="543">
        <f t="shared" si="99"/>
        <v>0</v>
      </c>
      <c r="AJ320" s="543">
        <f t="shared" si="115"/>
        <v>0</v>
      </c>
      <c r="AK320" s="300">
        <f t="shared" si="116"/>
        <v>0</v>
      </c>
      <c r="AL320" s="543">
        <f t="shared" si="117"/>
        <v>0</v>
      </c>
      <c r="AM320" s="10">
        <f t="shared" si="118"/>
        <v>0</v>
      </c>
      <c r="AP320" s="437">
        <f t="shared" si="119"/>
        <v>0</v>
      </c>
    </row>
    <row r="321" spans="1:42" s="11" customFormat="1" hidden="1" x14ac:dyDescent="0.3">
      <c r="A321" s="775">
        <v>242</v>
      </c>
      <c r="B321" s="775">
        <f t="shared" si="100"/>
        <v>21</v>
      </c>
      <c r="C321" s="891">
        <f t="shared" ref="C321:E336" si="123">+C320</f>
        <v>0.14489675614077413</v>
      </c>
      <c r="D321" s="891"/>
      <c r="E321" s="891">
        <f t="shared" si="123"/>
        <v>0.03</v>
      </c>
      <c r="F321" s="891">
        <f t="shared" si="93"/>
        <v>0.03</v>
      </c>
      <c r="G321" s="893">
        <f t="shared" si="102"/>
        <v>1.151056494563818E-8</v>
      </c>
      <c r="H321" s="436">
        <f t="shared" si="94"/>
        <v>0</v>
      </c>
      <c r="I321" s="302">
        <f t="shared" si="95"/>
        <v>0</v>
      </c>
      <c r="J321" s="301">
        <f t="shared" si="120"/>
        <v>2.9176084758041223E-11</v>
      </c>
      <c r="K321" s="301">
        <f t="shared" si="103"/>
        <v>2.9176084758041223E-11</v>
      </c>
      <c r="L321" s="10">
        <f t="shared" si="104"/>
        <v>2.9176084758041223E-11</v>
      </c>
      <c r="M321" s="302"/>
      <c r="N321" s="435">
        <f t="shared" si="105"/>
        <v>0</v>
      </c>
      <c r="O321" s="436">
        <f t="shared" si="96"/>
        <v>0</v>
      </c>
      <c r="P321" s="436">
        <f t="shared" si="106"/>
        <v>0</v>
      </c>
      <c r="R321" s="354">
        <f>+Hirdetmény!$AA$46</f>
        <v>0.13400000000000001</v>
      </c>
      <c r="S321" s="301">
        <f t="shared" si="107"/>
        <v>0</v>
      </c>
      <c r="T321" s="301">
        <f t="shared" si="97"/>
        <v>0</v>
      </c>
      <c r="U321" s="301">
        <f t="shared" si="108"/>
        <v>0</v>
      </c>
      <c r="V321" s="301">
        <f t="shared" si="109"/>
        <v>0</v>
      </c>
      <c r="W321" s="301">
        <f t="shared" si="110"/>
        <v>0</v>
      </c>
      <c r="AA321" s="12">
        <f>+paraméterek!$B$346</f>
        <v>6.4600000000000005E-2</v>
      </c>
      <c r="AB321" s="301">
        <f t="shared" si="111"/>
        <v>0</v>
      </c>
      <c r="AC321" s="301">
        <f t="shared" si="98"/>
        <v>0</v>
      </c>
      <c r="AD321" s="301">
        <f t="shared" si="112"/>
        <v>0</v>
      </c>
      <c r="AE321" s="301">
        <f t="shared" si="113"/>
        <v>0</v>
      </c>
      <c r="AF321" s="477">
        <f t="shared" si="114"/>
        <v>0</v>
      </c>
      <c r="AI321" s="543">
        <f t="shared" si="99"/>
        <v>0</v>
      </c>
      <c r="AJ321" s="543">
        <f t="shared" si="115"/>
        <v>0</v>
      </c>
      <c r="AK321" s="300">
        <f t="shared" si="116"/>
        <v>0</v>
      </c>
      <c r="AL321" s="543">
        <f t="shared" si="117"/>
        <v>0</v>
      </c>
      <c r="AM321" s="10">
        <f t="shared" si="118"/>
        <v>0</v>
      </c>
      <c r="AP321" s="437">
        <f t="shared" si="119"/>
        <v>0</v>
      </c>
    </row>
    <row r="322" spans="1:42" s="11" customFormat="1" hidden="1" x14ac:dyDescent="0.3">
      <c r="A322" s="775">
        <v>243</v>
      </c>
      <c r="B322" s="775">
        <f t="shared" si="100"/>
        <v>21</v>
      </c>
      <c r="C322" s="891">
        <f t="shared" si="123"/>
        <v>0.14489675614077413</v>
      </c>
      <c r="D322" s="891"/>
      <c r="E322" s="891">
        <f t="shared" si="123"/>
        <v>0.03</v>
      </c>
      <c r="F322" s="891">
        <f t="shared" si="93"/>
        <v>0.03</v>
      </c>
      <c r="G322" s="893">
        <f t="shared" si="102"/>
        <v>1.151056494563818E-8</v>
      </c>
      <c r="H322" s="436">
        <f t="shared" si="94"/>
        <v>0</v>
      </c>
      <c r="I322" s="302">
        <f t="shared" si="95"/>
        <v>0</v>
      </c>
      <c r="J322" s="301">
        <f t="shared" si="120"/>
        <v>2.9176084758041223E-11</v>
      </c>
      <c r="K322" s="301">
        <f t="shared" si="103"/>
        <v>2.9176084758041223E-11</v>
      </c>
      <c r="L322" s="10">
        <f t="shared" si="104"/>
        <v>2.9176084758041223E-11</v>
      </c>
      <c r="M322" s="302"/>
      <c r="N322" s="435">
        <f t="shared" si="105"/>
        <v>0</v>
      </c>
      <c r="O322" s="436">
        <f t="shared" si="96"/>
        <v>0</v>
      </c>
      <c r="P322" s="436">
        <f t="shared" si="106"/>
        <v>0</v>
      </c>
      <c r="R322" s="354">
        <f>+Hirdetmény!$AA$46</f>
        <v>0.13400000000000001</v>
      </c>
      <c r="S322" s="301">
        <f t="shared" si="107"/>
        <v>0</v>
      </c>
      <c r="T322" s="301">
        <f t="shared" si="97"/>
        <v>0</v>
      </c>
      <c r="U322" s="301">
        <f t="shared" si="108"/>
        <v>0</v>
      </c>
      <c r="V322" s="301">
        <f t="shared" si="109"/>
        <v>0</v>
      </c>
      <c r="W322" s="301">
        <f t="shared" si="110"/>
        <v>0</v>
      </c>
      <c r="AA322" s="12">
        <f>+paraméterek!$B$346</f>
        <v>6.4600000000000005E-2</v>
      </c>
      <c r="AB322" s="301">
        <f t="shared" si="111"/>
        <v>0</v>
      </c>
      <c r="AC322" s="301">
        <f t="shared" si="98"/>
        <v>0</v>
      </c>
      <c r="AD322" s="301">
        <f t="shared" si="112"/>
        <v>0</v>
      </c>
      <c r="AE322" s="301">
        <f t="shared" si="113"/>
        <v>0</v>
      </c>
      <c r="AF322" s="477">
        <f t="shared" si="114"/>
        <v>0</v>
      </c>
      <c r="AI322" s="543">
        <f t="shared" si="99"/>
        <v>0</v>
      </c>
      <c r="AJ322" s="543">
        <f t="shared" si="115"/>
        <v>0</v>
      </c>
      <c r="AK322" s="300">
        <f t="shared" si="116"/>
        <v>0</v>
      </c>
      <c r="AL322" s="543">
        <f t="shared" si="117"/>
        <v>0</v>
      </c>
      <c r="AM322" s="10">
        <f t="shared" si="118"/>
        <v>0</v>
      </c>
      <c r="AP322" s="437">
        <f t="shared" si="119"/>
        <v>0</v>
      </c>
    </row>
    <row r="323" spans="1:42" s="11" customFormat="1" hidden="1" x14ac:dyDescent="0.3">
      <c r="A323" s="775">
        <v>244</v>
      </c>
      <c r="B323" s="775">
        <f t="shared" si="100"/>
        <v>21</v>
      </c>
      <c r="C323" s="891">
        <f t="shared" si="123"/>
        <v>0.14489675614077413</v>
      </c>
      <c r="D323" s="891"/>
      <c r="E323" s="891">
        <f t="shared" si="123"/>
        <v>0.03</v>
      </c>
      <c r="F323" s="891">
        <f t="shared" si="93"/>
        <v>0.03</v>
      </c>
      <c r="G323" s="893">
        <f t="shared" si="102"/>
        <v>1.151056494563818E-8</v>
      </c>
      <c r="H323" s="436">
        <f t="shared" si="94"/>
        <v>0</v>
      </c>
      <c r="I323" s="302">
        <f t="shared" si="95"/>
        <v>0</v>
      </c>
      <c r="J323" s="301">
        <f t="shared" si="120"/>
        <v>2.9176084758041223E-11</v>
      </c>
      <c r="K323" s="301">
        <f t="shared" si="103"/>
        <v>2.9176084758041223E-11</v>
      </c>
      <c r="L323" s="10">
        <f t="shared" si="104"/>
        <v>2.9176084758041223E-11</v>
      </c>
      <c r="M323" s="302"/>
      <c r="N323" s="435">
        <f t="shared" si="105"/>
        <v>0</v>
      </c>
      <c r="O323" s="436">
        <f t="shared" si="96"/>
        <v>0</v>
      </c>
      <c r="P323" s="436">
        <f t="shared" si="106"/>
        <v>0</v>
      </c>
      <c r="R323" s="354">
        <f>+Hirdetmény!$AA$46</f>
        <v>0.13400000000000001</v>
      </c>
      <c r="S323" s="301">
        <f t="shared" si="107"/>
        <v>0</v>
      </c>
      <c r="T323" s="301">
        <f t="shared" si="97"/>
        <v>0</v>
      </c>
      <c r="U323" s="301">
        <f t="shared" si="108"/>
        <v>0</v>
      </c>
      <c r="V323" s="301">
        <f t="shared" si="109"/>
        <v>0</v>
      </c>
      <c r="W323" s="301">
        <f t="shared" si="110"/>
        <v>0</v>
      </c>
      <c r="AA323" s="12">
        <f>+paraméterek!$B$346</f>
        <v>6.4600000000000005E-2</v>
      </c>
      <c r="AB323" s="301">
        <f t="shared" si="111"/>
        <v>0</v>
      </c>
      <c r="AC323" s="301">
        <f t="shared" si="98"/>
        <v>0</v>
      </c>
      <c r="AD323" s="301">
        <f t="shared" si="112"/>
        <v>0</v>
      </c>
      <c r="AE323" s="301">
        <f t="shared" si="113"/>
        <v>0</v>
      </c>
      <c r="AF323" s="477">
        <f t="shared" si="114"/>
        <v>0</v>
      </c>
      <c r="AI323" s="543">
        <f t="shared" si="99"/>
        <v>0</v>
      </c>
      <c r="AJ323" s="543">
        <f t="shared" si="115"/>
        <v>0</v>
      </c>
      <c r="AK323" s="300">
        <f t="shared" si="116"/>
        <v>0</v>
      </c>
      <c r="AL323" s="543">
        <f t="shared" si="117"/>
        <v>0</v>
      </c>
      <c r="AM323" s="10">
        <f t="shared" si="118"/>
        <v>0</v>
      </c>
      <c r="AP323" s="437">
        <f t="shared" si="119"/>
        <v>0</v>
      </c>
    </row>
    <row r="324" spans="1:42" s="11" customFormat="1" hidden="1" x14ac:dyDescent="0.3">
      <c r="A324" s="775">
        <v>245</v>
      </c>
      <c r="B324" s="775">
        <f t="shared" si="100"/>
        <v>21</v>
      </c>
      <c r="C324" s="891">
        <f t="shared" si="123"/>
        <v>0.14489675614077413</v>
      </c>
      <c r="D324" s="891"/>
      <c r="E324" s="891">
        <f t="shared" si="123"/>
        <v>0.03</v>
      </c>
      <c r="F324" s="891">
        <f t="shared" si="93"/>
        <v>0.03</v>
      </c>
      <c r="G324" s="893">
        <f t="shared" si="102"/>
        <v>1.151056494563818E-8</v>
      </c>
      <c r="H324" s="436">
        <f t="shared" si="94"/>
        <v>0</v>
      </c>
      <c r="I324" s="302">
        <f t="shared" si="95"/>
        <v>0</v>
      </c>
      <c r="J324" s="301">
        <f t="shared" si="120"/>
        <v>2.9176084758041223E-11</v>
      </c>
      <c r="K324" s="301">
        <f t="shared" si="103"/>
        <v>2.9176084758041223E-11</v>
      </c>
      <c r="L324" s="10">
        <f t="shared" si="104"/>
        <v>2.9176084758041223E-11</v>
      </c>
      <c r="M324" s="302"/>
      <c r="N324" s="435">
        <f t="shared" si="105"/>
        <v>0</v>
      </c>
      <c r="O324" s="436">
        <f t="shared" si="96"/>
        <v>0</v>
      </c>
      <c r="P324" s="436">
        <f t="shared" si="106"/>
        <v>0</v>
      </c>
      <c r="R324" s="354">
        <f>+Hirdetmény!$AA$46</f>
        <v>0.13400000000000001</v>
      </c>
      <c r="S324" s="301">
        <f t="shared" si="107"/>
        <v>0</v>
      </c>
      <c r="T324" s="301">
        <f t="shared" si="97"/>
        <v>0</v>
      </c>
      <c r="U324" s="301">
        <f t="shared" si="108"/>
        <v>0</v>
      </c>
      <c r="V324" s="301">
        <f t="shared" si="109"/>
        <v>0</v>
      </c>
      <c r="W324" s="301">
        <f t="shared" si="110"/>
        <v>0</v>
      </c>
      <c r="AA324" s="12">
        <f>+paraméterek!$B$346</f>
        <v>6.4600000000000005E-2</v>
      </c>
      <c r="AB324" s="301">
        <f t="shared" si="111"/>
        <v>0</v>
      </c>
      <c r="AC324" s="301">
        <f t="shared" si="98"/>
        <v>0</v>
      </c>
      <c r="AD324" s="301">
        <f t="shared" si="112"/>
        <v>0</v>
      </c>
      <c r="AE324" s="301">
        <f t="shared" si="113"/>
        <v>0</v>
      </c>
      <c r="AF324" s="477">
        <f t="shared" si="114"/>
        <v>0</v>
      </c>
      <c r="AI324" s="543">
        <f t="shared" si="99"/>
        <v>0</v>
      </c>
      <c r="AJ324" s="543">
        <f t="shared" si="115"/>
        <v>0</v>
      </c>
      <c r="AK324" s="300">
        <f t="shared" si="116"/>
        <v>0</v>
      </c>
      <c r="AL324" s="543">
        <f t="shared" si="117"/>
        <v>0</v>
      </c>
      <c r="AM324" s="10">
        <f t="shared" si="118"/>
        <v>0</v>
      </c>
      <c r="AP324" s="437">
        <f t="shared" si="119"/>
        <v>0</v>
      </c>
    </row>
    <row r="325" spans="1:42" s="11" customFormat="1" hidden="1" x14ac:dyDescent="0.3">
      <c r="A325" s="775">
        <v>246</v>
      </c>
      <c r="B325" s="775">
        <f t="shared" si="100"/>
        <v>21</v>
      </c>
      <c r="C325" s="891">
        <f t="shared" si="123"/>
        <v>0.14489675614077413</v>
      </c>
      <c r="D325" s="891"/>
      <c r="E325" s="891">
        <f t="shared" si="123"/>
        <v>0.03</v>
      </c>
      <c r="F325" s="891">
        <f t="shared" si="93"/>
        <v>0.03</v>
      </c>
      <c r="G325" s="893">
        <f t="shared" si="102"/>
        <v>1.151056494563818E-8</v>
      </c>
      <c r="H325" s="436">
        <f t="shared" si="94"/>
        <v>0</v>
      </c>
      <c r="I325" s="302">
        <f t="shared" si="95"/>
        <v>0</v>
      </c>
      <c r="J325" s="301">
        <f t="shared" si="120"/>
        <v>2.9176084758041223E-11</v>
      </c>
      <c r="K325" s="301">
        <f t="shared" si="103"/>
        <v>2.9176084758041223E-11</v>
      </c>
      <c r="L325" s="10">
        <f t="shared" si="104"/>
        <v>2.9176084758041223E-11</v>
      </c>
      <c r="M325" s="302"/>
      <c r="N325" s="435">
        <f t="shared" si="105"/>
        <v>0</v>
      </c>
      <c r="O325" s="436">
        <f t="shared" si="96"/>
        <v>0</v>
      </c>
      <c r="P325" s="436">
        <f t="shared" si="106"/>
        <v>0</v>
      </c>
      <c r="R325" s="354">
        <f>+Hirdetmény!$AA$46</f>
        <v>0.13400000000000001</v>
      </c>
      <c r="S325" s="301">
        <f t="shared" si="107"/>
        <v>0</v>
      </c>
      <c r="T325" s="301">
        <f t="shared" si="97"/>
        <v>0</v>
      </c>
      <c r="U325" s="301">
        <f t="shared" si="108"/>
        <v>0</v>
      </c>
      <c r="V325" s="301">
        <f t="shared" si="109"/>
        <v>0</v>
      </c>
      <c r="W325" s="301">
        <f t="shared" si="110"/>
        <v>0</v>
      </c>
      <c r="AA325" s="12">
        <f>+paraméterek!$B$346</f>
        <v>6.4600000000000005E-2</v>
      </c>
      <c r="AB325" s="301">
        <f t="shared" si="111"/>
        <v>0</v>
      </c>
      <c r="AC325" s="301">
        <f t="shared" si="98"/>
        <v>0</v>
      </c>
      <c r="AD325" s="301">
        <f t="shared" si="112"/>
        <v>0</v>
      </c>
      <c r="AE325" s="301">
        <f t="shared" si="113"/>
        <v>0</v>
      </c>
      <c r="AF325" s="477">
        <f t="shared" si="114"/>
        <v>0</v>
      </c>
      <c r="AI325" s="543">
        <f t="shared" si="99"/>
        <v>0</v>
      </c>
      <c r="AJ325" s="543">
        <f t="shared" si="115"/>
        <v>0</v>
      </c>
      <c r="AK325" s="300">
        <f t="shared" si="116"/>
        <v>0</v>
      </c>
      <c r="AL325" s="543">
        <f t="shared" si="117"/>
        <v>0</v>
      </c>
      <c r="AM325" s="10">
        <f t="shared" si="118"/>
        <v>0</v>
      </c>
      <c r="AP325" s="437">
        <f t="shared" si="119"/>
        <v>0</v>
      </c>
    </row>
    <row r="326" spans="1:42" s="11" customFormat="1" hidden="1" x14ac:dyDescent="0.3">
      <c r="A326" s="775">
        <v>247</v>
      </c>
      <c r="B326" s="775">
        <f t="shared" si="100"/>
        <v>21</v>
      </c>
      <c r="C326" s="891">
        <f t="shared" si="123"/>
        <v>0.14489675614077413</v>
      </c>
      <c r="D326" s="891"/>
      <c r="E326" s="891">
        <f t="shared" si="123"/>
        <v>0.03</v>
      </c>
      <c r="F326" s="891">
        <f t="shared" si="93"/>
        <v>0.03</v>
      </c>
      <c r="G326" s="893">
        <f t="shared" si="102"/>
        <v>1.151056494563818E-8</v>
      </c>
      <c r="H326" s="436">
        <f t="shared" si="94"/>
        <v>0</v>
      </c>
      <c r="I326" s="302">
        <f t="shared" si="95"/>
        <v>0</v>
      </c>
      <c r="J326" s="301">
        <f t="shared" si="120"/>
        <v>2.9176084758041223E-11</v>
      </c>
      <c r="K326" s="301">
        <f t="shared" si="103"/>
        <v>2.9176084758041223E-11</v>
      </c>
      <c r="L326" s="10">
        <f t="shared" si="104"/>
        <v>2.9176084758041223E-11</v>
      </c>
      <c r="M326" s="302"/>
      <c r="N326" s="435">
        <f t="shared" si="105"/>
        <v>0</v>
      </c>
      <c r="O326" s="436">
        <f t="shared" si="96"/>
        <v>0</v>
      </c>
      <c r="P326" s="436">
        <f t="shared" si="106"/>
        <v>0</v>
      </c>
      <c r="R326" s="354">
        <f>+Hirdetmény!$AA$46</f>
        <v>0.13400000000000001</v>
      </c>
      <c r="S326" s="301">
        <f t="shared" si="107"/>
        <v>0</v>
      </c>
      <c r="T326" s="301">
        <f t="shared" si="97"/>
        <v>0</v>
      </c>
      <c r="U326" s="301">
        <f t="shared" si="108"/>
        <v>0</v>
      </c>
      <c r="V326" s="301">
        <f t="shared" si="109"/>
        <v>0</v>
      </c>
      <c r="W326" s="301">
        <f t="shared" si="110"/>
        <v>0</v>
      </c>
      <c r="AA326" s="12">
        <f>+paraméterek!$B$346</f>
        <v>6.4600000000000005E-2</v>
      </c>
      <c r="AB326" s="301">
        <f t="shared" si="111"/>
        <v>0</v>
      </c>
      <c r="AC326" s="301">
        <f t="shared" si="98"/>
        <v>0</v>
      </c>
      <c r="AD326" s="301">
        <f t="shared" si="112"/>
        <v>0</v>
      </c>
      <c r="AE326" s="301">
        <f t="shared" si="113"/>
        <v>0</v>
      </c>
      <c r="AF326" s="477">
        <f t="shared" si="114"/>
        <v>0</v>
      </c>
      <c r="AI326" s="543">
        <f t="shared" si="99"/>
        <v>0</v>
      </c>
      <c r="AJ326" s="543">
        <f t="shared" si="115"/>
        <v>0</v>
      </c>
      <c r="AK326" s="300">
        <f t="shared" si="116"/>
        <v>0</v>
      </c>
      <c r="AL326" s="543">
        <f t="shared" si="117"/>
        <v>0</v>
      </c>
      <c r="AM326" s="10">
        <f t="shared" si="118"/>
        <v>0</v>
      </c>
      <c r="AP326" s="437">
        <f t="shared" si="119"/>
        <v>0</v>
      </c>
    </row>
    <row r="327" spans="1:42" s="11" customFormat="1" hidden="1" x14ac:dyDescent="0.3">
      <c r="A327" s="775">
        <v>248</v>
      </c>
      <c r="B327" s="775">
        <f t="shared" si="100"/>
        <v>21</v>
      </c>
      <c r="C327" s="891">
        <f t="shared" si="123"/>
        <v>0.14489675614077413</v>
      </c>
      <c r="D327" s="891"/>
      <c r="E327" s="891">
        <f t="shared" si="123"/>
        <v>0.03</v>
      </c>
      <c r="F327" s="891">
        <f t="shared" si="93"/>
        <v>0.03</v>
      </c>
      <c r="G327" s="893">
        <f t="shared" si="102"/>
        <v>1.151056494563818E-8</v>
      </c>
      <c r="H327" s="436">
        <f t="shared" si="94"/>
        <v>0</v>
      </c>
      <c r="I327" s="302">
        <f t="shared" si="95"/>
        <v>0</v>
      </c>
      <c r="J327" s="301">
        <f t="shared" si="120"/>
        <v>2.9176084758041223E-11</v>
      </c>
      <c r="K327" s="301">
        <f t="shared" si="103"/>
        <v>2.9176084758041223E-11</v>
      </c>
      <c r="L327" s="10">
        <f t="shared" si="104"/>
        <v>2.9176084758041223E-11</v>
      </c>
      <c r="M327" s="302"/>
      <c r="N327" s="435">
        <f t="shared" si="105"/>
        <v>0</v>
      </c>
      <c r="O327" s="436">
        <f t="shared" si="96"/>
        <v>0</v>
      </c>
      <c r="P327" s="436">
        <f t="shared" si="106"/>
        <v>0</v>
      </c>
      <c r="R327" s="354">
        <f>+Hirdetmény!$AA$46</f>
        <v>0.13400000000000001</v>
      </c>
      <c r="S327" s="301">
        <f t="shared" si="107"/>
        <v>0</v>
      </c>
      <c r="T327" s="301">
        <f t="shared" si="97"/>
        <v>0</v>
      </c>
      <c r="U327" s="301">
        <f t="shared" si="108"/>
        <v>0</v>
      </c>
      <c r="V327" s="301">
        <f t="shared" si="109"/>
        <v>0</v>
      </c>
      <c r="W327" s="301">
        <f t="shared" si="110"/>
        <v>0</v>
      </c>
      <c r="AA327" s="12">
        <f>+paraméterek!$B$346</f>
        <v>6.4600000000000005E-2</v>
      </c>
      <c r="AB327" s="301">
        <f t="shared" si="111"/>
        <v>0</v>
      </c>
      <c r="AC327" s="301">
        <f t="shared" si="98"/>
        <v>0</v>
      </c>
      <c r="AD327" s="301">
        <f t="shared" si="112"/>
        <v>0</v>
      </c>
      <c r="AE327" s="301">
        <f t="shared" si="113"/>
        <v>0</v>
      </c>
      <c r="AF327" s="477">
        <f t="shared" si="114"/>
        <v>0</v>
      </c>
      <c r="AI327" s="543">
        <f t="shared" si="99"/>
        <v>0</v>
      </c>
      <c r="AJ327" s="543">
        <f t="shared" si="115"/>
        <v>0</v>
      </c>
      <c r="AK327" s="300">
        <f t="shared" si="116"/>
        <v>0</v>
      </c>
      <c r="AL327" s="543">
        <f t="shared" si="117"/>
        <v>0</v>
      </c>
      <c r="AM327" s="10">
        <f t="shared" si="118"/>
        <v>0</v>
      </c>
      <c r="AP327" s="437">
        <f t="shared" si="119"/>
        <v>0</v>
      </c>
    </row>
    <row r="328" spans="1:42" s="11" customFormat="1" hidden="1" x14ac:dyDescent="0.3">
      <c r="A328" s="775">
        <v>249</v>
      </c>
      <c r="B328" s="775">
        <f t="shared" si="100"/>
        <v>21</v>
      </c>
      <c r="C328" s="891">
        <f t="shared" si="123"/>
        <v>0.14489675614077413</v>
      </c>
      <c r="D328" s="891"/>
      <c r="E328" s="891">
        <f t="shared" si="123"/>
        <v>0.03</v>
      </c>
      <c r="F328" s="891">
        <f t="shared" si="93"/>
        <v>0.03</v>
      </c>
      <c r="G328" s="893">
        <f t="shared" si="102"/>
        <v>1.151056494563818E-8</v>
      </c>
      <c r="H328" s="436">
        <f t="shared" si="94"/>
        <v>0</v>
      </c>
      <c r="I328" s="302">
        <f t="shared" si="95"/>
        <v>0</v>
      </c>
      <c r="J328" s="301">
        <f t="shared" si="120"/>
        <v>2.9176084758041223E-11</v>
      </c>
      <c r="K328" s="301">
        <f t="shared" si="103"/>
        <v>2.9176084758041223E-11</v>
      </c>
      <c r="L328" s="10">
        <f t="shared" si="104"/>
        <v>2.9176084758041223E-11</v>
      </c>
      <c r="M328" s="302"/>
      <c r="N328" s="435">
        <f t="shared" si="105"/>
        <v>0</v>
      </c>
      <c r="O328" s="436">
        <f t="shared" si="96"/>
        <v>0</v>
      </c>
      <c r="P328" s="436">
        <f t="shared" si="106"/>
        <v>0</v>
      </c>
      <c r="R328" s="354">
        <f>+Hirdetmény!$AA$46</f>
        <v>0.13400000000000001</v>
      </c>
      <c r="S328" s="301">
        <f t="shared" si="107"/>
        <v>0</v>
      </c>
      <c r="T328" s="301">
        <f t="shared" si="97"/>
        <v>0</v>
      </c>
      <c r="U328" s="301">
        <f t="shared" si="108"/>
        <v>0</v>
      </c>
      <c r="V328" s="301">
        <f t="shared" si="109"/>
        <v>0</v>
      </c>
      <c r="W328" s="301">
        <f t="shared" si="110"/>
        <v>0</v>
      </c>
      <c r="AA328" s="12">
        <f>+paraméterek!$B$346</f>
        <v>6.4600000000000005E-2</v>
      </c>
      <c r="AB328" s="301">
        <f t="shared" si="111"/>
        <v>0</v>
      </c>
      <c r="AC328" s="301">
        <f t="shared" si="98"/>
        <v>0</v>
      </c>
      <c r="AD328" s="301">
        <f t="shared" si="112"/>
        <v>0</v>
      </c>
      <c r="AE328" s="301">
        <f t="shared" si="113"/>
        <v>0</v>
      </c>
      <c r="AF328" s="477">
        <f t="shared" si="114"/>
        <v>0</v>
      </c>
      <c r="AI328" s="543">
        <f t="shared" si="99"/>
        <v>0</v>
      </c>
      <c r="AJ328" s="543">
        <f t="shared" si="115"/>
        <v>0</v>
      </c>
      <c r="AK328" s="300">
        <f t="shared" si="116"/>
        <v>0</v>
      </c>
      <c r="AL328" s="543">
        <f t="shared" si="117"/>
        <v>0</v>
      </c>
      <c r="AM328" s="10">
        <f t="shared" si="118"/>
        <v>0</v>
      </c>
      <c r="AP328" s="437">
        <f t="shared" si="119"/>
        <v>0</v>
      </c>
    </row>
    <row r="329" spans="1:42" s="11" customFormat="1" hidden="1" x14ac:dyDescent="0.3">
      <c r="A329" s="775">
        <v>250</v>
      </c>
      <c r="B329" s="775">
        <f t="shared" si="100"/>
        <v>21</v>
      </c>
      <c r="C329" s="891">
        <f t="shared" si="123"/>
        <v>0.14489675614077413</v>
      </c>
      <c r="D329" s="891"/>
      <c r="E329" s="891">
        <f t="shared" si="123"/>
        <v>0.03</v>
      </c>
      <c r="F329" s="891">
        <f t="shared" si="93"/>
        <v>0.03</v>
      </c>
      <c r="G329" s="893">
        <f t="shared" si="102"/>
        <v>1.151056494563818E-8</v>
      </c>
      <c r="H329" s="436">
        <f t="shared" si="94"/>
        <v>0</v>
      </c>
      <c r="I329" s="302">
        <f t="shared" si="95"/>
        <v>0</v>
      </c>
      <c r="J329" s="301">
        <f t="shared" si="120"/>
        <v>2.9176084758041223E-11</v>
      </c>
      <c r="K329" s="301">
        <f t="shared" si="103"/>
        <v>2.9176084758041223E-11</v>
      </c>
      <c r="L329" s="10">
        <f t="shared" si="104"/>
        <v>2.9176084758041223E-11</v>
      </c>
      <c r="M329" s="302"/>
      <c r="N329" s="435">
        <f t="shared" si="105"/>
        <v>0</v>
      </c>
      <c r="O329" s="436">
        <f t="shared" si="96"/>
        <v>0</v>
      </c>
      <c r="P329" s="436">
        <f t="shared" si="106"/>
        <v>0</v>
      </c>
      <c r="R329" s="354">
        <f>+Hirdetmény!$AA$46</f>
        <v>0.13400000000000001</v>
      </c>
      <c r="S329" s="301">
        <f t="shared" si="107"/>
        <v>0</v>
      </c>
      <c r="T329" s="301">
        <f t="shared" si="97"/>
        <v>0</v>
      </c>
      <c r="U329" s="301">
        <f t="shared" si="108"/>
        <v>0</v>
      </c>
      <c r="V329" s="301">
        <f t="shared" si="109"/>
        <v>0</v>
      </c>
      <c r="W329" s="301">
        <f t="shared" si="110"/>
        <v>0</v>
      </c>
      <c r="AA329" s="12">
        <f>+paraméterek!$B$346</f>
        <v>6.4600000000000005E-2</v>
      </c>
      <c r="AB329" s="301">
        <f t="shared" si="111"/>
        <v>0</v>
      </c>
      <c r="AC329" s="301">
        <f t="shared" si="98"/>
        <v>0</v>
      </c>
      <c r="AD329" s="301">
        <f t="shared" si="112"/>
        <v>0</v>
      </c>
      <c r="AE329" s="301">
        <f t="shared" si="113"/>
        <v>0</v>
      </c>
      <c r="AF329" s="477">
        <f t="shared" si="114"/>
        <v>0</v>
      </c>
      <c r="AI329" s="543">
        <f t="shared" si="99"/>
        <v>0</v>
      </c>
      <c r="AJ329" s="543">
        <f t="shared" si="115"/>
        <v>0</v>
      </c>
      <c r="AK329" s="300">
        <f t="shared" si="116"/>
        <v>0</v>
      </c>
      <c r="AL329" s="543">
        <f t="shared" si="117"/>
        <v>0</v>
      </c>
      <c r="AM329" s="10">
        <f t="shared" si="118"/>
        <v>0</v>
      </c>
      <c r="AP329" s="437">
        <f t="shared" si="119"/>
        <v>0</v>
      </c>
    </row>
    <row r="330" spans="1:42" s="11" customFormat="1" hidden="1" x14ac:dyDescent="0.3">
      <c r="A330" s="775">
        <v>251</v>
      </c>
      <c r="B330" s="775">
        <f t="shared" si="100"/>
        <v>21</v>
      </c>
      <c r="C330" s="891">
        <f t="shared" si="123"/>
        <v>0.14489675614077413</v>
      </c>
      <c r="D330" s="891"/>
      <c r="E330" s="891">
        <f t="shared" si="123"/>
        <v>0.03</v>
      </c>
      <c r="F330" s="891">
        <f t="shared" si="93"/>
        <v>0.03</v>
      </c>
      <c r="G330" s="893">
        <f t="shared" si="102"/>
        <v>1.151056494563818E-8</v>
      </c>
      <c r="H330" s="436">
        <f t="shared" si="94"/>
        <v>0</v>
      </c>
      <c r="I330" s="302">
        <f t="shared" si="95"/>
        <v>0</v>
      </c>
      <c r="J330" s="301">
        <f t="shared" si="120"/>
        <v>2.9176084758041223E-11</v>
      </c>
      <c r="K330" s="301">
        <f t="shared" si="103"/>
        <v>2.9176084758041223E-11</v>
      </c>
      <c r="L330" s="10">
        <f t="shared" si="104"/>
        <v>2.9176084758041223E-11</v>
      </c>
      <c r="M330" s="302"/>
      <c r="N330" s="435">
        <f t="shared" si="105"/>
        <v>0</v>
      </c>
      <c r="O330" s="436">
        <f t="shared" si="96"/>
        <v>0</v>
      </c>
      <c r="P330" s="436">
        <f t="shared" si="106"/>
        <v>0</v>
      </c>
      <c r="R330" s="354">
        <f>+Hirdetmény!$AA$46</f>
        <v>0.13400000000000001</v>
      </c>
      <c r="S330" s="301">
        <f t="shared" si="107"/>
        <v>0</v>
      </c>
      <c r="T330" s="301">
        <f t="shared" si="97"/>
        <v>0</v>
      </c>
      <c r="U330" s="301">
        <f t="shared" si="108"/>
        <v>0</v>
      </c>
      <c r="V330" s="301">
        <f t="shared" si="109"/>
        <v>0</v>
      </c>
      <c r="W330" s="301">
        <f t="shared" si="110"/>
        <v>0</v>
      </c>
      <c r="AA330" s="12">
        <f>+paraméterek!$B$346</f>
        <v>6.4600000000000005E-2</v>
      </c>
      <c r="AB330" s="301">
        <f t="shared" si="111"/>
        <v>0</v>
      </c>
      <c r="AC330" s="301">
        <f t="shared" si="98"/>
        <v>0</v>
      </c>
      <c r="AD330" s="301">
        <f t="shared" si="112"/>
        <v>0</v>
      </c>
      <c r="AE330" s="301">
        <f t="shared" si="113"/>
        <v>0</v>
      </c>
      <c r="AF330" s="477">
        <f t="shared" si="114"/>
        <v>0</v>
      </c>
      <c r="AI330" s="543">
        <f t="shared" si="99"/>
        <v>0</v>
      </c>
      <c r="AJ330" s="543">
        <f t="shared" si="115"/>
        <v>0</v>
      </c>
      <c r="AK330" s="300">
        <f t="shared" si="116"/>
        <v>0</v>
      </c>
      <c r="AL330" s="543">
        <f t="shared" si="117"/>
        <v>0</v>
      </c>
      <c r="AM330" s="10">
        <f t="shared" si="118"/>
        <v>0</v>
      </c>
      <c r="AP330" s="437">
        <f t="shared" si="119"/>
        <v>0</v>
      </c>
    </row>
    <row r="331" spans="1:42" s="11" customFormat="1" hidden="1" x14ac:dyDescent="0.3">
      <c r="A331" s="775">
        <v>252</v>
      </c>
      <c r="B331" s="775">
        <f t="shared" si="100"/>
        <v>21</v>
      </c>
      <c r="C331" s="891">
        <f t="shared" si="123"/>
        <v>0.14489675614077413</v>
      </c>
      <c r="D331" s="891"/>
      <c r="E331" s="891">
        <f t="shared" si="123"/>
        <v>0.03</v>
      </c>
      <c r="F331" s="891">
        <f t="shared" si="93"/>
        <v>0.03</v>
      </c>
      <c r="G331" s="893">
        <f t="shared" si="102"/>
        <v>1.151056494563818E-8</v>
      </c>
      <c r="H331" s="436">
        <f t="shared" si="94"/>
        <v>0</v>
      </c>
      <c r="I331" s="302">
        <f t="shared" si="95"/>
        <v>0</v>
      </c>
      <c r="J331" s="301">
        <f t="shared" si="120"/>
        <v>2.9176084758041223E-11</v>
      </c>
      <c r="K331" s="301">
        <f t="shared" si="103"/>
        <v>2.9176084758041223E-11</v>
      </c>
      <c r="L331" s="10">
        <f t="shared" si="104"/>
        <v>2.9176084758041223E-11</v>
      </c>
      <c r="M331" s="302"/>
      <c r="N331" s="435">
        <f t="shared" si="105"/>
        <v>0</v>
      </c>
      <c r="O331" s="436">
        <f t="shared" si="96"/>
        <v>0</v>
      </c>
      <c r="P331" s="436">
        <f t="shared" si="106"/>
        <v>0</v>
      </c>
      <c r="R331" s="354">
        <f>+Hirdetmény!$AA$46</f>
        <v>0.13400000000000001</v>
      </c>
      <c r="S331" s="301">
        <f t="shared" si="107"/>
        <v>0</v>
      </c>
      <c r="T331" s="301">
        <f t="shared" si="97"/>
        <v>0</v>
      </c>
      <c r="U331" s="301">
        <f t="shared" si="108"/>
        <v>0</v>
      </c>
      <c r="V331" s="301">
        <f t="shared" si="109"/>
        <v>0</v>
      </c>
      <c r="W331" s="301">
        <f t="shared" si="110"/>
        <v>0</v>
      </c>
      <c r="AA331" s="12">
        <f>+paraméterek!$B$346</f>
        <v>6.4600000000000005E-2</v>
      </c>
      <c r="AB331" s="301">
        <f t="shared" si="111"/>
        <v>0</v>
      </c>
      <c r="AC331" s="301">
        <f t="shared" si="98"/>
        <v>0</v>
      </c>
      <c r="AD331" s="301">
        <f t="shared" si="112"/>
        <v>0</v>
      </c>
      <c r="AE331" s="301">
        <f t="shared" si="113"/>
        <v>0</v>
      </c>
      <c r="AF331" s="477">
        <f t="shared" si="114"/>
        <v>0</v>
      </c>
      <c r="AI331" s="543">
        <f t="shared" si="99"/>
        <v>0</v>
      </c>
      <c r="AJ331" s="543">
        <f t="shared" si="115"/>
        <v>0</v>
      </c>
      <c r="AK331" s="300">
        <f t="shared" si="116"/>
        <v>0</v>
      </c>
      <c r="AL331" s="543">
        <f t="shared" si="117"/>
        <v>0</v>
      </c>
      <c r="AM331" s="10">
        <f t="shared" si="118"/>
        <v>0</v>
      </c>
      <c r="AP331" s="437">
        <f t="shared" si="119"/>
        <v>0</v>
      </c>
    </row>
    <row r="332" spans="1:42" s="11" customFormat="1" hidden="1" x14ac:dyDescent="0.3">
      <c r="A332" s="775">
        <v>253</v>
      </c>
      <c r="B332" s="775">
        <f t="shared" si="100"/>
        <v>22</v>
      </c>
      <c r="C332" s="891">
        <f t="shared" si="123"/>
        <v>0.14489675614077413</v>
      </c>
      <c r="D332" s="891"/>
      <c r="E332" s="891">
        <f t="shared" si="123"/>
        <v>0.03</v>
      </c>
      <c r="F332" s="891">
        <f t="shared" si="93"/>
        <v>0.03</v>
      </c>
      <c r="G332" s="893">
        <f t="shared" si="102"/>
        <v>1.151056494563818E-8</v>
      </c>
      <c r="H332" s="436">
        <f t="shared" si="94"/>
        <v>0</v>
      </c>
      <c r="I332" s="302">
        <f t="shared" si="95"/>
        <v>0</v>
      </c>
      <c r="J332" s="301">
        <f t="shared" si="120"/>
        <v>2.9176084758041223E-11</v>
      </c>
      <c r="K332" s="301">
        <f t="shared" si="103"/>
        <v>2.9176084758041223E-11</v>
      </c>
      <c r="L332" s="10">
        <f t="shared" si="104"/>
        <v>2.9176084758041223E-11</v>
      </c>
      <c r="M332" s="302"/>
      <c r="N332" s="435">
        <f t="shared" si="105"/>
        <v>0</v>
      </c>
      <c r="O332" s="436">
        <f t="shared" si="96"/>
        <v>0</v>
      </c>
      <c r="P332" s="436">
        <f t="shared" si="106"/>
        <v>0</v>
      </c>
      <c r="R332" s="354">
        <f>+Hirdetmény!$AA$46</f>
        <v>0.13400000000000001</v>
      </c>
      <c r="S332" s="301">
        <f t="shared" si="107"/>
        <v>0</v>
      </c>
      <c r="T332" s="301">
        <f t="shared" si="97"/>
        <v>0</v>
      </c>
      <c r="U332" s="301">
        <f t="shared" si="108"/>
        <v>0</v>
      </c>
      <c r="V332" s="301">
        <f t="shared" si="109"/>
        <v>0</v>
      </c>
      <c r="W332" s="301">
        <f t="shared" si="110"/>
        <v>0</v>
      </c>
      <c r="AA332" s="12">
        <f>+paraméterek!$B$346</f>
        <v>6.4600000000000005E-2</v>
      </c>
      <c r="AB332" s="301">
        <f t="shared" si="111"/>
        <v>0</v>
      </c>
      <c r="AC332" s="301">
        <f t="shared" si="98"/>
        <v>0</v>
      </c>
      <c r="AD332" s="301">
        <f t="shared" si="112"/>
        <v>0</v>
      </c>
      <c r="AE332" s="301">
        <f t="shared" si="113"/>
        <v>0</v>
      </c>
      <c r="AF332" s="477">
        <f t="shared" si="114"/>
        <v>0</v>
      </c>
      <c r="AI332" s="543">
        <f t="shared" si="99"/>
        <v>0</v>
      </c>
      <c r="AJ332" s="543">
        <f t="shared" si="115"/>
        <v>0</v>
      </c>
      <c r="AK332" s="300">
        <f t="shared" si="116"/>
        <v>0</v>
      </c>
      <c r="AL332" s="543">
        <f t="shared" si="117"/>
        <v>0</v>
      </c>
      <c r="AM332" s="10">
        <f t="shared" si="118"/>
        <v>0</v>
      </c>
      <c r="AP332" s="437">
        <f t="shared" si="119"/>
        <v>0</v>
      </c>
    </row>
    <row r="333" spans="1:42" s="11" customFormat="1" hidden="1" x14ac:dyDescent="0.3">
      <c r="A333" s="775">
        <v>254</v>
      </c>
      <c r="B333" s="775">
        <f t="shared" si="100"/>
        <v>22</v>
      </c>
      <c r="C333" s="891">
        <f t="shared" si="123"/>
        <v>0.14489675614077413</v>
      </c>
      <c r="D333" s="891"/>
      <c r="E333" s="891">
        <f t="shared" si="123"/>
        <v>0.03</v>
      </c>
      <c r="F333" s="891">
        <f t="shared" si="93"/>
        <v>0.03</v>
      </c>
      <c r="G333" s="893">
        <f t="shared" si="102"/>
        <v>1.151056494563818E-8</v>
      </c>
      <c r="H333" s="436">
        <f t="shared" si="94"/>
        <v>0</v>
      </c>
      <c r="I333" s="302">
        <f t="shared" si="95"/>
        <v>0</v>
      </c>
      <c r="J333" s="301">
        <f t="shared" si="120"/>
        <v>2.9176084758041223E-11</v>
      </c>
      <c r="K333" s="301">
        <f t="shared" si="103"/>
        <v>2.9176084758041223E-11</v>
      </c>
      <c r="L333" s="10">
        <f t="shared" si="104"/>
        <v>2.9176084758041223E-11</v>
      </c>
      <c r="M333" s="302"/>
      <c r="N333" s="435">
        <f t="shared" si="105"/>
        <v>0</v>
      </c>
      <c r="O333" s="436">
        <f t="shared" si="96"/>
        <v>0</v>
      </c>
      <c r="P333" s="436">
        <f t="shared" si="106"/>
        <v>0</v>
      </c>
      <c r="R333" s="354">
        <f>+Hirdetmény!$AA$46</f>
        <v>0.13400000000000001</v>
      </c>
      <c r="S333" s="301">
        <f t="shared" si="107"/>
        <v>0</v>
      </c>
      <c r="T333" s="301">
        <f t="shared" si="97"/>
        <v>0</v>
      </c>
      <c r="U333" s="301">
        <f t="shared" si="108"/>
        <v>0</v>
      </c>
      <c r="V333" s="301">
        <f t="shared" si="109"/>
        <v>0</v>
      </c>
      <c r="W333" s="301">
        <f t="shared" si="110"/>
        <v>0</v>
      </c>
      <c r="AA333" s="12">
        <f>+paraméterek!$B$346</f>
        <v>6.4600000000000005E-2</v>
      </c>
      <c r="AB333" s="301">
        <f t="shared" si="111"/>
        <v>0</v>
      </c>
      <c r="AC333" s="301">
        <f t="shared" si="98"/>
        <v>0</v>
      </c>
      <c r="AD333" s="301">
        <f t="shared" si="112"/>
        <v>0</v>
      </c>
      <c r="AE333" s="301">
        <f t="shared" si="113"/>
        <v>0</v>
      </c>
      <c r="AF333" s="477">
        <f t="shared" si="114"/>
        <v>0</v>
      </c>
      <c r="AI333" s="543">
        <f t="shared" si="99"/>
        <v>0</v>
      </c>
      <c r="AJ333" s="543">
        <f t="shared" si="115"/>
        <v>0</v>
      </c>
      <c r="AK333" s="300">
        <f t="shared" si="116"/>
        <v>0</v>
      </c>
      <c r="AL333" s="543">
        <f t="shared" si="117"/>
        <v>0</v>
      </c>
      <c r="AM333" s="10">
        <f t="shared" si="118"/>
        <v>0</v>
      </c>
      <c r="AP333" s="437">
        <f t="shared" si="119"/>
        <v>0</v>
      </c>
    </row>
    <row r="334" spans="1:42" s="11" customFormat="1" hidden="1" x14ac:dyDescent="0.3">
      <c r="A334" s="775">
        <v>255</v>
      </c>
      <c r="B334" s="775">
        <f t="shared" si="100"/>
        <v>22</v>
      </c>
      <c r="C334" s="891">
        <f t="shared" si="123"/>
        <v>0.14489675614077413</v>
      </c>
      <c r="D334" s="891"/>
      <c r="E334" s="891">
        <f t="shared" si="123"/>
        <v>0.03</v>
      </c>
      <c r="F334" s="891">
        <f t="shared" si="93"/>
        <v>0.03</v>
      </c>
      <c r="G334" s="893">
        <f t="shared" si="102"/>
        <v>1.151056494563818E-8</v>
      </c>
      <c r="H334" s="436">
        <f t="shared" si="94"/>
        <v>0</v>
      </c>
      <c r="I334" s="302">
        <f t="shared" si="95"/>
        <v>0</v>
      </c>
      <c r="J334" s="301">
        <f t="shared" si="120"/>
        <v>2.9176084758041223E-11</v>
      </c>
      <c r="K334" s="301">
        <f t="shared" si="103"/>
        <v>2.9176084758041223E-11</v>
      </c>
      <c r="L334" s="10">
        <f t="shared" si="104"/>
        <v>2.9176084758041223E-11</v>
      </c>
      <c r="M334" s="302"/>
      <c r="N334" s="435">
        <f t="shared" si="105"/>
        <v>0</v>
      </c>
      <c r="O334" s="436">
        <f t="shared" si="96"/>
        <v>0</v>
      </c>
      <c r="P334" s="436">
        <f t="shared" si="106"/>
        <v>0</v>
      </c>
      <c r="R334" s="354">
        <f>+Hirdetmény!$AA$46</f>
        <v>0.13400000000000001</v>
      </c>
      <c r="S334" s="301">
        <f t="shared" si="107"/>
        <v>0</v>
      </c>
      <c r="T334" s="301">
        <f t="shared" si="97"/>
        <v>0</v>
      </c>
      <c r="U334" s="301">
        <f t="shared" si="108"/>
        <v>0</v>
      </c>
      <c r="V334" s="301">
        <f t="shared" si="109"/>
        <v>0</v>
      </c>
      <c r="W334" s="301">
        <f t="shared" si="110"/>
        <v>0</v>
      </c>
      <c r="AA334" s="12">
        <f>+paraméterek!$B$346</f>
        <v>6.4600000000000005E-2</v>
      </c>
      <c r="AB334" s="301">
        <f t="shared" si="111"/>
        <v>0</v>
      </c>
      <c r="AC334" s="301">
        <f t="shared" si="98"/>
        <v>0</v>
      </c>
      <c r="AD334" s="301">
        <f t="shared" si="112"/>
        <v>0</v>
      </c>
      <c r="AE334" s="301">
        <f t="shared" si="113"/>
        <v>0</v>
      </c>
      <c r="AF334" s="477">
        <f t="shared" si="114"/>
        <v>0</v>
      </c>
      <c r="AI334" s="543">
        <f t="shared" si="99"/>
        <v>0</v>
      </c>
      <c r="AJ334" s="543">
        <f t="shared" si="115"/>
        <v>0</v>
      </c>
      <c r="AK334" s="300">
        <f t="shared" si="116"/>
        <v>0</v>
      </c>
      <c r="AL334" s="543">
        <f t="shared" si="117"/>
        <v>0</v>
      </c>
      <c r="AM334" s="10">
        <f t="shared" si="118"/>
        <v>0</v>
      </c>
      <c r="AP334" s="437">
        <f t="shared" si="119"/>
        <v>0</v>
      </c>
    </row>
    <row r="335" spans="1:42" s="11" customFormat="1" hidden="1" x14ac:dyDescent="0.3">
      <c r="A335" s="775">
        <v>256</v>
      </c>
      <c r="B335" s="775">
        <f t="shared" si="100"/>
        <v>22</v>
      </c>
      <c r="C335" s="891">
        <f t="shared" si="123"/>
        <v>0.14489675614077413</v>
      </c>
      <c r="D335" s="891"/>
      <c r="E335" s="891">
        <f t="shared" si="123"/>
        <v>0.03</v>
      </c>
      <c r="F335" s="891">
        <f t="shared" si="93"/>
        <v>0.03</v>
      </c>
      <c r="G335" s="893">
        <f t="shared" si="102"/>
        <v>1.151056494563818E-8</v>
      </c>
      <c r="H335" s="436">
        <f t="shared" si="94"/>
        <v>0</v>
      </c>
      <c r="I335" s="302">
        <f t="shared" si="95"/>
        <v>0</v>
      </c>
      <c r="J335" s="301">
        <f t="shared" si="120"/>
        <v>2.9176084758041223E-11</v>
      </c>
      <c r="K335" s="301">
        <f t="shared" si="103"/>
        <v>2.9176084758041223E-11</v>
      </c>
      <c r="L335" s="10">
        <f t="shared" si="104"/>
        <v>2.9176084758041223E-11</v>
      </c>
      <c r="M335" s="302"/>
      <c r="N335" s="435">
        <f t="shared" si="105"/>
        <v>0</v>
      </c>
      <c r="O335" s="436">
        <f t="shared" si="96"/>
        <v>0</v>
      </c>
      <c r="P335" s="436">
        <f t="shared" si="106"/>
        <v>0</v>
      </c>
      <c r="R335" s="354">
        <f>+Hirdetmény!$AA$46</f>
        <v>0.13400000000000001</v>
      </c>
      <c r="S335" s="301">
        <f t="shared" si="107"/>
        <v>0</v>
      </c>
      <c r="T335" s="301">
        <f t="shared" si="97"/>
        <v>0</v>
      </c>
      <c r="U335" s="301">
        <f t="shared" si="108"/>
        <v>0</v>
      </c>
      <c r="V335" s="301">
        <f t="shared" si="109"/>
        <v>0</v>
      </c>
      <c r="W335" s="301">
        <f t="shared" si="110"/>
        <v>0</v>
      </c>
      <c r="AA335" s="12">
        <f>+paraméterek!$B$346</f>
        <v>6.4600000000000005E-2</v>
      </c>
      <c r="AB335" s="301">
        <f t="shared" si="111"/>
        <v>0</v>
      </c>
      <c r="AC335" s="301">
        <f t="shared" si="98"/>
        <v>0</v>
      </c>
      <c r="AD335" s="301">
        <f t="shared" si="112"/>
        <v>0</v>
      </c>
      <c r="AE335" s="301">
        <f t="shared" si="113"/>
        <v>0</v>
      </c>
      <c r="AF335" s="477">
        <f t="shared" si="114"/>
        <v>0</v>
      </c>
      <c r="AI335" s="543">
        <f t="shared" si="99"/>
        <v>0</v>
      </c>
      <c r="AJ335" s="543">
        <f t="shared" si="115"/>
        <v>0</v>
      </c>
      <c r="AK335" s="300">
        <f t="shared" si="116"/>
        <v>0</v>
      </c>
      <c r="AL335" s="543">
        <f t="shared" si="117"/>
        <v>0</v>
      </c>
      <c r="AM335" s="10">
        <f t="shared" si="118"/>
        <v>0</v>
      </c>
      <c r="AP335" s="437">
        <f t="shared" si="119"/>
        <v>0</v>
      </c>
    </row>
    <row r="336" spans="1:42" s="11" customFormat="1" hidden="1" x14ac:dyDescent="0.3">
      <c r="A336" s="775">
        <v>257</v>
      </c>
      <c r="B336" s="775">
        <f t="shared" si="100"/>
        <v>22</v>
      </c>
      <c r="C336" s="891">
        <f t="shared" si="123"/>
        <v>0.14489675614077413</v>
      </c>
      <c r="D336" s="891"/>
      <c r="E336" s="891">
        <f t="shared" si="123"/>
        <v>0.03</v>
      </c>
      <c r="F336" s="891">
        <f t="shared" ref="F336:F399" si="124">$F$7</f>
        <v>0.03</v>
      </c>
      <c r="G336" s="893">
        <f t="shared" si="102"/>
        <v>1.151056494563818E-8</v>
      </c>
      <c r="H336" s="436">
        <f t="shared" ref="H336:H399" si="125">IF(A336&lt;=$B$16,0,IF(A336&lt;=$B$10,PPMT(F336/360*(365/12),A336-$B$16,$B$10-$B$16,-$G$79),0))</f>
        <v>0</v>
      </c>
      <c r="I336" s="302">
        <f t="shared" ref="I336:I399" si="126">+IF(A336=$B$10,$C$47,0)</f>
        <v>0</v>
      </c>
      <c r="J336" s="301">
        <f t="shared" si="120"/>
        <v>2.9176084758041223E-11</v>
      </c>
      <c r="K336" s="301">
        <f t="shared" si="103"/>
        <v>2.9176084758041223E-11</v>
      </c>
      <c r="L336" s="10">
        <f t="shared" si="104"/>
        <v>2.9176084758041223E-11</v>
      </c>
      <c r="M336" s="302"/>
      <c r="N336" s="435">
        <f t="shared" si="105"/>
        <v>0</v>
      </c>
      <c r="O336" s="436">
        <f t="shared" ref="O336:O399" si="127">IF(A336&lt;=$B$10,$B$54,0)</f>
        <v>0</v>
      </c>
      <c r="P336" s="436">
        <f t="shared" si="106"/>
        <v>0</v>
      </c>
      <c r="R336" s="354">
        <f>+Hirdetmény!$AA$46</f>
        <v>0.13400000000000001</v>
      </c>
      <c r="S336" s="301">
        <f t="shared" si="107"/>
        <v>0</v>
      </c>
      <c r="T336" s="301">
        <f t="shared" ref="T336:T399" si="128">IF(A336&lt;=$B$10,IF(A336&gt;$B$16,PPMT(R336/360*(365/12),1,$B$10-A335,S335,$C$47*-1),0)*-1,0)</f>
        <v>0</v>
      </c>
      <c r="U336" s="301">
        <f t="shared" si="108"/>
        <v>0</v>
      </c>
      <c r="V336" s="301">
        <f t="shared" si="109"/>
        <v>0</v>
      </c>
      <c r="W336" s="301">
        <f t="shared" si="110"/>
        <v>0</v>
      </c>
      <c r="AA336" s="12">
        <f>+paraméterek!$B$346</f>
        <v>6.4600000000000005E-2</v>
      </c>
      <c r="AB336" s="301">
        <f t="shared" si="111"/>
        <v>0</v>
      </c>
      <c r="AC336" s="301">
        <f t="shared" ref="AC336:AC399" si="129">IF(A336&lt;=$B$10,IF(A336&gt;$B$16,PPMT(AA336/360*(365/12),1,$B$10-A335,AB335,$C$47*-1),0)*-1,0)</f>
        <v>0</v>
      </c>
      <c r="AD336" s="301">
        <f t="shared" si="112"/>
        <v>0</v>
      </c>
      <c r="AE336" s="301">
        <f t="shared" si="113"/>
        <v>0</v>
      </c>
      <c r="AF336" s="477">
        <f t="shared" si="114"/>
        <v>0</v>
      </c>
      <c r="AI336" s="543">
        <f t="shared" ref="AI336:AI399" si="130">IF(A336&lt;=24,0,IF(A336&lt;=$B$10,IF(A336&gt;$G$22,PPMT(E336/360*(365/12),1,$B$10-A335,AK335,$G$16*-1),0)*-1,0))</f>
        <v>0</v>
      </c>
      <c r="AJ336" s="543">
        <f t="shared" si="115"/>
        <v>0</v>
      </c>
      <c r="AK336" s="300">
        <f t="shared" si="116"/>
        <v>0</v>
      </c>
      <c r="AL336" s="543">
        <f t="shared" si="117"/>
        <v>0</v>
      </c>
      <c r="AM336" s="10">
        <f t="shared" si="118"/>
        <v>0</v>
      </c>
      <c r="AP336" s="437">
        <f t="shared" si="119"/>
        <v>0</v>
      </c>
    </row>
    <row r="337" spans="1:42" s="11" customFormat="1" hidden="1" x14ac:dyDescent="0.3">
      <c r="A337" s="775">
        <v>258</v>
      </c>
      <c r="B337" s="775">
        <f t="shared" ref="B337:B400" si="131">+ROUNDUP(A337/12,0)</f>
        <v>22</v>
      </c>
      <c r="C337" s="891">
        <f t="shared" ref="C337:E352" si="132">+C336</f>
        <v>0.14489675614077413</v>
      </c>
      <c r="D337" s="891"/>
      <c r="E337" s="891">
        <f t="shared" si="132"/>
        <v>0.03</v>
      </c>
      <c r="F337" s="891">
        <f t="shared" si="124"/>
        <v>0.03</v>
      </c>
      <c r="G337" s="893">
        <f t="shared" ref="G337:G400" si="133">+G336-H337-I337</f>
        <v>1.151056494563818E-8</v>
      </c>
      <c r="H337" s="436">
        <f t="shared" si="125"/>
        <v>0</v>
      </c>
      <c r="I337" s="302">
        <f t="shared" si="126"/>
        <v>0</v>
      </c>
      <c r="J337" s="301">
        <f t="shared" si="120"/>
        <v>2.9176084758041223E-11</v>
      </c>
      <c r="K337" s="301">
        <f t="shared" ref="K337:K400" si="134">+(H337+J337)+IF($B$15="nem",$B$58,IF(A337&lt;$B$16+1,$B$57,$B$58)+O337)+P337+I337</f>
        <v>2.9176084758041223E-11</v>
      </c>
      <c r="L337" s="10">
        <f t="shared" ref="L337:L400" si="135">H337+I337+J337</f>
        <v>2.9176084758041223E-11</v>
      </c>
      <c r="M337" s="302"/>
      <c r="N337" s="435">
        <f t="shared" ref="N337:N400" si="136">IF(A337&lt;=$B$10,PMT($F$7*365/360/12,$B$10,-$F$66)+O337+P337+$F$52)+IF($B$15="nem",$B$58,IF(A337&lt;$B$16+1,$B$57,$B$58))</f>
        <v>0</v>
      </c>
      <c r="O337" s="436">
        <f t="shared" si="127"/>
        <v>0</v>
      </c>
      <c r="P337" s="436">
        <f t="shared" ref="P337:P400" si="137">IF(A337&lt;=$B$10,IF($B$30="havi",$B$28,0)+IF($B$30="negyedéves",$B$28,0)+IF($B$30="féléves",$B$28,0)+IF($B$66="éves",$B$28,0),0)</f>
        <v>0</v>
      </c>
      <c r="R337" s="354">
        <f>+Hirdetmény!$AA$46</f>
        <v>0.13400000000000001</v>
      </c>
      <c r="S337" s="301">
        <f t="shared" ref="S337:S400" si="138">+S336-T337</f>
        <v>0</v>
      </c>
      <c r="T337" s="301">
        <f t="shared" si="128"/>
        <v>0</v>
      </c>
      <c r="U337" s="301">
        <f t="shared" ref="U337:U400" si="139">+S336*R337/360*(365/12)</f>
        <v>0</v>
      </c>
      <c r="V337" s="301">
        <f t="shared" ref="V337:V400" si="140">+T337+U337</f>
        <v>0</v>
      </c>
      <c r="W337" s="301">
        <f t="shared" ref="W337:W400" si="141">+V337+IF($B$15="nem",$B$58,IF(A337&lt;$B$16+1,$B$57,$B$58))+IF(A337&lt;=$B$10,$B$54+$F$52+P337,0)</f>
        <v>0</v>
      </c>
      <c r="AA337" s="12">
        <f>+paraméterek!$B$346</f>
        <v>6.4600000000000005E-2</v>
      </c>
      <c r="AB337" s="301">
        <f t="shared" ref="AB337:AB400" si="142">+AB336-AC337</f>
        <v>0</v>
      </c>
      <c r="AC337" s="301">
        <f t="shared" si="129"/>
        <v>0</v>
      </c>
      <c r="AD337" s="301">
        <f t="shared" ref="AD337:AD400" si="143">+AB336*AA337/360*(365/12)</f>
        <v>0</v>
      </c>
      <c r="AE337" s="301">
        <f t="shared" ref="AE337:AE400" si="144">+AC337+AD337</f>
        <v>0</v>
      </c>
      <c r="AF337" s="477">
        <f t="shared" ref="AF337:AF400" si="145">+AE337+IF($B$15="nem",$B$58,IF(A337&lt;$B$16+1,$B$57,$B$58)+IF(A337&lt;=$B$10,$B$54+$F$52+P337,0))</f>
        <v>0</v>
      </c>
      <c r="AI337" s="543">
        <f t="shared" si="130"/>
        <v>0</v>
      </c>
      <c r="AJ337" s="543">
        <f t="shared" ref="AJ337:AJ400" si="146">+AK336*E337/360*(365/12)</f>
        <v>0</v>
      </c>
      <c r="AK337" s="300">
        <f t="shared" ref="AK337:AK400" si="147">AK336-AI337</f>
        <v>0</v>
      </c>
      <c r="AL337" s="543">
        <f t="shared" ref="AL337:AL400" si="148">AI337+AJ337</f>
        <v>0</v>
      </c>
      <c r="AM337" s="10">
        <f t="shared" ref="AM337:AM400" si="149">AL337+IF($B$15="nem",$B$58,IF(A337&lt;$B$16+1,$B$57,$B$58)+IF(A337&lt;=$B$10,$B$54+$F$52+P337,0))</f>
        <v>0</v>
      </c>
      <c r="AP337" s="437">
        <f t="shared" ref="AP337:AP400" si="150">+V337+IF($B$15="nem",$B$58,IF(A337&lt;$B$16+1,$B$57,$B$58)+O337)+IF(A337&gt;$B$10,0,IF($B$28=0,$F$58,$B$28)+I337)</f>
        <v>0</v>
      </c>
    </row>
    <row r="338" spans="1:42" s="11" customFormat="1" hidden="1" x14ac:dyDescent="0.3">
      <c r="A338" s="775">
        <v>259</v>
      </c>
      <c r="B338" s="775">
        <f t="shared" si="131"/>
        <v>22</v>
      </c>
      <c r="C338" s="891">
        <f t="shared" si="132"/>
        <v>0.14489675614077413</v>
      </c>
      <c r="D338" s="891"/>
      <c r="E338" s="891">
        <f t="shared" si="132"/>
        <v>0.03</v>
      </c>
      <c r="F338" s="891">
        <f t="shared" si="124"/>
        <v>0.03</v>
      </c>
      <c r="G338" s="893">
        <f t="shared" si="133"/>
        <v>1.151056494563818E-8</v>
      </c>
      <c r="H338" s="436">
        <f t="shared" si="125"/>
        <v>0</v>
      </c>
      <c r="I338" s="302">
        <f t="shared" si="126"/>
        <v>0</v>
      </c>
      <c r="J338" s="301">
        <f t="shared" ref="J338:J401" si="151">+G337*F338/360*(365/12)</f>
        <v>2.9176084758041223E-11</v>
      </c>
      <c r="K338" s="301">
        <f t="shared" si="134"/>
        <v>2.9176084758041223E-11</v>
      </c>
      <c r="L338" s="10">
        <f t="shared" si="135"/>
        <v>2.9176084758041223E-11</v>
      </c>
      <c r="M338" s="302"/>
      <c r="N338" s="435">
        <f t="shared" si="136"/>
        <v>0</v>
      </c>
      <c r="O338" s="436">
        <f t="shared" si="127"/>
        <v>0</v>
      </c>
      <c r="P338" s="436">
        <f t="shared" si="137"/>
        <v>0</v>
      </c>
      <c r="R338" s="354">
        <f>+Hirdetmény!$AA$46</f>
        <v>0.13400000000000001</v>
      </c>
      <c r="S338" s="301">
        <f t="shared" si="138"/>
        <v>0</v>
      </c>
      <c r="T338" s="301">
        <f t="shared" si="128"/>
        <v>0</v>
      </c>
      <c r="U338" s="301">
        <f t="shared" si="139"/>
        <v>0</v>
      </c>
      <c r="V338" s="301">
        <f t="shared" si="140"/>
        <v>0</v>
      </c>
      <c r="W338" s="301">
        <f t="shared" si="141"/>
        <v>0</v>
      </c>
      <c r="AA338" s="12">
        <f>+paraméterek!$B$346</f>
        <v>6.4600000000000005E-2</v>
      </c>
      <c r="AB338" s="301">
        <f t="shared" si="142"/>
        <v>0</v>
      </c>
      <c r="AC338" s="301">
        <f t="shared" si="129"/>
        <v>0</v>
      </c>
      <c r="AD338" s="301">
        <f t="shared" si="143"/>
        <v>0</v>
      </c>
      <c r="AE338" s="301">
        <f t="shared" si="144"/>
        <v>0</v>
      </c>
      <c r="AF338" s="477">
        <f t="shared" si="145"/>
        <v>0</v>
      </c>
      <c r="AI338" s="543">
        <f t="shared" si="130"/>
        <v>0</v>
      </c>
      <c r="AJ338" s="543">
        <f t="shared" si="146"/>
        <v>0</v>
      </c>
      <c r="AK338" s="300">
        <f t="shared" si="147"/>
        <v>0</v>
      </c>
      <c r="AL338" s="543">
        <f t="shared" si="148"/>
        <v>0</v>
      </c>
      <c r="AM338" s="10">
        <f t="shared" si="149"/>
        <v>0</v>
      </c>
      <c r="AP338" s="437">
        <f t="shared" si="150"/>
        <v>0</v>
      </c>
    </row>
    <row r="339" spans="1:42" s="11" customFormat="1" hidden="1" x14ac:dyDescent="0.3">
      <c r="A339" s="775">
        <v>260</v>
      </c>
      <c r="B339" s="775">
        <f t="shared" si="131"/>
        <v>22</v>
      </c>
      <c r="C339" s="891">
        <f t="shared" si="132"/>
        <v>0.14489675614077413</v>
      </c>
      <c r="D339" s="891"/>
      <c r="E339" s="891">
        <f t="shared" si="132"/>
        <v>0.03</v>
      </c>
      <c r="F339" s="891">
        <f t="shared" si="124"/>
        <v>0.03</v>
      </c>
      <c r="G339" s="893">
        <f t="shared" si="133"/>
        <v>1.151056494563818E-8</v>
      </c>
      <c r="H339" s="436">
        <f t="shared" si="125"/>
        <v>0</v>
      </c>
      <c r="I339" s="302">
        <f t="shared" si="126"/>
        <v>0</v>
      </c>
      <c r="J339" s="301">
        <f t="shared" si="151"/>
        <v>2.9176084758041223E-11</v>
      </c>
      <c r="K339" s="301">
        <f t="shared" si="134"/>
        <v>2.9176084758041223E-11</v>
      </c>
      <c r="L339" s="10">
        <f t="shared" si="135"/>
        <v>2.9176084758041223E-11</v>
      </c>
      <c r="M339" s="302"/>
      <c r="N339" s="435">
        <f t="shared" si="136"/>
        <v>0</v>
      </c>
      <c r="O339" s="436">
        <f t="shared" si="127"/>
        <v>0</v>
      </c>
      <c r="P339" s="436">
        <f t="shared" si="137"/>
        <v>0</v>
      </c>
      <c r="R339" s="354">
        <f>+Hirdetmény!$AA$46</f>
        <v>0.13400000000000001</v>
      </c>
      <c r="S339" s="301">
        <f t="shared" si="138"/>
        <v>0</v>
      </c>
      <c r="T339" s="301">
        <f t="shared" si="128"/>
        <v>0</v>
      </c>
      <c r="U339" s="301">
        <f t="shared" si="139"/>
        <v>0</v>
      </c>
      <c r="V339" s="301">
        <f t="shared" si="140"/>
        <v>0</v>
      </c>
      <c r="W339" s="301">
        <f t="shared" si="141"/>
        <v>0</v>
      </c>
      <c r="AA339" s="12">
        <f>+paraméterek!$B$346</f>
        <v>6.4600000000000005E-2</v>
      </c>
      <c r="AB339" s="301">
        <f t="shared" si="142"/>
        <v>0</v>
      </c>
      <c r="AC339" s="301">
        <f t="shared" si="129"/>
        <v>0</v>
      </c>
      <c r="AD339" s="301">
        <f t="shared" si="143"/>
        <v>0</v>
      </c>
      <c r="AE339" s="301">
        <f t="shared" si="144"/>
        <v>0</v>
      </c>
      <c r="AF339" s="477">
        <f t="shared" si="145"/>
        <v>0</v>
      </c>
      <c r="AI339" s="543">
        <f t="shared" si="130"/>
        <v>0</v>
      </c>
      <c r="AJ339" s="543">
        <f t="shared" si="146"/>
        <v>0</v>
      </c>
      <c r="AK339" s="300">
        <f t="shared" si="147"/>
        <v>0</v>
      </c>
      <c r="AL339" s="543">
        <f t="shared" si="148"/>
        <v>0</v>
      </c>
      <c r="AM339" s="10">
        <f t="shared" si="149"/>
        <v>0</v>
      </c>
      <c r="AP339" s="437">
        <f t="shared" si="150"/>
        <v>0</v>
      </c>
    </row>
    <row r="340" spans="1:42" s="11" customFormat="1" hidden="1" x14ac:dyDescent="0.3">
      <c r="A340" s="775">
        <v>261</v>
      </c>
      <c r="B340" s="775">
        <f t="shared" si="131"/>
        <v>22</v>
      </c>
      <c r="C340" s="891">
        <f t="shared" si="132"/>
        <v>0.14489675614077413</v>
      </c>
      <c r="D340" s="891"/>
      <c r="E340" s="891">
        <f t="shared" si="132"/>
        <v>0.03</v>
      </c>
      <c r="F340" s="891">
        <f t="shared" si="124"/>
        <v>0.03</v>
      </c>
      <c r="G340" s="893">
        <f t="shared" si="133"/>
        <v>1.151056494563818E-8</v>
      </c>
      <c r="H340" s="436">
        <f t="shared" si="125"/>
        <v>0</v>
      </c>
      <c r="I340" s="302">
        <f t="shared" si="126"/>
        <v>0</v>
      </c>
      <c r="J340" s="301">
        <f t="shared" si="151"/>
        <v>2.9176084758041223E-11</v>
      </c>
      <c r="K340" s="301">
        <f t="shared" si="134"/>
        <v>2.9176084758041223E-11</v>
      </c>
      <c r="L340" s="10">
        <f t="shared" si="135"/>
        <v>2.9176084758041223E-11</v>
      </c>
      <c r="M340" s="302"/>
      <c r="N340" s="435">
        <f t="shared" si="136"/>
        <v>0</v>
      </c>
      <c r="O340" s="436">
        <f t="shared" si="127"/>
        <v>0</v>
      </c>
      <c r="P340" s="436">
        <f t="shared" si="137"/>
        <v>0</v>
      </c>
      <c r="R340" s="354">
        <f>+Hirdetmény!$AA$46</f>
        <v>0.13400000000000001</v>
      </c>
      <c r="S340" s="301">
        <f t="shared" si="138"/>
        <v>0</v>
      </c>
      <c r="T340" s="301">
        <f t="shared" si="128"/>
        <v>0</v>
      </c>
      <c r="U340" s="301">
        <f t="shared" si="139"/>
        <v>0</v>
      </c>
      <c r="V340" s="301">
        <f t="shared" si="140"/>
        <v>0</v>
      </c>
      <c r="W340" s="301">
        <f t="shared" si="141"/>
        <v>0</v>
      </c>
      <c r="AA340" s="12">
        <f>+paraméterek!$B$346</f>
        <v>6.4600000000000005E-2</v>
      </c>
      <c r="AB340" s="301">
        <f t="shared" si="142"/>
        <v>0</v>
      </c>
      <c r="AC340" s="301">
        <f t="shared" si="129"/>
        <v>0</v>
      </c>
      <c r="AD340" s="301">
        <f t="shared" si="143"/>
        <v>0</v>
      </c>
      <c r="AE340" s="301">
        <f t="shared" si="144"/>
        <v>0</v>
      </c>
      <c r="AF340" s="477">
        <f t="shared" si="145"/>
        <v>0</v>
      </c>
      <c r="AI340" s="543">
        <f t="shared" si="130"/>
        <v>0</v>
      </c>
      <c r="AJ340" s="543">
        <f t="shared" si="146"/>
        <v>0</v>
      </c>
      <c r="AK340" s="300">
        <f t="shared" si="147"/>
        <v>0</v>
      </c>
      <c r="AL340" s="543">
        <f t="shared" si="148"/>
        <v>0</v>
      </c>
      <c r="AM340" s="10">
        <f t="shared" si="149"/>
        <v>0</v>
      </c>
      <c r="AP340" s="437">
        <f t="shared" si="150"/>
        <v>0</v>
      </c>
    </row>
    <row r="341" spans="1:42" s="11" customFormat="1" hidden="1" x14ac:dyDescent="0.3">
      <c r="A341" s="775">
        <v>262</v>
      </c>
      <c r="B341" s="775">
        <f t="shared" si="131"/>
        <v>22</v>
      </c>
      <c r="C341" s="891">
        <f t="shared" si="132"/>
        <v>0.14489675614077413</v>
      </c>
      <c r="D341" s="891"/>
      <c r="E341" s="891">
        <f t="shared" si="132"/>
        <v>0.03</v>
      </c>
      <c r="F341" s="891">
        <f t="shared" si="124"/>
        <v>0.03</v>
      </c>
      <c r="G341" s="893">
        <f t="shared" si="133"/>
        <v>1.151056494563818E-8</v>
      </c>
      <c r="H341" s="436">
        <f t="shared" si="125"/>
        <v>0</v>
      </c>
      <c r="I341" s="302">
        <f t="shared" si="126"/>
        <v>0</v>
      </c>
      <c r="J341" s="301">
        <f t="shared" si="151"/>
        <v>2.9176084758041223E-11</v>
      </c>
      <c r="K341" s="301">
        <f t="shared" si="134"/>
        <v>2.9176084758041223E-11</v>
      </c>
      <c r="L341" s="10">
        <f t="shared" si="135"/>
        <v>2.9176084758041223E-11</v>
      </c>
      <c r="M341" s="302"/>
      <c r="N341" s="435">
        <f t="shared" si="136"/>
        <v>0</v>
      </c>
      <c r="O341" s="436">
        <f t="shared" si="127"/>
        <v>0</v>
      </c>
      <c r="P341" s="436">
        <f t="shared" si="137"/>
        <v>0</v>
      </c>
      <c r="R341" s="354">
        <f>+Hirdetmény!$AA$46</f>
        <v>0.13400000000000001</v>
      </c>
      <c r="S341" s="301">
        <f t="shared" si="138"/>
        <v>0</v>
      </c>
      <c r="T341" s="301">
        <f t="shared" si="128"/>
        <v>0</v>
      </c>
      <c r="U341" s="301">
        <f t="shared" si="139"/>
        <v>0</v>
      </c>
      <c r="V341" s="301">
        <f t="shared" si="140"/>
        <v>0</v>
      </c>
      <c r="W341" s="301">
        <f t="shared" si="141"/>
        <v>0</v>
      </c>
      <c r="AA341" s="12">
        <f>+paraméterek!$B$346</f>
        <v>6.4600000000000005E-2</v>
      </c>
      <c r="AB341" s="301">
        <f t="shared" si="142"/>
        <v>0</v>
      </c>
      <c r="AC341" s="301">
        <f t="shared" si="129"/>
        <v>0</v>
      </c>
      <c r="AD341" s="301">
        <f t="shared" si="143"/>
        <v>0</v>
      </c>
      <c r="AE341" s="301">
        <f t="shared" si="144"/>
        <v>0</v>
      </c>
      <c r="AF341" s="477">
        <f t="shared" si="145"/>
        <v>0</v>
      </c>
      <c r="AI341" s="543">
        <f t="shared" si="130"/>
        <v>0</v>
      </c>
      <c r="AJ341" s="543">
        <f t="shared" si="146"/>
        <v>0</v>
      </c>
      <c r="AK341" s="300">
        <f t="shared" si="147"/>
        <v>0</v>
      </c>
      <c r="AL341" s="543">
        <f t="shared" si="148"/>
        <v>0</v>
      </c>
      <c r="AM341" s="10">
        <f t="shared" si="149"/>
        <v>0</v>
      </c>
      <c r="AP341" s="437">
        <f t="shared" si="150"/>
        <v>0</v>
      </c>
    </row>
    <row r="342" spans="1:42" s="11" customFormat="1" hidden="1" x14ac:dyDescent="0.3">
      <c r="A342" s="775">
        <v>263</v>
      </c>
      <c r="B342" s="775">
        <f t="shared" si="131"/>
        <v>22</v>
      </c>
      <c r="C342" s="891">
        <f t="shared" si="132"/>
        <v>0.14489675614077413</v>
      </c>
      <c r="D342" s="891"/>
      <c r="E342" s="891">
        <f t="shared" si="132"/>
        <v>0.03</v>
      </c>
      <c r="F342" s="891">
        <f t="shared" si="124"/>
        <v>0.03</v>
      </c>
      <c r="G342" s="893">
        <f t="shared" si="133"/>
        <v>1.151056494563818E-8</v>
      </c>
      <c r="H342" s="436">
        <f t="shared" si="125"/>
        <v>0</v>
      </c>
      <c r="I342" s="302">
        <f t="shared" si="126"/>
        <v>0</v>
      </c>
      <c r="J342" s="301">
        <f t="shared" si="151"/>
        <v>2.9176084758041223E-11</v>
      </c>
      <c r="K342" s="301">
        <f t="shared" si="134"/>
        <v>2.9176084758041223E-11</v>
      </c>
      <c r="L342" s="10">
        <f t="shared" si="135"/>
        <v>2.9176084758041223E-11</v>
      </c>
      <c r="M342" s="302"/>
      <c r="N342" s="435">
        <f t="shared" si="136"/>
        <v>0</v>
      </c>
      <c r="O342" s="436">
        <f t="shared" si="127"/>
        <v>0</v>
      </c>
      <c r="P342" s="436">
        <f t="shared" si="137"/>
        <v>0</v>
      </c>
      <c r="R342" s="354">
        <f>+Hirdetmény!$AA$46</f>
        <v>0.13400000000000001</v>
      </c>
      <c r="S342" s="301">
        <f t="shared" si="138"/>
        <v>0</v>
      </c>
      <c r="T342" s="301">
        <f t="shared" si="128"/>
        <v>0</v>
      </c>
      <c r="U342" s="301">
        <f t="shared" si="139"/>
        <v>0</v>
      </c>
      <c r="V342" s="301">
        <f t="shared" si="140"/>
        <v>0</v>
      </c>
      <c r="W342" s="301">
        <f t="shared" si="141"/>
        <v>0</v>
      </c>
      <c r="AA342" s="12">
        <f>+paraméterek!$B$346</f>
        <v>6.4600000000000005E-2</v>
      </c>
      <c r="AB342" s="301">
        <f t="shared" si="142"/>
        <v>0</v>
      </c>
      <c r="AC342" s="301">
        <f t="shared" si="129"/>
        <v>0</v>
      </c>
      <c r="AD342" s="301">
        <f t="shared" si="143"/>
        <v>0</v>
      </c>
      <c r="AE342" s="301">
        <f t="shared" si="144"/>
        <v>0</v>
      </c>
      <c r="AF342" s="477">
        <f t="shared" si="145"/>
        <v>0</v>
      </c>
      <c r="AI342" s="543">
        <f t="shared" si="130"/>
        <v>0</v>
      </c>
      <c r="AJ342" s="543">
        <f t="shared" si="146"/>
        <v>0</v>
      </c>
      <c r="AK342" s="300">
        <f t="shared" si="147"/>
        <v>0</v>
      </c>
      <c r="AL342" s="543">
        <f t="shared" si="148"/>
        <v>0</v>
      </c>
      <c r="AM342" s="10">
        <f t="shared" si="149"/>
        <v>0</v>
      </c>
      <c r="AP342" s="437">
        <f t="shared" si="150"/>
        <v>0</v>
      </c>
    </row>
    <row r="343" spans="1:42" s="11" customFormat="1" hidden="1" x14ac:dyDescent="0.3">
      <c r="A343" s="775">
        <v>264</v>
      </c>
      <c r="B343" s="775">
        <f t="shared" si="131"/>
        <v>22</v>
      </c>
      <c r="C343" s="891">
        <f t="shared" si="132"/>
        <v>0.14489675614077413</v>
      </c>
      <c r="D343" s="891"/>
      <c r="E343" s="891">
        <f t="shared" si="132"/>
        <v>0.03</v>
      </c>
      <c r="F343" s="891">
        <f t="shared" si="124"/>
        <v>0.03</v>
      </c>
      <c r="G343" s="893">
        <f t="shared" si="133"/>
        <v>1.151056494563818E-8</v>
      </c>
      <c r="H343" s="436">
        <f t="shared" si="125"/>
        <v>0</v>
      </c>
      <c r="I343" s="302">
        <f t="shared" si="126"/>
        <v>0</v>
      </c>
      <c r="J343" s="301">
        <f t="shared" si="151"/>
        <v>2.9176084758041223E-11</v>
      </c>
      <c r="K343" s="301">
        <f t="shared" si="134"/>
        <v>2.9176084758041223E-11</v>
      </c>
      <c r="L343" s="10">
        <f t="shared" si="135"/>
        <v>2.9176084758041223E-11</v>
      </c>
      <c r="M343" s="302"/>
      <c r="N343" s="435">
        <f t="shared" si="136"/>
        <v>0</v>
      </c>
      <c r="O343" s="436">
        <f t="shared" si="127"/>
        <v>0</v>
      </c>
      <c r="P343" s="436">
        <f t="shared" si="137"/>
        <v>0</v>
      </c>
      <c r="R343" s="354">
        <f>+Hirdetmény!$AA$46</f>
        <v>0.13400000000000001</v>
      </c>
      <c r="S343" s="301">
        <f t="shared" si="138"/>
        <v>0</v>
      </c>
      <c r="T343" s="301">
        <f t="shared" si="128"/>
        <v>0</v>
      </c>
      <c r="U343" s="301">
        <f t="shared" si="139"/>
        <v>0</v>
      </c>
      <c r="V343" s="301">
        <f t="shared" si="140"/>
        <v>0</v>
      </c>
      <c r="W343" s="301">
        <f t="shared" si="141"/>
        <v>0</v>
      </c>
      <c r="AA343" s="12">
        <f>+paraméterek!$B$346</f>
        <v>6.4600000000000005E-2</v>
      </c>
      <c r="AB343" s="301">
        <f t="shared" si="142"/>
        <v>0</v>
      </c>
      <c r="AC343" s="301">
        <f t="shared" si="129"/>
        <v>0</v>
      </c>
      <c r="AD343" s="301">
        <f t="shared" si="143"/>
        <v>0</v>
      </c>
      <c r="AE343" s="301">
        <f t="shared" si="144"/>
        <v>0</v>
      </c>
      <c r="AF343" s="477">
        <f t="shared" si="145"/>
        <v>0</v>
      </c>
      <c r="AI343" s="543">
        <f t="shared" si="130"/>
        <v>0</v>
      </c>
      <c r="AJ343" s="543">
        <f t="shared" si="146"/>
        <v>0</v>
      </c>
      <c r="AK343" s="300">
        <f t="shared" si="147"/>
        <v>0</v>
      </c>
      <c r="AL343" s="543">
        <f t="shared" si="148"/>
        <v>0</v>
      </c>
      <c r="AM343" s="10">
        <f t="shared" si="149"/>
        <v>0</v>
      </c>
      <c r="AP343" s="437">
        <f t="shared" si="150"/>
        <v>0</v>
      </c>
    </row>
    <row r="344" spans="1:42" s="11" customFormat="1" hidden="1" x14ac:dyDescent="0.3">
      <c r="A344" s="775">
        <v>265</v>
      </c>
      <c r="B344" s="775">
        <f t="shared" si="131"/>
        <v>23</v>
      </c>
      <c r="C344" s="891">
        <f t="shared" si="132"/>
        <v>0.14489675614077413</v>
      </c>
      <c r="D344" s="891"/>
      <c r="E344" s="891">
        <f t="shared" si="132"/>
        <v>0.03</v>
      </c>
      <c r="F344" s="891">
        <f t="shared" si="124"/>
        <v>0.03</v>
      </c>
      <c r="G344" s="893">
        <f t="shared" si="133"/>
        <v>1.151056494563818E-8</v>
      </c>
      <c r="H344" s="436">
        <f t="shared" si="125"/>
        <v>0</v>
      </c>
      <c r="I344" s="302">
        <f t="shared" si="126"/>
        <v>0</v>
      </c>
      <c r="J344" s="301">
        <f t="shared" si="151"/>
        <v>2.9176084758041223E-11</v>
      </c>
      <c r="K344" s="301">
        <f t="shared" si="134"/>
        <v>2.9176084758041223E-11</v>
      </c>
      <c r="L344" s="10">
        <f t="shared" si="135"/>
        <v>2.9176084758041223E-11</v>
      </c>
      <c r="M344" s="302"/>
      <c r="N344" s="435">
        <f t="shared" si="136"/>
        <v>0</v>
      </c>
      <c r="O344" s="436">
        <f t="shared" si="127"/>
        <v>0</v>
      </c>
      <c r="P344" s="436">
        <f t="shared" si="137"/>
        <v>0</v>
      </c>
      <c r="R344" s="354">
        <f>+Hirdetmény!$AA$46</f>
        <v>0.13400000000000001</v>
      </c>
      <c r="S344" s="301">
        <f t="shared" si="138"/>
        <v>0</v>
      </c>
      <c r="T344" s="301">
        <f t="shared" si="128"/>
        <v>0</v>
      </c>
      <c r="U344" s="301">
        <f t="shared" si="139"/>
        <v>0</v>
      </c>
      <c r="V344" s="301">
        <f t="shared" si="140"/>
        <v>0</v>
      </c>
      <c r="W344" s="301">
        <f t="shared" si="141"/>
        <v>0</v>
      </c>
      <c r="AA344" s="12">
        <f>+paraméterek!$B$346</f>
        <v>6.4600000000000005E-2</v>
      </c>
      <c r="AB344" s="301">
        <f t="shared" si="142"/>
        <v>0</v>
      </c>
      <c r="AC344" s="301">
        <f t="shared" si="129"/>
        <v>0</v>
      </c>
      <c r="AD344" s="301">
        <f t="shared" si="143"/>
        <v>0</v>
      </c>
      <c r="AE344" s="301">
        <f t="shared" si="144"/>
        <v>0</v>
      </c>
      <c r="AF344" s="477">
        <f t="shared" si="145"/>
        <v>0</v>
      </c>
      <c r="AI344" s="543">
        <f t="shared" si="130"/>
        <v>0</v>
      </c>
      <c r="AJ344" s="543">
        <f t="shared" si="146"/>
        <v>0</v>
      </c>
      <c r="AK344" s="300">
        <f t="shared" si="147"/>
        <v>0</v>
      </c>
      <c r="AL344" s="543">
        <f t="shared" si="148"/>
        <v>0</v>
      </c>
      <c r="AM344" s="10">
        <f t="shared" si="149"/>
        <v>0</v>
      </c>
      <c r="AP344" s="437">
        <f t="shared" si="150"/>
        <v>0</v>
      </c>
    </row>
    <row r="345" spans="1:42" s="11" customFormat="1" hidden="1" x14ac:dyDescent="0.3">
      <c r="A345" s="775">
        <v>266</v>
      </c>
      <c r="B345" s="775">
        <f t="shared" si="131"/>
        <v>23</v>
      </c>
      <c r="C345" s="891">
        <f t="shared" si="132"/>
        <v>0.14489675614077413</v>
      </c>
      <c r="D345" s="891"/>
      <c r="E345" s="891">
        <f t="shared" si="132"/>
        <v>0.03</v>
      </c>
      <c r="F345" s="891">
        <f t="shared" si="124"/>
        <v>0.03</v>
      </c>
      <c r="G345" s="893">
        <f t="shared" si="133"/>
        <v>1.151056494563818E-8</v>
      </c>
      <c r="H345" s="436">
        <f t="shared" si="125"/>
        <v>0</v>
      </c>
      <c r="I345" s="302">
        <f t="shared" si="126"/>
        <v>0</v>
      </c>
      <c r="J345" s="301">
        <f t="shared" si="151"/>
        <v>2.9176084758041223E-11</v>
      </c>
      <c r="K345" s="301">
        <f t="shared" si="134"/>
        <v>2.9176084758041223E-11</v>
      </c>
      <c r="L345" s="10">
        <f t="shared" si="135"/>
        <v>2.9176084758041223E-11</v>
      </c>
      <c r="M345" s="302"/>
      <c r="N345" s="435">
        <f t="shared" si="136"/>
        <v>0</v>
      </c>
      <c r="O345" s="436">
        <f t="shared" si="127"/>
        <v>0</v>
      </c>
      <c r="P345" s="436">
        <f t="shared" si="137"/>
        <v>0</v>
      </c>
      <c r="R345" s="354">
        <f>+Hirdetmény!$AA$46</f>
        <v>0.13400000000000001</v>
      </c>
      <c r="S345" s="301">
        <f t="shared" si="138"/>
        <v>0</v>
      </c>
      <c r="T345" s="301">
        <f t="shared" si="128"/>
        <v>0</v>
      </c>
      <c r="U345" s="301">
        <f t="shared" si="139"/>
        <v>0</v>
      </c>
      <c r="V345" s="301">
        <f t="shared" si="140"/>
        <v>0</v>
      </c>
      <c r="W345" s="301">
        <f t="shared" si="141"/>
        <v>0</v>
      </c>
      <c r="AA345" s="12">
        <f>+paraméterek!$B$346</f>
        <v>6.4600000000000005E-2</v>
      </c>
      <c r="AB345" s="301">
        <f t="shared" si="142"/>
        <v>0</v>
      </c>
      <c r="AC345" s="301">
        <f t="shared" si="129"/>
        <v>0</v>
      </c>
      <c r="AD345" s="301">
        <f t="shared" si="143"/>
        <v>0</v>
      </c>
      <c r="AE345" s="301">
        <f t="shared" si="144"/>
        <v>0</v>
      </c>
      <c r="AF345" s="477">
        <f t="shared" si="145"/>
        <v>0</v>
      </c>
      <c r="AI345" s="543">
        <f t="shared" si="130"/>
        <v>0</v>
      </c>
      <c r="AJ345" s="543">
        <f t="shared" si="146"/>
        <v>0</v>
      </c>
      <c r="AK345" s="300">
        <f t="shared" si="147"/>
        <v>0</v>
      </c>
      <c r="AL345" s="543">
        <f t="shared" si="148"/>
        <v>0</v>
      </c>
      <c r="AM345" s="10">
        <f t="shared" si="149"/>
        <v>0</v>
      </c>
      <c r="AP345" s="437">
        <f t="shared" si="150"/>
        <v>0</v>
      </c>
    </row>
    <row r="346" spans="1:42" s="11" customFormat="1" hidden="1" x14ac:dyDescent="0.3">
      <c r="A346" s="775">
        <v>267</v>
      </c>
      <c r="B346" s="775">
        <f t="shared" si="131"/>
        <v>23</v>
      </c>
      <c r="C346" s="891">
        <f t="shared" si="132"/>
        <v>0.14489675614077413</v>
      </c>
      <c r="D346" s="891"/>
      <c r="E346" s="891">
        <f t="shared" si="132"/>
        <v>0.03</v>
      </c>
      <c r="F346" s="891">
        <f t="shared" si="124"/>
        <v>0.03</v>
      </c>
      <c r="G346" s="893">
        <f t="shared" si="133"/>
        <v>1.151056494563818E-8</v>
      </c>
      <c r="H346" s="436">
        <f t="shared" si="125"/>
        <v>0</v>
      </c>
      <c r="I346" s="302">
        <f t="shared" si="126"/>
        <v>0</v>
      </c>
      <c r="J346" s="301">
        <f t="shared" si="151"/>
        <v>2.9176084758041223E-11</v>
      </c>
      <c r="K346" s="301">
        <f t="shared" si="134"/>
        <v>2.9176084758041223E-11</v>
      </c>
      <c r="L346" s="10">
        <f t="shared" si="135"/>
        <v>2.9176084758041223E-11</v>
      </c>
      <c r="M346" s="302"/>
      <c r="N346" s="435">
        <f t="shared" si="136"/>
        <v>0</v>
      </c>
      <c r="O346" s="436">
        <f t="shared" si="127"/>
        <v>0</v>
      </c>
      <c r="P346" s="436">
        <f t="shared" si="137"/>
        <v>0</v>
      </c>
      <c r="R346" s="354">
        <f>+Hirdetmény!$AA$46</f>
        <v>0.13400000000000001</v>
      </c>
      <c r="S346" s="301">
        <f t="shared" si="138"/>
        <v>0</v>
      </c>
      <c r="T346" s="301">
        <f t="shared" si="128"/>
        <v>0</v>
      </c>
      <c r="U346" s="301">
        <f t="shared" si="139"/>
        <v>0</v>
      </c>
      <c r="V346" s="301">
        <f t="shared" si="140"/>
        <v>0</v>
      </c>
      <c r="W346" s="301">
        <f t="shared" si="141"/>
        <v>0</v>
      </c>
      <c r="AA346" s="12">
        <f>+paraméterek!$B$346</f>
        <v>6.4600000000000005E-2</v>
      </c>
      <c r="AB346" s="301">
        <f t="shared" si="142"/>
        <v>0</v>
      </c>
      <c r="AC346" s="301">
        <f t="shared" si="129"/>
        <v>0</v>
      </c>
      <c r="AD346" s="301">
        <f t="shared" si="143"/>
        <v>0</v>
      </c>
      <c r="AE346" s="301">
        <f t="shared" si="144"/>
        <v>0</v>
      </c>
      <c r="AF346" s="477">
        <f t="shared" si="145"/>
        <v>0</v>
      </c>
      <c r="AI346" s="543">
        <f t="shared" si="130"/>
        <v>0</v>
      </c>
      <c r="AJ346" s="543">
        <f t="shared" si="146"/>
        <v>0</v>
      </c>
      <c r="AK346" s="300">
        <f t="shared" si="147"/>
        <v>0</v>
      </c>
      <c r="AL346" s="543">
        <f t="shared" si="148"/>
        <v>0</v>
      </c>
      <c r="AM346" s="10">
        <f t="shared" si="149"/>
        <v>0</v>
      </c>
      <c r="AP346" s="437">
        <f t="shared" si="150"/>
        <v>0</v>
      </c>
    </row>
    <row r="347" spans="1:42" s="11" customFormat="1" hidden="1" x14ac:dyDescent="0.3">
      <c r="A347" s="775">
        <v>268</v>
      </c>
      <c r="B347" s="775">
        <f t="shared" si="131"/>
        <v>23</v>
      </c>
      <c r="C347" s="891">
        <f t="shared" si="132"/>
        <v>0.14489675614077413</v>
      </c>
      <c r="D347" s="891"/>
      <c r="E347" s="891">
        <f t="shared" si="132"/>
        <v>0.03</v>
      </c>
      <c r="F347" s="891">
        <f t="shared" si="124"/>
        <v>0.03</v>
      </c>
      <c r="G347" s="893">
        <f t="shared" si="133"/>
        <v>1.151056494563818E-8</v>
      </c>
      <c r="H347" s="436">
        <f t="shared" si="125"/>
        <v>0</v>
      </c>
      <c r="I347" s="302">
        <f t="shared" si="126"/>
        <v>0</v>
      </c>
      <c r="J347" s="301">
        <f t="shared" si="151"/>
        <v>2.9176084758041223E-11</v>
      </c>
      <c r="K347" s="301">
        <f t="shared" si="134"/>
        <v>2.9176084758041223E-11</v>
      </c>
      <c r="L347" s="10">
        <f t="shared" si="135"/>
        <v>2.9176084758041223E-11</v>
      </c>
      <c r="M347" s="302"/>
      <c r="N347" s="435">
        <f t="shared" si="136"/>
        <v>0</v>
      </c>
      <c r="O347" s="436">
        <f t="shared" si="127"/>
        <v>0</v>
      </c>
      <c r="P347" s="436">
        <f t="shared" si="137"/>
        <v>0</v>
      </c>
      <c r="R347" s="354">
        <f>+Hirdetmény!$AA$46</f>
        <v>0.13400000000000001</v>
      </c>
      <c r="S347" s="301">
        <f t="shared" si="138"/>
        <v>0</v>
      </c>
      <c r="T347" s="301">
        <f t="shared" si="128"/>
        <v>0</v>
      </c>
      <c r="U347" s="301">
        <f t="shared" si="139"/>
        <v>0</v>
      </c>
      <c r="V347" s="301">
        <f t="shared" si="140"/>
        <v>0</v>
      </c>
      <c r="W347" s="301">
        <f t="shared" si="141"/>
        <v>0</v>
      </c>
      <c r="AA347" s="12">
        <f>+paraméterek!$B$346</f>
        <v>6.4600000000000005E-2</v>
      </c>
      <c r="AB347" s="301">
        <f t="shared" si="142"/>
        <v>0</v>
      </c>
      <c r="AC347" s="301">
        <f t="shared" si="129"/>
        <v>0</v>
      </c>
      <c r="AD347" s="301">
        <f t="shared" si="143"/>
        <v>0</v>
      </c>
      <c r="AE347" s="301">
        <f t="shared" si="144"/>
        <v>0</v>
      </c>
      <c r="AF347" s="477">
        <f t="shared" si="145"/>
        <v>0</v>
      </c>
      <c r="AI347" s="543">
        <f t="shared" si="130"/>
        <v>0</v>
      </c>
      <c r="AJ347" s="543">
        <f t="shared" si="146"/>
        <v>0</v>
      </c>
      <c r="AK347" s="300">
        <f t="shared" si="147"/>
        <v>0</v>
      </c>
      <c r="AL347" s="543">
        <f t="shared" si="148"/>
        <v>0</v>
      </c>
      <c r="AM347" s="10">
        <f t="shared" si="149"/>
        <v>0</v>
      </c>
      <c r="AP347" s="437">
        <f t="shared" si="150"/>
        <v>0</v>
      </c>
    </row>
    <row r="348" spans="1:42" s="11" customFormat="1" hidden="1" x14ac:dyDescent="0.3">
      <c r="A348" s="775">
        <v>269</v>
      </c>
      <c r="B348" s="775">
        <f t="shared" si="131"/>
        <v>23</v>
      </c>
      <c r="C348" s="891">
        <f t="shared" si="132"/>
        <v>0.14489675614077413</v>
      </c>
      <c r="D348" s="891"/>
      <c r="E348" s="891">
        <f t="shared" si="132"/>
        <v>0.03</v>
      </c>
      <c r="F348" s="891">
        <f t="shared" si="124"/>
        <v>0.03</v>
      </c>
      <c r="G348" s="893">
        <f t="shared" si="133"/>
        <v>1.151056494563818E-8</v>
      </c>
      <c r="H348" s="436">
        <f t="shared" si="125"/>
        <v>0</v>
      </c>
      <c r="I348" s="302">
        <f t="shared" si="126"/>
        <v>0</v>
      </c>
      <c r="J348" s="301">
        <f t="shared" si="151"/>
        <v>2.9176084758041223E-11</v>
      </c>
      <c r="K348" s="301">
        <f t="shared" si="134"/>
        <v>2.9176084758041223E-11</v>
      </c>
      <c r="L348" s="10">
        <f t="shared" si="135"/>
        <v>2.9176084758041223E-11</v>
      </c>
      <c r="M348" s="302"/>
      <c r="N348" s="435">
        <f t="shared" si="136"/>
        <v>0</v>
      </c>
      <c r="O348" s="436">
        <f t="shared" si="127"/>
        <v>0</v>
      </c>
      <c r="P348" s="436">
        <f t="shared" si="137"/>
        <v>0</v>
      </c>
      <c r="R348" s="354">
        <f>+Hirdetmény!$AA$46</f>
        <v>0.13400000000000001</v>
      </c>
      <c r="S348" s="301">
        <f t="shared" si="138"/>
        <v>0</v>
      </c>
      <c r="T348" s="301">
        <f t="shared" si="128"/>
        <v>0</v>
      </c>
      <c r="U348" s="301">
        <f t="shared" si="139"/>
        <v>0</v>
      </c>
      <c r="V348" s="301">
        <f t="shared" si="140"/>
        <v>0</v>
      </c>
      <c r="W348" s="301">
        <f t="shared" si="141"/>
        <v>0</v>
      </c>
      <c r="AA348" s="12">
        <f>+paraméterek!$B$346</f>
        <v>6.4600000000000005E-2</v>
      </c>
      <c r="AB348" s="301">
        <f t="shared" si="142"/>
        <v>0</v>
      </c>
      <c r="AC348" s="301">
        <f t="shared" si="129"/>
        <v>0</v>
      </c>
      <c r="AD348" s="301">
        <f t="shared" si="143"/>
        <v>0</v>
      </c>
      <c r="AE348" s="301">
        <f t="shared" si="144"/>
        <v>0</v>
      </c>
      <c r="AF348" s="477">
        <f t="shared" si="145"/>
        <v>0</v>
      </c>
      <c r="AI348" s="543">
        <f t="shared" si="130"/>
        <v>0</v>
      </c>
      <c r="AJ348" s="543">
        <f t="shared" si="146"/>
        <v>0</v>
      </c>
      <c r="AK348" s="300">
        <f t="shared" si="147"/>
        <v>0</v>
      </c>
      <c r="AL348" s="543">
        <f t="shared" si="148"/>
        <v>0</v>
      </c>
      <c r="AM348" s="10">
        <f t="shared" si="149"/>
        <v>0</v>
      </c>
      <c r="AP348" s="437">
        <f t="shared" si="150"/>
        <v>0</v>
      </c>
    </row>
    <row r="349" spans="1:42" s="11" customFormat="1" hidden="1" x14ac:dyDescent="0.3">
      <c r="A349" s="775">
        <v>270</v>
      </c>
      <c r="B349" s="775">
        <f t="shared" si="131"/>
        <v>23</v>
      </c>
      <c r="C349" s="891">
        <f t="shared" si="132"/>
        <v>0.14489675614077413</v>
      </c>
      <c r="D349" s="891"/>
      <c r="E349" s="891">
        <f t="shared" si="132"/>
        <v>0.03</v>
      </c>
      <c r="F349" s="891">
        <f t="shared" si="124"/>
        <v>0.03</v>
      </c>
      <c r="G349" s="893">
        <f t="shared" si="133"/>
        <v>1.151056494563818E-8</v>
      </c>
      <c r="H349" s="436">
        <f t="shared" si="125"/>
        <v>0</v>
      </c>
      <c r="I349" s="302">
        <f t="shared" si="126"/>
        <v>0</v>
      </c>
      <c r="J349" s="301">
        <f t="shared" si="151"/>
        <v>2.9176084758041223E-11</v>
      </c>
      <c r="K349" s="301">
        <f t="shared" si="134"/>
        <v>2.9176084758041223E-11</v>
      </c>
      <c r="L349" s="10">
        <f t="shared" si="135"/>
        <v>2.9176084758041223E-11</v>
      </c>
      <c r="M349" s="302"/>
      <c r="N349" s="435">
        <f t="shared" si="136"/>
        <v>0</v>
      </c>
      <c r="O349" s="436">
        <f t="shared" si="127"/>
        <v>0</v>
      </c>
      <c r="P349" s="436">
        <f t="shared" si="137"/>
        <v>0</v>
      </c>
      <c r="R349" s="354">
        <f>+Hirdetmény!$AA$46</f>
        <v>0.13400000000000001</v>
      </c>
      <c r="S349" s="301">
        <f t="shared" si="138"/>
        <v>0</v>
      </c>
      <c r="T349" s="301">
        <f t="shared" si="128"/>
        <v>0</v>
      </c>
      <c r="U349" s="301">
        <f t="shared" si="139"/>
        <v>0</v>
      </c>
      <c r="V349" s="301">
        <f t="shared" si="140"/>
        <v>0</v>
      </c>
      <c r="W349" s="301">
        <f t="shared" si="141"/>
        <v>0</v>
      </c>
      <c r="AA349" s="12">
        <f>+paraméterek!$B$346</f>
        <v>6.4600000000000005E-2</v>
      </c>
      <c r="AB349" s="301">
        <f t="shared" si="142"/>
        <v>0</v>
      </c>
      <c r="AC349" s="301">
        <f t="shared" si="129"/>
        <v>0</v>
      </c>
      <c r="AD349" s="301">
        <f t="shared" si="143"/>
        <v>0</v>
      </c>
      <c r="AE349" s="301">
        <f t="shared" si="144"/>
        <v>0</v>
      </c>
      <c r="AF349" s="477">
        <f t="shared" si="145"/>
        <v>0</v>
      </c>
      <c r="AI349" s="543">
        <f t="shared" si="130"/>
        <v>0</v>
      </c>
      <c r="AJ349" s="543">
        <f t="shared" si="146"/>
        <v>0</v>
      </c>
      <c r="AK349" s="300">
        <f t="shared" si="147"/>
        <v>0</v>
      </c>
      <c r="AL349" s="543">
        <f t="shared" si="148"/>
        <v>0</v>
      </c>
      <c r="AM349" s="10">
        <f t="shared" si="149"/>
        <v>0</v>
      </c>
      <c r="AP349" s="437">
        <f t="shared" si="150"/>
        <v>0</v>
      </c>
    </row>
    <row r="350" spans="1:42" s="11" customFormat="1" hidden="1" x14ac:dyDescent="0.3">
      <c r="A350" s="775">
        <v>271</v>
      </c>
      <c r="B350" s="775">
        <f t="shared" si="131"/>
        <v>23</v>
      </c>
      <c r="C350" s="891">
        <f t="shared" si="132"/>
        <v>0.14489675614077413</v>
      </c>
      <c r="D350" s="891"/>
      <c r="E350" s="891">
        <f t="shared" si="132"/>
        <v>0.03</v>
      </c>
      <c r="F350" s="891">
        <f t="shared" si="124"/>
        <v>0.03</v>
      </c>
      <c r="G350" s="893">
        <f t="shared" si="133"/>
        <v>1.151056494563818E-8</v>
      </c>
      <c r="H350" s="436">
        <f t="shared" si="125"/>
        <v>0</v>
      </c>
      <c r="I350" s="302">
        <f t="shared" si="126"/>
        <v>0</v>
      </c>
      <c r="J350" s="301">
        <f t="shared" si="151"/>
        <v>2.9176084758041223E-11</v>
      </c>
      <c r="K350" s="301">
        <f t="shared" si="134"/>
        <v>2.9176084758041223E-11</v>
      </c>
      <c r="L350" s="10">
        <f t="shared" si="135"/>
        <v>2.9176084758041223E-11</v>
      </c>
      <c r="M350" s="302"/>
      <c r="N350" s="435">
        <f t="shared" si="136"/>
        <v>0</v>
      </c>
      <c r="O350" s="436">
        <f t="shared" si="127"/>
        <v>0</v>
      </c>
      <c r="P350" s="436">
        <f t="shared" si="137"/>
        <v>0</v>
      </c>
      <c r="R350" s="354">
        <f>+Hirdetmény!$AA$46</f>
        <v>0.13400000000000001</v>
      </c>
      <c r="S350" s="301">
        <f t="shared" si="138"/>
        <v>0</v>
      </c>
      <c r="T350" s="301">
        <f t="shared" si="128"/>
        <v>0</v>
      </c>
      <c r="U350" s="301">
        <f t="shared" si="139"/>
        <v>0</v>
      </c>
      <c r="V350" s="301">
        <f t="shared" si="140"/>
        <v>0</v>
      </c>
      <c r="W350" s="301">
        <f t="shared" si="141"/>
        <v>0</v>
      </c>
      <c r="AA350" s="12">
        <f>+paraméterek!$B$346</f>
        <v>6.4600000000000005E-2</v>
      </c>
      <c r="AB350" s="301">
        <f t="shared" si="142"/>
        <v>0</v>
      </c>
      <c r="AC350" s="301">
        <f t="shared" si="129"/>
        <v>0</v>
      </c>
      <c r="AD350" s="301">
        <f t="shared" si="143"/>
        <v>0</v>
      </c>
      <c r="AE350" s="301">
        <f t="shared" si="144"/>
        <v>0</v>
      </c>
      <c r="AF350" s="477">
        <f t="shared" si="145"/>
        <v>0</v>
      </c>
      <c r="AI350" s="543">
        <f t="shared" si="130"/>
        <v>0</v>
      </c>
      <c r="AJ350" s="543">
        <f t="shared" si="146"/>
        <v>0</v>
      </c>
      <c r="AK350" s="300">
        <f t="shared" si="147"/>
        <v>0</v>
      </c>
      <c r="AL350" s="543">
        <f t="shared" si="148"/>
        <v>0</v>
      </c>
      <c r="AM350" s="10">
        <f t="shared" si="149"/>
        <v>0</v>
      </c>
      <c r="AP350" s="437">
        <f t="shared" si="150"/>
        <v>0</v>
      </c>
    </row>
    <row r="351" spans="1:42" s="11" customFormat="1" hidden="1" x14ac:dyDescent="0.3">
      <c r="A351" s="775">
        <v>272</v>
      </c>
      <c r="B351" s="775">
        <f t="shared" si="131"/>
        <v>23</v>
      </c>
      <c r="C351" s="891">
        <f t="shared" si="132"/>
        <v>0.14489675614077413</v>
      </c>
      <c r="D351" s="891"/>
      <c r="E351" s="891">
        <f t="shared" si="132"/>
        <v>0.03</v>
      </c>
      <c r="F351" s="891">
        <f t="shared" si="124"/>
        <v>0.03</v>
      </c>
      <c r="G351" s="893">
        <f t="shared" si="133"/>
        <v>1.151056494563818E-8</v>
      </c>
      <c r="H351" s="436">
        <f t="shared" si="125"/>
        <v>0</v>
      </c>
      <c r="I351" s="302">
        <f t="shared" si="126"/>
        <v>0</v>
      </c>
      <c r="J351" s="301">
        <f t="shared" si="151"/>
        <v>2.9176084758041223E-11</v>
      </c>
      <c r="K351" s="301">
        <f t="shared" si="134"/>
        <v>2.9176084758041223E-11</v>
      </c>
      <c r="L351" s="10">
        <f t="shared" si="135"/>
        <v>2.9176084758041223E-11</v>
      </c>
      <c r="M351" s="302"/>
      <c r="N351" s="435">
        <f t="shared" si="136"/>
        <v>0</v>
      </c>
      <c r="O351" s="436">
        <f t="shared" si="127"/>
        <v>0</v>
      </c>
      <c r="P351" s="436">
        <f t="shared" si="137"/>
        <v>0</v>
      </c>
      <c r="R351" s="354">
        <f>+Hirdetmény!$AA$46</f>
        <v>0.13400000000000001</v>
      </c>
      <c r="S351" s="301">
        <f t="shared" si="138"/>
        <v>0</v>
      </c>
      <c r="T351" s="301">
        <f t="shared" si="128"/>
        <v>0</v>
      </c>
      <c r="U351" s="301">
        <f t="shared" si="139"/>
        <v>0</v>
      </c>
      <c r="V351" s="301">
        <f t="shared" si="140"/>
        <v>0</v>
      </c>
      <c r="W351" s="301">
        <f t="shared" si="141"/>
        <v>0</v>
      </c>
      <c r="AA351" s="12">
        <f>+paraméterek!$B$346</f>
        <v>6.4600000000000005E-2</v>
      </c>
      <c r="AB351" s="301">
        <f t="shared" si="142"/>
        <v>0</v>
      </c>
      <c r="AC351" s="301">
        <f t="shared" si="129"/>
        <v>0</v>
      </c>
      <c r="AD351" s="301">
        <f t="shared" si="143"/>
        <v>0</v>
      </c>
      <c r="AE351" s="301">
        <f t="shared" si="144"/>
        <v>0</v>
      </c>
      <c r="AF351" s="477">
        <f t="shared" si="145"/>
        <v>0</v>
      </c>
      <c r="AI351" s="543">
        <f t="shared" si="130"/>
        <v>0</v>
      </c>
      <c r="AJ351" s="543">
        <f t="shared" si="146"/>
        <v>0</v>
      </c>
      <c r="AK351" s="300">
        <f t="shared" si="147"/>
        <v>0</v>
      </c>
      <c r="AL351" s="543">
        <f t="shared" si="148"/>
        <v>0</v>
      </c>
      <c r="AM351" s="10">
        <f t="shared" si="149"/>
        <v>0</v>
      </c>
      <c r="AP351" s="437">
        <f t="shared" si="150"/>
        <v>0</v>
      </c>
    </row>
    <row r="352" spans="1:42" s="11" customFormat="1" hidden="1" x14ac:dyDescent="0.3">
      <c r="A352" s="775">
        <v>273</v>
      </c>
      <c r="B352" s="775">
        <f t="shared" si="131"/>
        <v>23</v>
      </c>
      <c r="C352" s="891">
        <f t="shared" si="132"/>
        <v>0.14489675614077413</v>
      </c>
      <c r="D352" s="891"/>
      <c r="E352" s="891">
        <f t="shared" si="132"/>
        <v>0.03</v>
      </c>
      <c r="F352" s="891">
        <f t="shared" si="124"/>
        <v>0.03</v>
      </c>
      <c r="G352" s="893">
        <f t="shared" si="133"/>
        <v>1.151056494563818E-8</v>
      </c>
      <c r="H352" s="436">
        <f t="shared" si="125"/>
        <v>0</v>
      </c>
      <c r="I352" s="302">
        <f t="shared" si="126"/>
        <v>0</v>
      </c>
      <c r="J352" s="301">
        <f t="shared" si="151"/>
        <v>2.9176084758041223E-11</v>
      </c>
      <c r="K352" s="301">
        <f t="shared" si="134"/>
        <v>2.9176084758041223E-11</v>
      </c>
      <c r="L352" s="10">
        <f t="shared" si="135"/>
        <v>2.9176084758041223E-11</v>
      </c>
      <c r="M352" s="302"/>
      <c r="N352" s="435">
        <f t="shared" si="136"/>
        <v>0</v>
      </c>
      <c r="O352" s="436">
        <f t="shared" si="127"/>
        <v>0</v>
      </c>
      <c r="P352" s="436">
        <f t="shared" si="137"/>
        <v>0</v>
      </c>
      <c r="R352" s="354">
        <f>+Hirdetmény!$AA$46</f>
        <v>0.13400000000000001</v>
      </c>
      <c r="S352" s="301">
        <f t="shared" si="138"/>
        <v>0</v>
      </c>
      <c r="T352" s="301">
        <f t="shared" si="128"/>
        <v>0</v>
      </c>
      <c r="U352" s="301">
        <f t="shared" si="139"/>
        <v>0</v>
      </c>
      <c r="V352" s="301">
        <f t="shared" si="140"/>
        <v>0</v>
      </c>
      <c r="W352" s="301">
        <f t="shared" si="141"/>
        <v>0</v>
      </c>
      <c r="AA352" s="12">
        <f>+paraméterek!$B$346</f>
        <v>6.4600000000000005E-2</v>
      </c>
      <c r="AB352" s="301">
        <f t="shared" si="142"/>
        <v>0</v>
      </c>
      <c r="AC352" s="301">
        <f t="shared" si="129"/>
        <v>0</v>
      </c>
      <c r="AD352" s="301">
        <f t="shared" si="143"/>
        <v>0</v>
      </c>
      <c r="AE352" s="301">
        <f t="shared" si="144"/>
        <v>0</v>
      </c>
      <c r="AF352" s="477">
        <f t="shared" si="145"/>
        <v>0</v>
      </c>
      <c r="AI352" s="543">
        <f t="shared" si="130"/>
        <v>0</v>
      </c>
      <c r="AJ352" s="543">
        <f t="shared" si="146"/>
        <v>0</v>
      </c>
      <c r="AK352" s="300">
        <f t="shared" si="147"/>
        <v>0</v>
      </c>
      <c r="AL352" s="543">
        <f t="shared" si="148"/>
        <v>0</v>
      </c>
      <c r="AM352" s="10">
        <f t="shared" si="149"/>
        <v>0</v>
      </c>
      <c r="AP352" s="437">
        <f t="shared" si="150"/>
        <v>0</v>
      </c>
    </row>
    <row r="353" spans="1:42" s="11" customFormat="1" hidden="1" x14ac:dyDescent="0.3">
      <c r="A353" s="775">
        <v>274</v>
      </c>
      <c r="B353" s="775">
        <f t="shared" si="131"/>
        <v>23</v>
      </c>
      <c r="C353" s="891">
        <f t="shared" ref="C353:E368" si="152">+C352</f>
        <v>0.14489675614077413</v>
      </c>
      <c r="D353" s="891"/>
      <c r="E353" s="891">
        <f t="shared" si="152"/>
        <v>0.03</v>
      </c>
      <c r="F353" s="891">
        <f t="shared" si="124"/>
        <v>0.03</v>
      </c>
      <c r="G353" s="893">
        <f t="shared" si="133"/>
        <v>1.151056494563818E-8</v>
      </c>
      <c r="H353" s="436">
        <f t="shared" si="125"/>
        <v>0</v>
      </c>
      <c r="I353" s="302">
        <f t="shared" si="126"/>
        <v>0</v>
      </c>
      <c r="J353" s="301">
        <f t="shared" si="151"/>
        <v>2.9176084758041223E-11</v>
      </c>
      <c r="K353" s="301">
        <f t="shared" si="134"/>
        <v>2.9176084758041223E-11</v>
      </c>
      <c r="L353" s="10">
        <f t="shared" si="135"/>
        <v>2.9176084758041223E-11</v>
      </c>
      <c r="M353" s="302"/>
      <c r="N353" s="435">
        <f t="shared" si="136"/>
        <v>0</v>
      </c>
      <c r="O353" s="436">
        <f t="shared" si="127"/>
        <v>0</v>
      </c>
      <c r="P353" s="436">
        <f t="shared" si="137"/>
        <v>0</v>
      </c>
      <c r="R353" s="354">
        <f>+Hirdetmény!$AA$46</f>
        <v>0.13400000000000001</v>
      </c>
      <c r="S353" s="301">
        <f t="shared" si="138"/>
        <v>0</v>
      </c>
      <c r="T353" s="301">
        <f t="shared" si="128"/>
        <v>0</v>
      </c>
      <c r="U353" s="301">
        <f t="shared" si="139"/>
        <v>0</v>
      </c>
      <c r="V353" s="301">
        <f t="shared" si="140"/>
        <v>0</v>
      </c>
      <c r="W353" s="301">
        <f t="shared" si="141"/>
        <v>0</v>
      </c>
      <c r="AA353" s="12">
        <f>+paraméterek!$B$346</f>
        <v>6.4600000000000005E-2</v>
      </c>
      <c r="AB353" s="301">
        <f t="shared" si="142"/>
        <v>0</v>
      </c>
      <c r="AC353" s="301">
        <f t="shared" si="129"/>
        <v>0</v>
      </c>
      <c r="AD353" s="301">
        <f t="shared" si="143"/>
        <v>0</v>
      </c>
      <c r="AE353" s="301">
        <f t="shared" si="144"/>
        <v>0</v>
      </c>
      <c r="AF353" s="477">
        <f t="shared" si="145"/>
        <v>0</v>
      </c>
      <c r="AI353" s="543">
        <f t="shared" si="130"/>
        <v>0</v>
      </c>
      <c r="AJ353" s="543">
        <f t="shared" si="146"/>
        <v>0</v>
      </c>
      <c r="AK353" s="300">
        <f t="shared" si="147"/>
        <v>0</v>
      </c>
      <c r="AL353" s="543">
        <f t="shared" si="148"/>
        <v>0</v>
      </c>
      <c r="AM353" s="10">
        <f t="shared" si="149"/>
        <v>0</v>
      </c>
      <c r="AP353" s="437">
        <f t="shared" si="150"/>
        <v>0</v>
      </c>
    </row>
    <row r="354" spans="1:42" s="11" customFormat="1" hidden="1" x14ac:dyDescent="0.3">
      <c r="A354" s="775">
        <v>275</v>
      </c>
      <c r="B354" s="775">
        <f t="shared" si="131"/>
        <v>23</v>
      </c>
      <c r="C354" s="891">
        <f t="shared" si="152"/>
        <v>0.14489675614077413</v>
      </c>
      <c r="D354" s="891"/>
      <c r="E354" s="891">
        <f t="shared" si="152"/>
        <v>0.03</v>
      </c>
      <c r="F354" s="891">
        <f t="shared" si="124"/>
        <v>0.03</v>
      </c>
      <c r="G354" s="893">
        <f t="shared" si="133"/>
        <v>1.151056494563818E-8</v>
      </c>
      <c r="H354" s="436">
        <f t="shared" si="125"/>
        <v>0</v>
      </c>
      <c r="I354" s="302">
        <f t="shared" si="126"/>
        <v>0</v>
      </c>
      <c r="J354" s="301">
        <f t="shared" si="151"/>
        <v>2.9176084758041223E-11</v>
      </c>
      <c r="K354" s="301">
        <f t="shared" si="134"/>
        <v>2.9176084758041223E-11</v>
      </c>
      <c r="L354" s="10">
        <f t="shared" si="135"/>
        <v>2.9176084758041223E-11</v>
      </c>
      <c r="M354" s="302"/>
      <c r="N354" s="435">
        <f t="shared" si="136"/>
        <v>0</v>
      </c>
      <c r="O354" s="436">
        <f t="shared" si="127"/>
        <v>0</v>
      </c>
      <c r="P354" s="436">
        <f t="shared" si="137"/>
        <v>0</v>
      </c>
      <c r="R354" s="354">
        <f>+Hirdetmény!$AA$46</f>
        <v>0.13400000000000001</v>
      </c>
      <c r="S354" s="301">
        <f t="shared" si="138"/>
        <v>0</v>
      </c>
      <c r="T354" s="301">
        <f t="shared" si="128"/>
        <v>0</v>
      </c>
      <c r="U354" s="301">
        <f t="shared" si="139"/>
        <v>0</v>
      </c>
      <c r="V354" s="301">
        <f t="shared" si="140"/>
        <v>0</v>
      </c>
      <c r="W354" s="301">
        <f t="shared" si="141"/>
        <v>0</v>
      </c>
      <c r="AA354" s="12">
        <f>+paraméterek!$B$346</f>
        <v>6.4600000000000005E-2</v>
      </c>
      <c r="AB354" s="301">
        <f t="shared" si="142"/>
        <v>0</v>
      </c>
      <c r="AC354" s="301">
        <f t="shared" si="129"/>
        <v>0</v>
      </c>
      <c r="AD354" s="301">
        <f t="shared" si="143"/>
        <v>0</v>
      </c>
      <c r="AE354" s="301">
        <f t="shared" si="144"/>
        <v>0</v>
      </c>
      <c r="AF354" s="477">
        <f t="shared" si="145"/>
        <v>0</v>
      </c>
      <c r="AI354" s="543">
        <f t="shared" si="130"/>
        <v>0</v>
      </c>
      <c r="AJ354" s="543">
        <f t="shared" si="146"/>
        <v>0</v>
      </c>
      <c r="AK354" s="300">
        <f t="shared" si="147"/>
        <v>0</v>
      </c>
      <c r="AL354" s="543">
        <f t="shared" si="148"/>
        <v>0</v>
      </c>
      <c r="AM354" s="10">
        <f t="shared" si="149"/>
        <v>0</v>
      </c>
      <c r="AP354" s="437">
        <f t="shared" si="150"/>
        <v>0</v>
      </c>
    </row>
    <row r="355" spans="1:42" s="11" customFormat="1" hidden="1" x14ac:dyDescent="0.3">
      <c r="A355" s="775">
        <v>276</v>
      </c>
      <c r="B355" s="775">
        <f t="shared" si="131"/>
        <v>23</v>
      </c>
      <c r="C355" s="891">
        <f t="shared" si="152"/>
        <v>0.14489675614077413</v>
      </c>
      <c r="D355" s="891"/>
      <c r="E355" s="891">
        <f t="shared" si="152"/>
        <v>0.03</v>
      </c>
      <c r="F355" s="891">
        <f t="shared" si="124"/>
        <v>0.03</v>
      </c>
      <c r="G355" s="893">
        <f t="shared" si="133"/>
        <v>1.151056494563818E-8</v>
      </c>
      <c r="H355" s="436">
        <f t="shared" si="125"/>
        <v>0</v>
      </c>
      <c r="I355" s="302">
        <f t="shared" si="126"/>
        <v>0</v>
      </c>
      <c r="J355" s="301">
        <f t="shared" si="151"/>
        <v>2.9176084758041223E-11</v>
      </c>
      <c r="K355" s="301">
        <f t="shared" si="134"/>
        <v>2.9176084758041223E-11</v>
      </c>
      <c r="L355" s="10">
        <f t="shared" si="135"/>
        <v>2.9176084758041223E-11</v>
      </c>
      <c r="M355" s="302"/>
      <c r="N355" s="435">
        <f t="shared" si="136"/>
        <v>0</v>
      </c>
      <c r="O355" s="436">
        <f t="shared" si="127"/>
        <v>0</v>
      </c>
      <c r="P355" s="436">
        <f t="shared" si="137"/>
        <v>0</v>
      </c>
      <c r="R355" s="354">
        <f>+Hirdetmény!$AA$46</f>
        <v>0.13400000000000001</v>
      </c>
      <c r="S355" s="301">
        <f t="shared" si="138"/>
        <v>0</v>
      </c>
      <c r="T355" s="301">
        <f t="shared" si="128"/>
        <v>0</v>
      </c>
      <c r="U355" s="301">
        <f t="shared" si="139"/>
        <v>0</v>
      </c>
      <c r="V355" s="301">
        <f t="shared" si="140"/>
        <v>0</v>
      </c>
      <c r="W355" s="301">
        <f t="shared" si="141"/>
        <v>0</v>
      </c>
      <c r="AA355" s="12">
        <f>+paraméterek!$B$346</f>
        <v>6.4600000000000005E-2</v>
      </c>
      <c r="AB355" s="301">
        <f t="shared" si="142"/>
        <v>0</v>
      </c>
      <c r="AC355" s="301">
        <f t="shared" si="129"/>
        <v>0</v>
      </c>
      <c r="AD355" s="301">
        <f t="shared" si="143"/>
        <v>0</v>
      </c>
      <c r="AE355" s="301">
        <f t="shared" si="144"/>
        <v>0</v>
      </c>
      <c r="AF355" s="477">
        <f t="shared" si="145"/>
        <v>0</v>
      </c>
      <c r="AI355" s="543">
        <f t="shared" si="130"/>
        <v>0</v>
      </c>
      <c r="AJ355" s="543">
        <f t="shared" si="146"/>
        <v>0</v>
      </c>
      <c r="AK355" s="300">
        <f t="shared" si="147"/>
        <v>0</v>
      </c>
      <c r="AL355" s="543">
        <f t="shared" si="148"/>
        <v>0</v>
      </c>
      <c r="AM355" s="10">
        <f t="shared" si="149"/>
        <v>0</v>
      </c>
      <c r="AP355" s="437">
        <f t="shared" si="150"/>
        <v>0</v>
      </c>
    </row>
    <row r="356" spans="1:42" s="11" customFormat="1" hidden="1" x14ac:dyDescent="0.3">
      <c r="A356" s="775">
        <v>277</v>
      </c>
      <c r="B356" s="775">
        <f t="shared" si="131"/>
        <v>24</v>
      </c>
      <c r="C356" s="891">
        <f t="shared" si="152"/>
        <v>0.14489675614077413</v>
      </c>
      <c r="D356" s="891"/>
      <c r="E356" s="891">
        <f t="shared" si="152"/>
        <v>0.03</v>
      </c>
      <c r="F356" s="891">
        <f t="shared" si="124"/>
        <v>0.03</v>
      </c>
      <c r="G356" s="893">
        <f t="shared" si="133"/>
        <v>1.151056494563818E-8</v>
      </c>
      <c r="H356" s="436">
        <f t="shared" si="125"/>
        <v>0</v>
      </c>
      <c r="I356" s="302">
        <f t="shared" si="126"/>
        <v>0</v>
      </c>
      <c r="J356" s="301">
        <f t="shared" si="151"/>
        <v>2.9176084758041223E-11</v>
      </c>
      <c r="K356" s="301">
        <f t="shared" si="134"/>
        <v>2.9176084758041223E-11</v>
      </c>
      <c r="L356" s="10">
        <f t="shared" si="135"/>
        <v>2.9176084758041223E-11</v>
      </c>
      <c r="M356" s="302"/>
      <c r="N356" s="435">
        <f t="shared" si="136"/>
        <v>0</v>
      </c>
      <c r="O356" s="436">
        <f t="shared" si="127"/>
        <v>0</v>
      </c>
      <c r="P356" s="436">
        <f t="shared" si="137"/>
        <v>0</v>
      </c>
      <c r="R356" s="354">
        <f>+Hirdetmény!$AA$46</f>
        <v>0.13400000000000001</v>
      </c>
      <c r="S356" s="301">
        <f t="shared" si="138"/>
        <v>0</v>
      </c>
      <c r="T356" s="301">
        <f t="shared" si="128"/>
        <v>0</v>
      </c>
      <c r="U356" s="301">
        <f t="shared" si="139"/>
        <v>0</v>
      </c>
      <c r="V356" s="301">
        <f t="shared" si="140"/>
        <v>0</v>
      </c>
      <c r="W356" s="301">
        <f t="shared" si="141"/>
        <v>0</v>
      </c>
      <c r="AA356" s="12">
        <f>+paraméterek!$B$346</f>
        <v>6.4600000000000005E-2</v>
      </c>
      <c r="AB356" s="301">
        <f t="shared" si="142"/>
        <v>0</v>
      </c>
      <c r="AC356" s="301">
        <f t="shared" si="129"/>
        <v>0</v>
      </c>
      <c r="AD356" s="301">
        <f t="shared" si="143"/>
        <v>0</v>
      </c>
      <c r="AE356" s="301">
        <f t="shared" si="144"/>
        <v>0</v>
      </c>
      <c r="AF356" s="477">
        <f t="shared" si="145"/>
        <v>0</v>
      </c>
      <c r="AI356" s="543">
        <f t="shared" si="130"/>
        <v>0</v>
      </c>
      <c r="AJ356" s="543">
        <f t="shared" si="146"/>
        <v>0</v>
      </c>
      <c r="AK356" s="300">
        <f t="shared" si="147"/>
        <v>0</v>
      </c>
      <c r="AL356" s="543">
        <f t="shared" si="148"/>
        <v>0</v>
      </c>
      <c r="AM356" s="10">
        <f t="shared" si="149"/>
        <v>0</v>
      </c>
      <c r="AP356" s="437">
        <f t="shared" si="150"/>
        <v>0</v>
      </c>
    </row>
    <row r="357" spans="1:42" s="11" customFormat="1" hidden="1" x14ac:dyDescent="0.3">
      <c r="A357" s="775">
        <v>278</v>
      </c>
      <c r="B357" s="775">
        <f t="shared" si="131"/>
        <v>24</v>
      </c>
      <c r="C357" s="891">
        <f t="shared" si="152"/>
        <v>0.14489675614077413</v>
      </c>
      <c r="D357" s="891"/>
      <c r="E357" s="891">
        <f t="shared" si="152"/>
        <v>0.03</v>
      </c>
      <c r="F357" s="891">
        <f t="shared" si="124"/>
        <v>0.03</v>
      </c>
      <c r="G357" s="893">
        <f t="shared" si="133"/>
        <v>1.151056494563818E-8</v>
      </c>
      <c r="H357" s="436">
        <f t="shared" si="125"/>
        <v>0</v>
      </c>
      <c r="I357" s="302">
        <f t="shared" si="126"/>
        <v>0</v>
      </c>
      <c r="J357" s="301">
        <f t="shared" si="151"/>
        <v>2.9176084758041223E-11</v>
      </c>
      <c r="K357" s="301">
        <f t="shared" si="134"/>
        <v>2.9176084758041223E-11</v>
      </c>
      <c r="L357" s="10">
        <f t="shared" si="135"/>
        <v>2.9176084758041223E-11</v>
      </c>
      <c r="M357" s="302"/>
      <c r="N357" s="435">
        <f t="shared" si="136"/>
        <v>0</v>
      </c>
      <c r="O357" s="436">
        <f t="shared" si="127"/>
        <v>0</v>
      </c>
      <c r="P357" s="436">
        <f t="shared" si="137"/>
        <v>0</v>
      </c>
      <c r="R357" s="354">
        <f>+Hirdetmény!$AA$46</f>
        <v>0.13400000000000001</v>
      </c>
      <c r="S357" s="301">
        <f t="shared" si="138"/>
        <v>0</v>
      </c>
      <c r="T357" s="301">
        <f t="shared" si="128"/>
        <v>0</v>
      </c>
      <c r="U357" s="301">
        <f t="shared" si="139"/>
        <v>0</v>
      </c>
      <c r="V357" s="301">
        <f t="shared" si="140"/>
        <v>0</v>
      </c>
      <c r="W357" s="301">
        <f t="shared" si="141"/>
        <v>0</v>
      </c>
      <c r="AA357" s="12">
        <f>+paraméterek!$B$346</f>
        <v>6.4600000000000005E-2</v>
      </c>
      <c r="AB357" s="301">
        <f t="shared" si="142"/>
        <v>0</v>
      </c>
      <c r="AC357" s="301">
        <f t="shared" si="129"/>
        <v>0</v>
      </c>
      <c r="AD357" s="301">
        <f t="shared" si="143"/>
        <v>0</v>
      </c>
      <c r="AE357" s="301">
        <f t="shared" si="144"/>
        <v>0</v>
      </c>
      <c r="AF357" s="477">
        <f t="shared" si="145"/>
        <v>0</v>
      </c>
      <c r="AI357" s="543">
        <f t="shared" si="130"/>
        <v>0</v>
      </c>
      <c r="AJ357" s="543">
        <f t="shared" si="146"/>
        <v>0</v>
      </c>
      <c r="AK357" s="300">
        <f t="shared" si="147"/>
        <v>0</v>
      </c>
      <c r="AL357" s="543">
        <f t="shared" si="148"/>
        <v>0</v>
      </c>
      <c r="AM357" s="10">
        <f t="shared" si="149"/>
        <v>0</v>
      </c>
      <c r="AP357" s="437">
        <f t="shared" si="150"/>
        <v>0</v>
      </c>
    </row>
    <row r="358" spans="1:42" s="11" customFormat="1" hidden="1" x14ac:dyDescent="0.3">
      <c r="A358" s="775">
        <v>279</v>
      </c>
      <c r="B358" s="775">
        <f t="shared" si="131"/>
        <v>24</v>
      </c>
      <c r="C358" s="891">
        <f t="shared" si="152"/>
        <v>0.14489675614077413</v>
      </c>
      <c r="D358" s="891"/>
      <c r="E358" s="891">
        <f t="shared" si="152"/>
        <v>0.03</v>
      </c>
      <c r="F358" s="891">
        <f t="shared" si="124"/>
        <v>0.03</v>
      </c>
      <c r="G358" s="893">
        <f t="shared" si="133"/>
        <v>1.151056494563818E-8</v>
      </c>
      <c r="H358" s="436">
        <f t="shared" si="125"/>
        <v>0</v>
      </c>
      <c r="I358" s="302">
        <f t="shared" si="126"/>
        <v>0</v>
      </c>
      <c r="J358" s="301">
        <f t="shared" si="151"/>
        <v>2.9176084758041223E-11</v>
      </c>
      <c r="K358" s="301">
        <f t="shared" si="134"/>
        <v>2.9176084758041223E-11</v>
      </c>
      <c r="L358" s="10">
        <f t="shared" si="135"/>
        <v>2.9176084758041223E-11</v>
      </c>
      <c r="M358" s="302"/>
      <c r="N358" s="435">
        <f t="shared" si="136"/>
        <v>0</v>
      </c>
      <c r="O358" s="436">
        <f t="shared" si="127"/>
        <v>0</v>
      </c>
      <c r="P358" s="436">
        <f t="shared" si="137"/>
        <v>0</v>
      </c>
      <c r="R358" s="354">
        <f>+Hirdetmény!$AA$46</f>
        <v>0.13400000000000001</v>
      </c>
      <c r="S358" s="301">
        <f t="shared" si="138"/>
        <v>0</v>
      </c>
      <c r="T358" s="301">
        <f t="shared" si="128"/>
        <v>0</v>
      </c>
      <c r="U358" s="301">
        <f t="shared" si="139"/>
        <v>0</v>
      </c>
      <c r="V358" s="301">
        <f t="shared" si="140"/>
        <v>0</v>
      </c>
      <c r="W358" s="301">
        <f t="shared" si="141"/>
        <v>0</v>
      </c>
      <c r="AA358" s="12">
        <f>+paraméterek!$B$346</f>
        <v>6.4600000000000005E-2</v>
      </c>
      <c r="AB358" s="301">
        <f t="shared" si="142"/>
        <v>0</v>
      </c>
      <c r="AC358" s="301">
        <f t="shared" si="129"/>
        <v>0</v>
      </c>
      <c r="AD358" s="301">
        <f t="shared" si="143"/>
        <v>0</v>
      </c>
      <c r="AE358" s="301">
        <f t="shared" si="144"/>
        <v>0</v>
      </c>
      <c r="AF358" s="477">
        <f t="shared" si="145"/>
        <v>0</v>
      </c>
      <c r="AI358" s="543">
        <f t="shared" si="130"/>
        <v>0</v>
      </c>
      <c r="AJ358" s="543">
        <f t="shared" si="146"/>
        <v>0</v>
      </c>
      <c r="AK358" s="300">
        <f t="shared" si="147"/>
        <v>0</v>
      </c>
      <c r="AL358" s="543">
        <f t="shared" si="148"/>
        <v>0</v>
      </c>
      <c r="AM358" s="10">
        <f t="shared" si="149"/>
        <v>0</v>
      </c>
      <c r="AP358" s="437">
        <f t="shared" si="150"/>
        <v>0</v>
      </c>
    </row>
    <row r="359" spans="1:42" s="11" customFormat="1" hidden="1" x14ac:dyDescent="0.3">
      <c r="A359" s="775">
        <v>280</v>
      </c>
      <c r="B359" s="775">
        <f t="shared" si="131"/>
        <v>24</v>
      </c>
      <c r="C359" s="891">
        <f t="shared" si="152"/>
        <v>0.14489675614077413</v>
      </c>
      <c r="D359" s="891"/>
      <c r="E359" s="891">
        <f t="shared" si="152"/>
        <v>0.03</v>
      </c>
      <c r="F359" s="891">
        <f t="shared" si="124"/>
        <v>0.03</v>
      </c>
      <c r="G359" s="893">
        <f t="shared" si="133"/>
        <v>1.151056494563818E-8</v>
      </c>
      <c r="H359" s="436">
        <f t="shared" si="125"/>
        <v>0</v>
      </c>
      <c r="I359" s="302">
        <f t="shared" si="126"/>
        <v>0</v>
      </c>
      <c r="J359" s="301">
        <f t="shared" si="151"/>
        <v>2.9176084758041223E-11</v>
      </c>
      <c r="K359" s="301">
        <f t="shared" si="134"/>
        <v>2.9176084758041223E-11</v>
      </c>
      <c r="L359" s="10">
        <f t="shared" si="135"/>
        <v>2.9176084758041223E-11</v>
      </c>
      <c r="M359" s="302"/>
      <c r="N359" s="435">
        <f t="shared" si="136"/>
        <v>0</v>
      </c>
      <c r="O359" s="436">
        <f t="shared" si="127"/>
        <v>0</v>
      </c>
      <c r="P359" s="436">
        <f t="shared" si="137"/>
        <v>0</v>
      </c>
      <c r="R359" s="354">
        <f>+Hirdetmény!$AA$46</f>
        <v>0.13400000000000001</v>
      </c>
      <c r="S359" s="301">
        <f t="shared" si="138"/>
        <v>0</v>
      </c>
      <c r="T359" s="301">
        <f t="shared" si="128"/>
        <v>0</v>
      </c>
      <c r="U359" s="301">
        <f t="shared" si="139"/>
        <v>0</v>
      </c>
      <c r="V359" s="301">
        <f t="shared" si="140"/>
        <v>0</v>
      </c>
      <c r="W359" s="301">
        <f t="shared" si="141"/>
        <v>0</v>
      </c>
      <c r="AA359" s="12">
        <f>+paraméterek!$B$346</f>
        <v>6.4600000000000005E-2</v>
      </c>
      <c r="AB359" s="301">
        <f t="shared" si="142"/>
        <v>0</v>
      </c>
      <c r="AC359" s="301">
        <f t="shared" si="129"/>
        <v>0</v>
      </c>
      <c r="AD359" s="301">
        <f t="shared" si="143"/>
        <v>0</v>
      </c>
      <c r="AE359" s="301">
        <f t="shared" si="144"/>
        <v>0</v>
      </c>
      <c r="AF359" s="477">
        <f t="shared" si="145"/>
        <v>0</v>
      </c>
      <c r="AI359" s="543">
        <f t="shared" si="130"/>
        <v>0</v>
      </c>
      <c r="AJ359" s="543">
        <f t="shared" si="146"/>
        <v>0</v>
      </c>
      <c r="AK359" s="300">
        <f t="shared" si="147"/>
        <v>0</v>
      </c>
      <c r="AL359" s="543">
        <f t="shared" si="148"/>
        <v>0</v>
      </c>
      <c r="AM359" s="10">
        <f t="shared" si="149"/>
        <v>0</v>
      </c>
      <c r="AP359" s="437">
        <f t="shared" si="150"/>
        <v>0</v>
      </c>
    </row>
    <row r="360" spans="1:42" s="11" customFormat="1" hidden="1" x14ac:dyDescent="0.3">
      <c r="A360" s="775">
        <v>281</v>
      </c>
      <c r="B360" s="775">
        <f t="shared" si="131"/>
        <v>24</v>
      </c>
      <c r="C360" s="891">
        <f t="shared" si="152"/>
        <v>0.14489675614077413</v>
      </c>
      <c r="D360" s="891"/>
      <c r="E360" s="891">
        <f t="shared" si="152"/>
        <v>0.03</v>
      </c>
      <c r="F360" s="891">
        <f t="shared" si="124"/>
        <v>0.03</v>
      </c>
      <c r="G360" s="893">
        <f t="shared" si="133"/>
        <v>1.151056494563818E-8</v>
      </c>
      <c r="H360" s="436">
        <f t="shared" si="125"/>
        <v>0</v>
      </c>
      <c r="I360" s="302">
        <f t="shared" si="126"/>
        <v>0</v>
      </c>
      <c r="J360" s="301">
        <f t="shared" si="151"/>
        <v>2.9176084758041223E-11</v>
      </c>
      <c r="K360" s="301">
        <f t="shared" si="134"/>
        <v>2.9176084758041223E-11</v>
      </c>
      <c r="L360" s="10">
        <f t="shared" si="135"/>
        <v>2.9176084758041223E-11</v>
      </c>
      <c r="M360" s="302"/>
      <c r="N360" s="435">
        <f t="shared" si="136"/>
        <v>0</v>
      </c>
      <c r="O360" s="436">
        <f t="shared" si="127"/>
        <v>0</v>
      </c>
      <c r="P360" s="436">
        <f t="shared" si="137"/>
        <v>0</v>
      </c>
      <c r="R360" s="354">
        <f>+Hirdetmény!$AA$46</f>
        <v>0.13400000000000001</v>
      </c>
      <c r="S360" s="301">
        <f t="shared" si="138"/>
        <v>0</v>
      </c>
      <c r="T360" s="301">
        <f t="shared" si="128"/>
        <v>0</v>
      </c>
      <c r="U360" s="301">
        <f t="shared" si="139"/>
        <v>0</v>
      </c>
      <c r="V360" s="301">
        <f t="shared" si="140"/>
        <v>0</v>
      </c>
      <c r="W360" s="301">
        <f t="shared" si="141"/>
        <v>0</v>
      </c>
      <c r="AA360" s="12">
        <f>+paraméterek!$B$346</f>
        <v>6.4600000000000005E-2</v>
      </c>
      <c r="AB360" s="301">
        <f t="shared" si="142"/>
        <v>0</v>
      </c>
      <c r="AC360" s="301">
        <f t="shared" si="129"/>
        <v>0</v>
      </c>
      <c r="AD360" s="301">
        <f t="shared" si="143"/>
        <v>0</v>
      </c>
      <c r="AE360" s="301">
        <f t="shared" si="144"/>
        <v>0</v>
      </c>
      <c r="AF360" s="477">
        <f t="shared" si="145"/>
        <v>0</v>
      </c>
      <c r="AI360" s="543">
        <f t="shared" si="130"/>
        <v>0</v>
      </c>
      <c r="AJ360" s="543">
        <f t="shared" si="146"/>
        <v>0</v>
      </c>
      <c r="AK360" s="300">
        <f t="shared" si="147"/>
        <v>0</v>
      </c>
      <c r="AL360" s="543">
        <f t="shared" si="148"/>
        <v>0</v>
      </c>
      <c r="AM360" s="10">
        <f t="shared" si="149"/>
        <v>0</v>
      </c>
      <c r="AP360" s="437">
        <f t="shared" si="150"/>
        <v>0</v>
      </c>
    </row>
    <row r="361" spans="1:42" s="11" customFormat="1" hidden="1" x14ac:dyDescent="0.3">
      <c r="A361" s="775">
        <v>282</v>
      </c>
      <c r="B361" s="775">
        <f t="shared" si="131"/>
        <v>24</v>
      </c>
      <c r="C361" s="891">
        <f t="shared" si="152"/>
        <v>0.14489675614077413</v>
      </c>
      <c r="D361" s="891"/>
      <c r="E361" s="891">
        <f t="shared" si="152"/>
        <v>0.03</v>
      </c>
      <c r="F361" s="891">
        <f t="shared" si="124"/>
        <v>0.03</v>
      </c>
      <c r="G361" s="893">
        <f t="shared" si="133"/>
        <v>1.151056494563818E-8</v>
      </c>
      <c r="H361" s="436">
        <f t="shared" si="125"/>
        <v>0</v>
      </c>
      <c r="I361" s="302">
        <f t="shared" si="126"/>
        <v>0</v>
      </c>
      <c r="J361" s="301">
        <f t="shared" si="151"/>
        <v>2.9176084758041223E-11</v>
      </c>
      <c r="K361" s="301">
        <f t="shared" si="134"/>
        <v>2.9176084758041223E-11</v>
      </c>
      <c r="L361" s="10">
        <f t="shared" si="135"/>
        <v>2.9176084758041223E-11</v>
      </c>
      <c r="M361" s="302"/>
      <c r="N361" s="435">
        <f t="shared" si="136"/>
        <v>0</v>
      </c>
      <c r="O361" s="436">
        <f t="shared" si="127"/>
        <v>0</v>
      </c>
      <c r="P361" s="436">
        <f t="shared" si="137"/>
        <v>0</v>
      </c>
      <c r="R361" s="354">
        <f>+Hirdetmény!$AA$46</f>
        <v>0.13400000000000001</v>
      </c>
      <c r="S361" s="301">
        <f t="shared" si="138"/>
        <v>0</v>
      </c>
      <c r="T361" s="301">
        <f t="shared" si="128"/>
        <v>0</v>
      </c>
      <c r="U361" s="301">
        <f t="shared" si="139"/>
        <v>0</v>
      </c>
      <c r="V361" s="301">
        <f t="shared" si="140"/>
        <v>0</v>
      </c>
      <c r="W361" s="301">
        <f t="shared" si="141"/>
        <v>0</v>
      </c>
      <c r="AA361" s="12">
        <f>+paraméterek!$B$346</f>
        <v>6.4600000000000005E-2</v>
      </c>
      <c r="AB361" s="301">
        <f t="shared" si="142"/>
        <v>0</v>
      </c>
      <c r="AC361" s="301">
        <f t="shared" si="129"/>
        <v>0</v>
      </c>
      <c r="AD361" s="301">
        <f t="shared" si="143"/>
        <v>0</v>
      </c>
      <c r="AE361" s="301">
        <f t="shared" si="144"/>
        <v>0</v>
      </c>
      <c r="AF361" s="477">
        <f t="shared" si="145"/>
        <v>0</v>
      </c>
      <c r="AI361" s="543">
        <f t="shared" si="130"/>
        <v>0</v>
      </c>
      <c r="AJ361" s="543">
        <f t="shared" si="146"/>
        <v>0</v>
      </c>
      <c r="AK361" s="300">
        <f t="shared" si="147"/>
        <v>0</v>
      </c>
      <c r="AL361" s="543">
        <f t="shared" si="148"/>
        <v>0</v>
      </c>
      <c r="AM361" s="10">
        <f t="shared" si="149"/>
        <v>0</v>
      </c>
      <c r="AP361" s="437">
        <f t="shared" si="150"/>
        <v>0</v>
      </c>
    </row>
    <row r="362" spans="1:42" s="11" customFormat="1" hidden="1" x14ac:dyDescent="0.3">
      <c r="A362" s="775">
        <v>283</v>
      </c>
      <c r="B362" s="775">
        <f t="shared" si="131"/>
        <v>24</v>
      </c>
      <c r="C362" s="891">
        <f t="shared" si="152"/>
        <v>0.14489675614077413</v>
      </c>
      <c r="D362" s="891"/>
      <c r="E362" s="891">
        <f t="shared" si="152"/>
        <v>0.03</v>
      </c>
      <c r="F362" s="891">
        <f t="shared" si="124"/>
        <v>0.03</v>
      </c>
      <c r="G362" s="893">
        <f t="shared" si="133"/>
        <v>1.151056494563818E-8</v>
      </c>
      <c r="H362" s="436">
        <f t="shared" si="125"/>
        <v>0</v>
      </c>
      <c r="I362" s="302">
        <f t="shared" si="126"/>
        <v>0</v>
      </c>
      <c r="J362" s="301">
        <f t="shared" si="151"/>
        <v>2.9176084758041223E-11</v>
      </c>
      <c r="K362" s="301">
        <f t="shared" si="134"/>
        <v>2.9176084758041223E-11</v>
      </c>
      <c r="L362" s="10">
        <f t="shared" si="135"/>
        <v>2.9176084758041223E-11</v>
      </c>
      <c r="M362" s="302"/>
      <c r="N362" s="435">
        <f t="shared" si="136"/>
        <v>0</v>
      </c>
      <c r="O362" s="436">
        <f t="shared" si="127"/>
        <v>0</v>
      </c>
      <c r="P362" s="436">
        <f t="shared" si="137"/>
        <v>0</v>
      </c>
      <c r="R362" s="354">
        <f>+Hirdetmény!$AA$46</f>
        <v>0.13400000000000001</v>
      </c>
      <c r="S362" s="301">
        <f t="shared" si="138"/>
        <v>0</v>
      </c>
      <c r="T362" s="301">
        <f t="shared" si="128"/>
        <v>0</v>
      </c>
      <c r="U362" s="301">
        <f t="shared" si="139"/>
        <v>0</v>
      </c>
      <c r="V362" s="301">
        <f t="shared" si="140"/>
        <v>0</v>
      </c>
      <c r="W362" s="301">
        <f t="shared" si="141"/>
        <v>0</v>
      </c>
      <c r="AA362" s="12">
        <f>+paraméterek!$B$346</f>
        <v>6.4600000000000005E-2</v>
      </c>
      <c r="AB362" s="301">
        <f t="shared" si="142"/>
        <v>0</v>
      </c>
      <c r="AC362" s="301">
        <f t="shared" si="129"/>
        <v>0</v>
      </c>
      <c r="AD362" s="301">
        <f t="shared" si="143"/>
        <v>0</v>
      </c>
      <c r="AE362" s="301">
        <f t="shared" si="144"/>
        <v>0</v>
      </c>
      <c r="AF362" s="477">
        <f t="shared" si="145"/>
        <v>0</v>
      </c>
      <c r="AI362" s="543">
        <f t="shared" si="130"/>
        <v>0</v>
      </c>
      <c r="AJ362" s="543">
        <f t="shared" si="146"/>
        <v>0</v>
      </c>
      <c r="AK362" s="300">
        <f t="shared" si="147"/>
        <v>0</v>
      </c>
      <c r="AL362" s="543">
        <f t="shared" si="148"/>
        <v>0</v>
      </c>
      <c r="AM362" s="10">
        <f t="shared" si="149"/>
        <v>0</v>
      </c>
      <c r="AP362" s="437">
        <f t="shared" si="150"/>
        <v>0</v>
      </c>
    </row>
    <row r="363" spans="1:42" s="11" customFormat="1" hidden="1" x14ac:dyDescent="0.3">
      <c r="A363" s="775">
        <v>284</v>
      </c>
      <c r="B363" s="775">
        <f t="shared" si="131"/>
        <v>24</v>
      </c>
      <c r="C363" s="891">
        <f t="shared" si="152"/>
        <v>0.14489675614077413</v>
      </c>
      <c r="D363" s="891"/>
      <c r="E363" s="891">
        <f t="shared" si="152"/>
        <v>0.03</v>
      </c>
      <c r="F363" s="891">
        <f t="shared" si="124"/>
        <v>0.03</v>
      </c>
      <c r="G363" s="893">
        <f t="shared" si="133"/>
        <v>1.151056494563818E-8</v>
      </c>
      <c r="H363" s="436">
        <f t="shared" si="125"/>
        <v>0</v>
      </c>
      <c r="I363" s="302">
        <f t="shared" si="126"/>
        <v>0</v>
      </c>
      <c r="J363" s="301">
        <f t="shared" si="151"/>
        <v>2.9176084758041223E-11</v>
      </c>
      <c r="K363" s="301">
        <f t="shared" si="134"/>
        <v>2.9176084758041223E-11</v>
      </c>
      <c r="L363" s="10">
        <f t="shared" si="135"/>
        <v>2.9176084758041223E-11</v>
      </c>
      <c r="M363" s="302"/>
      <c r="N363" s="435">
        <f t="shared" si="136"/>
        <v>0</v>
      </c>
      <c r="O363" s="436">
        <f t="shared" si="127"/>
        <v>0</v>
      </c>
      <c r="P363" s="436">
        <f t="shared" si="137"/>
        <v>0</v>
      </c>
      <c r="R363" s="354">
        <f>+Hirdetmény!$AA$46</f>
        <v>0.13400000000000001</v>
      </c>
      <c r="S363" s="301">
        <f t="shared" si="138"/>
        <v>0</v>
      </c>
      <c r="T363" s="301">
        <f t="shared" si="128"/>
        <v>0</v>
      </c>
      <c r="U363" s="301">
        <f t="shared" si="139"/>
        <v>0</v>
      </c>
      <c r="V363" s="301">
        <f t="shared" si="140"/>
        <v>0</v>
      </c>
      <c r="W363" s="301">
        <f t="shared" si="141"/>
        <v>0</v>
      </c>
      <c r="AA363" s="12">
        <f>+paraméterek!$B$346</f>
        <v>6.4600000000000005E-2</v>
      </c>
      <c r="AB363" s="301">
        <f t="shared" si="142"/>
        <v>0</v>
      </c>
      <c r="AC363" s="301">
        <f t="shared" si="129"/>
        <v>0</v>
      </c>
      <c r="AD363" s="301">
        <f t="shared" si="143"/>
        <v>0</v>
      </c>
      <c r="AE363" s="301">
        <f t="shared" si="144"/>
        <v>0</v>
      </c>
      <c r="AF363" s="477">
        <f t="shared" si="145"/>
        <v>0</v>
      </c>
      <c r="AI363" s="543">
        <f t="shared" si="130"/>
        <v>0</v>
      </c>
      <c r="AJ363" s="543">
        <f t="shared" si="146"/>
        <v>0</v>
      </c>
      <c r="AK363" s="300">
        <f t="shared" si="147"/>
        <v>0</v>
      </c>
      <c r="AL363" s="543">
        <f t="shared" si="148"/>
        <v>0</v>
      </c>
      <c r="AM363" s="10">
        <f t="shared" si="149"/>
        <v>0</v>
      </c>
      <c r="AP363" s="437">
        <f t="shared" si="150"/>
        <v>0</v>
      </c>
    </row>
    <row r="364" spans="1:42" s="11" customFormat="1" hidden="1" x14ac:dyDescent="0.3">
      <c r="A364" s="775">
        <v>285</v>
      </c>
      <c r="B364" s="775">
        <f t="shared" si="131"/>
        <v>24</v>
      </c>
      <c r="C364" s="891">
        <f t="shared" si="152"/>
        <v>0.14489675614077413</v>
      </c>
      <c r="D364" s="891"/>
      <c r="E364" s="891">
        <f t="shared" si="152"/>
        <v>0.03</v>
      </c>
      <c r="F364" s="891">
        <f t="shared" si="124"/>
        <v>0.03</v>
      </c>
      <c r="G364" s="893">
        <f t="shared" si="133"/>
        <v>1.151056494563818E-8</v>
      </c>
      <c r="H364" s="436">
        <f t="shared" si="125"/>
        <v>0</v>
      </c>
      <c r="I364" s="302">
        <f t="shared" si="126"/>
        <v>0</v>
      </c>
      <c r="J364" s="301">
        <f t="shared" si="151"/>
        <v>2.9176084758041223E-11</v>
      </c>
      <c r="K364" s="301">
        <f t="shared" si="134"/>
        <v>2.9176084758041223E-11</v>
      </c>
      <c r="L364" s="10">
        <f t="shared" si="135"/>
        <v>2.9176084758041223E-11</v>
      </c>
      <c r="M364" s="302"/>
      <c r="N364" s="435">
        <f t="shared" si="136"/>
        <v>0</v>
      </c>
      <c r="O364" s="436">
        <f t="shared" si="127"/>
        <v>0</v>
      </c>
      <c r="P364" s="436">
        <f t="shared" si="137"/>
        <v>0</v>
      </c>
      <c r="R364" s="354">
        <f>+Hirdetmény!$AA$46</f>
        <v>0.13400000000000001</v>
      </c>
      <c r="S364" s="301">
        <f t="shared" si="138"/>
        <v>0</v>
      </c>
      <c r="T364" s="301">
        <f t="shared" si="128"/>
        <v>0</v>
      </c>
      <c r="U364" s="301">
        <f t="shared" si="139"/>
        <v>0</v>
      </c>
      <c r="V364" s="301">
        <f t="shared" si="140"/>
        <v>0</v>
      </c>
      <c r="W364" s="301">
        <f t="shared" si="141"/>
        <v>0</v>
      </c>
      <c r="AA364" s="12">
        <f>+paraméterek!$B$346</f>
        <v>6.4600000000000005E-2</v>
      </c>
      <c r="AB364" s="301">
        <f t="shared" si="142"/>
        <v>0</v>
      </c>
      <c r="AC364" s="301">
        <f t="shared" si="129"/>
        <v>0</v>
      </c>
      <c r="AD364" s="301">
        <f t="shared" si="143"/>
        <v>0</v>
      </c>
      <c r="AE364" s="301">
        <f t="shared" si="144"/>
        <v>0</v>
      </c>
      <c r="AF364" s="477">
        <f t="shared" si="145"/>
        <v>0</v>
      </c>
      <c r="AI364" s="543">
        <f t="shared" si="130"/>
        <v>0</v>
      </c>
      <c r="AJ364" s="543">
        <f t="shared" si="146"/>
        <v>0</v>
      </c>
      <c r="AK364" s="300">
        <f t="shared" si="147"/>
        <v>0</v>
      </c>
      <c r="AL364" s="543">
        <f t="shared" si="148"/>
        <v>0</v>
      </c>
      <c r="AM364" s="10">
        <f t="shared" si="149"/>
        <v>0</v>
      </c>
      <c r="AP364" s="437">
        <f t="shared" si="150"/>
        <v>0</v>
      </c>
    </row>
    <row r="365" spans="1:42" s="11" customFormat="1" hidden="1" x14ac:dyDescent="0.3">
      <c r="A365" s="775">
        <v>286</v>
      </c>
      <c r="B365" s="775">
        <f t="shared" si="131"/>
        <v>24</v>
      </c>
      <c r="C365" s="891">
        <f t="shared" si="152"/>
        <v>0.14489675614077413</v>
      </c>
      <c r="D365" s="891"/>
      <c r="E365" s="891">
        <f t="shared" si="152"/>
        <v>0.03</v>
      </c>
      <c r="F365" s="891">
        <f t="shared" si="124"/>
        <v>0.03</v>
      </c>
      <c r="G365" s="893">
        <f t="shared" si="133"/>
        <v>1.151056494563818E-8</v>
      </c>
      <c r="H365" s="436">
        <f t="shared" si="125"/>
        <v>0</v>
      </c>
      <c r="I365" s="302">
        <f t="shared" si="126"/>
        <v>0</v>
      </c>
      <c r="J365" s="301">
        <f t="shared" si="151"/>
        <v>2.9176084758041223E-11</v>
      </c>
      <c r="K365" s="301">
        <f t="shared" si="134"/>
        <v>2.9176084758041223E-11</v>
      </c>
      <c r="L365" s="10">
        <f t="shared" si="135"/>
        <v>2.9176084758041223E-11</v>
      </c>
      <c r="M365" s="302"/>
      <c r="N365" s="435">
        <f t="shared" si="136"/>
        <v>0</v>
      </c>
      <c r="O365" s="436">
        <f t="shared" si="127"/>
        <v>0</v>
      </c>
      <c r="P365" s="436">
        <f t="shared" si="137"/>
        <v>0</v>
      </c>
      <c r="R365" s="354">
        <f>+Hirdetmény!$AA$46</f>
        <v>0.13400000000000001</v>
      </c>
      <c r="S365" s="301">
        <f t="shared" si="138"/>
        <v>0</v>
      </c>
      <c r="T365" s="301">
        <f t="shared" si="128"/>
        <v>0</v>
      </c>
      <c r="U365" s="301">
        <f t="shared" si="139"/>
        <v>0</v>
      </c>
      <c r="V365" s="301">
        <f t="shared" si="140"/>
        <v>0</v>
      </c>
      <c r="W365" s="301">
        <f t="shared" si="141"/>
        <v>0</v>
      </c>
      <c r="AA365" s="12">
        <f>+paraméterek!$B$346</f>
        <v>6.4600000000000005E-2</v>
      </c>
      <c r="AB365" s="301">
        <f t="shared" si="142"/>
        <v>0</v>
      </c>
      <c r="AC365" s="301">
        <f t="shared" si="129"/>
        <v>0</v>
      </c>
      <c r="AD365" s="301">
        <f t="shared" si="143"/>
        <v>0</v>
      </c>
      <c r="AE365" s="301">
        <f t="shared" si="144"/>
        <v>0</v>
      </c>
      <c r="AF365" s="477">
        <f t="shared" si="145"/>
        <v>0</v>
      </c>
      <c r="AI365" s="543">
        <f t="shared" si="130"/>
        <v>0</v>
      </c>
      <c r="AJ365" s="543">
        <f t="shared" si="146"/>
        <v>0</v>
      </c>
      <c r="AK365" s="300">
        <f t="shared" si="147"/>
        <v>0</v>
      </c>
      <c r="AL365" s="543">
        <f t="shared" si="148"/>
        <v>0</v>
      </c>
      <c r="AM365" s="10">
        <f t="shared" si="149"/>
        <v>0</v>
      </c>
      <c r="AP365" s="437">
        <f t="shared" si="150"/>
        <v>0</v>
      </c>
    </row>
    <row r="366" spans="1:42" s="11" customFormat="1" hidden="1" x14ac:dyDescent="0.3">
      <c r="A366" s="775">
        <v>287</v>
      </c>
      <c r="B366" s="775">
        <f t="shared" si="131"/>
        <v>24</v>
      </c>
      <c r="C366" s="891">
        <f t="shared" si="152"/>
        <v>0.14489675614077413</v>
      </c>
      <c r="D366" s="891"/>
      <c r="E366" s="891">
        <f t="shared" si="152"/>
        <v>0.03</v>
      </c>
      <c r="F366" s="891">
        <f t="shared" si="124"/>
        <v>0.03</v>
      </c>
      <c r="G366" s="893">
        <f t="shared" si="133"/>
        <v>1.151056494563818E-8</v>
      </c>
      <c r="H366" s="436">
        <f t="shared" si="125"/>
        <v>0</v>
      </c>
      <c r="I366" s="302">
        <f t="shared" si="126"/>
        <v>0</v>
      </c>
      <c r="J366" s="301">
        <f t="shared" si="151"/>
        <v>2.9176084758041223E-11</v>
      </c>
      <c r="K366" s="301">
        <f t="shared" si="134"/>
        <v>2.9176084758041223E-11</v>
      </c>
      <c r="L366" s="10">
        <f t="shared" si="135"/>
        <v>2.9176084758041223E-11</v>
      </c>
      <c r="M366" s="302"/>
      <c r="N366" s="435">
        <f t="shared" si="136"/>
        <v>0</v>
      </c>
      <c r="O366" s="436">
        <f t="shared" si="127"/>
        <v>0</v>
      </c>
      <c r="P366" s="436">
        <f t="shared" si="137"/>
        <v>0</v>
      </c>
      <c r="R366" s="354">
        <f>+Hirdetmény!$AA$46</f>
        <v>0.13400000000000001</v>
      </c>
      <c r="S366" s="301">
        <f t="shared" si="138"/>
        <v>0</v>
      </c>
      <c r="T366" s="301">
        <f t="shared" si="128"/>
        <v>0</v>
      </c>
      <c r="U366" s="301">
        <f t="shared" si="139"/>
        <v>0</v>
      </c>
      <c r="V366" s="301">
        <f t="shared" si="140"/>
        <v>0</v>
      </c>
      <c r="W366" s="301">
        <f t="shared" si="141"/>
        <v>0</v>
      </c>
      <c r="AA366" s="12">
        <f>+paraméterek!$B$346</f>
        <v>6.4600000000000005E-2</v>
      </c>
      <c r="AB366" s="301">
        <f t="shared" si="142"/>
        <v>0</v>
      </c>
      <c r="AC366" s="301">
        <f t="shared" si="129"/>
        <v>0</v>
      </c>
      <c r="AD366" s="301">
        <f t="shared" si="143"/>
        <v>0</v>
      </c>
      <c r="AE366" s="301">
        <f t="shared" si="144"/>
        <v>0</v>
      </c>
      <c r="AF366" s="477">
        <f t="shared" si="145"/>
        <v>0</v>
      </c>
      <c r="AI366" s="543">
        <f t="shared" si="130"/>
        <v>0</v>
      </c>
      <c r="AJ366" s="543">
        <f t="shared" si="146"/>
        <v>0</v>
      </c>
      <c r="AK366" s="300">
        <f t="shared" si="147"/>
        <v>0</v>
      </c>
      <c r="AL366" s="543">
        <f t="shared" si="148"/>
        <v>0</v>
      </c>
      <c r="AM366" s="10">
        <f t="shared" si="149"/>
        <v>0</v>
      </c>
      <c r="AP366" s="437">
        <f t="shared" si="150"/>
        <v>0</v>
      </c>
    </row>
    <row r="367" spans="1:42" s="11" customFormat="1" hidden="1" x14ac:dyDescent="0.3">
      <c r="A367" s="775">
        <v>288</v>
      </c>
      <c r="B367" s="775">
        <f t="shared" si="131"/>
        <v>24</v>
      </c>
      <c r="C367" s="891">
        <f t="shared" si="152"/>
        <v>0.14489675614077413</v>
      </c>
      <c r="D367" s="891"/>
      <c r="E367" s="891">
        <f t="shared" si="152"/>
        <v>0.03</v>
      </c>
      <c r="F367" s="891">
        <f t="shared" si="124"/>
        <v>0.03</v>
      </c>
      <c r="G367" s="893">
        <f t="shared" si="133"/>
        <v>1.151056494563818E-8</v>
      </c>
      <c r="H367" s="436">
        <f t="shared" si="125"/>
        <v>0</v>
      </c>
      <c r="I367" s="302">
        <f t="shared" si="126"/>
        <v>0</v>
      </c>
      <c r="J367" s="301">
        <f t="shared" si="151"/>
        <v>2.9176084758041223E-11</v>
      </c>
      <c r="K367" s="301">
        <f t="shared" si="134"/>
        <v>2.9176084758041223E-11</v>
      </c>
      <c r="L367" s="10">
        <f t="shared" si="135"/>
        <v>2.9176084758041223E-11</v>
      </c>
      <c r="M367" s="302"/>
      <c r="N367" s="435">
        <f t="shared" si="136"/>
        <v>0</v>
      </c>
      <c r="O367" s="436">
        <f t="shared" si="127"/>
        <v>0</v>
      </c>
      <c r="P367" s="436">
        <f t="shared" si="137"/>
        <v>0</v>
      </c>
      <c r="R367" s="354">
        <f>+Hirdetmény!$AA$46</f>
        <v>0.13400000000000001</v>
      </c>
      <c r="S367" s="301">
        <f t="shared" si="138"/>
        <v>0</v>
      </c>
      <c r="T367" s="301">
        <f t="shared" si="128"/>
        <v>0</v>
      </c>
      <c r="U367" s="301">
        <f t="shared" si="139"/>
        <v>0</v>
      </c>
      <c r="V367" s="301">
        <f t="shared" si="140"/>
        <v>0</v>
      </c>
      <c r="W367" s="301">
        <f t="shared" si="141"/>
        <v>0</v>
      </c>
      <c r="AA367" s="12">
        <f>+paraméterek!$B$346</f>
        <v>6.4600000000000005E-2</v>
      </c>
      <c r="AB367" s="301">
        <f t="shared" si="142"/>
        <v>0</v>
      </c>
      <c r="AC367" s="301">
        <f t="shared" si="129"/>
        <v>0</v>
      </c>
      <c r="AD367" s="301">
        <f t="shared" si="143"/>
        <v>0</v>
      </c>
      <c r="AE367" s="301">
        <f t="shared" si="144"/>
        <v>0</v>
      </c>
      <c r="AF367" s="477">
        <f t="shared" si="145"/>
        <v>0</v>
      </c>
      <c r="AI367" s="543">
        <f t="shared" si="130"/>
        <v>0</v>
      </c>
      <c r="AJ367" s="543">
        <f t="shared" si="146"/>
        <v>0</v>
      </c>
      <c r="AK367" s="300">
        <f t="shared" si="147"/>
        <v>0</v>
      </c>
      <c r="AL367" s="543">
        <f t="shared" si="148"/>
        <v>0</v>
      </c>
      <c r="AM367" s="10">
        <f t="shared" si="149"/>
        <v>0</v>
      </c>
      <c r="AP367" s="437">
        <f t="shared" si="150"/>
        <v>0</v>
      </c>
    </row>
    <row r="368" spans="1:42" s="11" customFormat="1" hidden="1" x14ac:dyDescent="0.3">
      <c r="A368" s="775">
        <v>289</v>
      </c>
      <c r="B368" s="775">
        <f t="shared" si="131"/>
        <v>25</v>
      </c>
      <c r="C368" s="891">
        <f t="shared" si="152"/>
        <v>0.14489675614077413</v>
      </c>
      <c r="D368" s="891"/>
      <c r="E368" s="891">
        <f t="shared" si="152"/>
        <v>0.03</v>
      </c>
      <c r="F368" s="891">
        <f t="shared" si="124"/>
        <v>0.03</v>
      </c>
      <c r="G368" s="893">
        <f t="shared" si="133"/>
        <v>1.151056494563818E-8</v>
      </c>
      <c r="H368" s="436">
        <f t="shared" si="125"/>
        <v>0</v>
      </c>
      <c r="I368" s="302">
        <f t="shared" si="126"/>
        <v>0</v>
      </c>
      <c r="J368" s="301">
        <f t="shared" si="151"/>
        <v>2.9176084758041223E-11</v>
      </c>
      <c r="K368" s="301">
        <f t="shared" si="134"/>
        <v>2.9176084758041223E-11</v>
      </c>
      <c r="L368" s="10">
        <f t="shared" si="135"/>
        <v>2.9176084758041223E-11</v>
      </c>
      <c r="M368" s="302"/>
      <c r="N368" s="435">
        <f t="shared" si="136"/>
        <v>0</v>
      </c>
      <c r="O368" s="436">
        <f t="shared" si="127"/>
        <v>0</v>
      </c>
      <c r="P368" s="436">
        <f t="shared" si="137"/>
        <v>0</v>
      </c>
      <c r="R368" s="354">
        <f>+Hirdetmény!$AA$46</f>
        <v>0.13400000000000001</v>
      </c>
      <c r="S368" s="301">
        <f t="shared" si="138"/>
        <v>0</v>
      </c>
      <c r="T368" s="301">
        <f t="shared" si="128"/>
        <v>0</v>
      </c>
      <c r="U368" s="301">
        <f t="shared" si="139"/>
        <v>0</v>
      </c>
      <c r="V368" s="301">
        <f t="shared" si="140"/>
        <v>0</v>
      </c>
      <c r="W368" s="301">
        <f t="shared" si="141"/>
        <v>0</v>
      </c>
      <c r="AA368" s="12">
        <f>+paraméterek!$B$346</f>
        <v>6.4600000000000005E-2</v>
      </c>
      <c r="AB368" s="301">
        <f t="shared" si="142"/>
        <v>0</v>
      </c>
      <c r="AC368" s="301">
        <f t="shared" si="129"/>
        <v>0</v>
      </c>
      <c r="AD368" s="301">
        <f t="shared" si="143"/>
        <v>0</v>
      </c>
      <c r="AE368" s="301">
        <f t="shared" si="144"/>
        <v>0</v>
      </c>
      <c r="AF368" s="477">
        <f t="shared" si="145"/>
        <v>0</v>
      </c>
      <c r="AI368" s="543">
        <f t="shared" si="130"/>
        <v>0</v>
      </c>
      <c r="AJ368" s="543">
        <f t="shared" si="146"/>
        <v>0</v>
      </c>
      <c r="AK368" s="300">
        <f t="shared" si="147"/>
        <v>0</v>
      </c>
      <c r="AL368" s="543">
        <f t="shared" si="148"/>
        <v>0</v>
      </c>
      <c r="AM368" s="10">
        <f t="shared" si="149"/>
        <v>0</v>
      </c>
      <c r="AP368" s="437">
        <f t="shared" si="150"/>
        <v>0</v>
      </c>
    </row>
    <row r="369" spans="1:42" s="11" customFormat="1" hidden="1" x14ac:dyDescent="0.3">
      <c r="A369" s="775">
        <v>290</v>
      </c>
      <c r="B369" s="775">
        <f t="shared" si="131"/>
        <v>25</v>
      </c>
      <c r="C369" s="891">
        <f t="shared" ref="C369:E384" si="153">+C368</f>
        <v>0.14489675614077413</v>
      </c>
      <c r="D369" s="891"/>
      <c r="E369" s="891">
        <f t="shared" si="153"/>
        <v>0.03</v>
      </c>
      <c r="F369" s="891">
        <f t="shared" si="124"/>
        <v>0.03</v>
      </c>
      <c r="G369" s="893">
        <f t="shared" si="133"/>
        <v>1.151056494563818E-8</v>
      </c>
      <c r="H369" s="436">
        <f t="shared" si="125"/>
        <v>0</v>
      </c>
      <c r="I369" s="302">
        <f t="shared" si="126"/>
        <v>0</v>
      </c>
      <c r="J369" s="301">
        <f t="shared" si="151"/>
        <v>2.9176084758041223E-11</v>
      </c>
      <c r="K369" s="301">
        <f t="shared" si="134"/>
        <v>2.9176084758041223E-11</v>
      </c>
      <c r="L369" s="10">
        <f t="shared" si="135"/>
        <v>2.9176084758041223E-11</v>
      </c>
      <c r="M369" s="302"/>
      <c r="N369" s="435">
        <f t="shared" si="136"/>
        <v>0</v>
      </c>
      <c r="O369" s="436">
        <f t="shared" si="127"/>
        <v>0</v>
      </c>
      <c r="P369" s="436">
        <f t="shared" si="137"/>
        <v>0</v>
      </c>
      <c r="R369" s="354">
        <f>+Hirdetmény!$AA$46</f>
        <v>0.13400000000000001</v>
      </c>
      <c r="S369" s="301">
        <f t="shared" si="138"/>
        <v>0</v>
      </c>
      <c r="T369" s="301">
        <f t="shared" si="128"/>
        <v>0</v>
      </c>
      <c r="U369" s="301">
        <f t="shared" si="139"/>
        <v>0</v>
      </c>
      <c r="V369" s="301">
        <f t="shared" si="140"/>
        <v>0</v>
      </c>
      <c r="W369" s="301">
        <f t="shared" si="141"/>
        <v>0</v>
      </c>
      <c r="AA369" s="12">
        <f>+paraméterek!$B$346</f>
        <v>6.4600000000000005E-2</v>
      </c>
      <c r="AB369" s="301">
        <f t="shared" si="142"/>
        <v>0</v>
      </c>
      <c r="AC369" s="301">
        <f t="shared" si="129"/>
        <v>0</v>
      </c>
      <c r="AD369" s="301">
        <f t="shared" si="143"/>
        <v>0</v>
      </c>
      <c r="AE369" s="301">
        <f t="shared" si="144"/>
        <v>0</v>
      </c>
      <c r="AF369" s="477">
        <f t="shared" si="145"/>
        <v>0</v>
      </c>
      <c r="AI369" s="543">
        <f t="shared" si="130"/>
        <v>0</v>
      </c>
      <c r="AJ369" s="543">
        <f t="shared" si="146"/>
        <v>0</v>
      </c>
      <c r="AK369" s="300">
        <f t="shared" si="147"/>
        <v>0</v>
      </c>
      <c r="AL369" s="543">
        <f t="shared" si="148"/>
        <v>0</v>
      </c>
      <c r="AM369" s="10">
        <f t="shared" si="149"/>
        <v>0</v>
      </c>
      <c r="AP369" s="437">
        <f t="shared" si="150"/>
        <v>0</v>
      </c>
    </row>
    <row r="370" spans="1:42" s="11" customFormat="1" hidden="1" x14ac:dyDescent="0.3">
      <c r="A370" s="775">
        <v>291</v>
      </c>
      <c r="B370" s="775">
        <f t="shared" si="131"/>
        <v>25</v>
      </c>
      <c r="C370" s="891">
        <f t="shared" si="153"/>
        <v>0.14489675614077413</v>
      </c>
      <c r="D370" s="891"/>
      <c r="E370" s="891">
        <f t="shared" si="153"/>
        <v>0.03</v>
      </c>
      <c r="F370" s="891">
        <f t="shared" si="124"/>
        <v>0.03</v>
      </c>
      <c r="G370" s="893">
        <f t="shared" si="133"/>
        <v>1.151056494563818E-8</v>
      </c>
      <c r="H370" s="436">
        <f t="shared" si="125"/>
        <v>0</v>
      </c>
      <c r="I370" s="302">
        <f t="shared" si="126"/>
        <v>0</v>
      </c>
      <c r="J370" s="301">
        <f t="shared" si="151"/>
        <v>2.9176084758041223E-11</v>
      </c>
      <c r="K370" s="301">
        <f t="shared" si="134"/>
        <v>2.9176084758041223E-11</v>
      </c>
      <c r="L370" s="10">
        <f t="shared" si="135"/>
        <v>2.9176084758041223E-11</v>
      </c>
      <c r="M370" s="302"/>
      <c r="N370" s="435">
        <f t="shared" si="136"/>
        <v>0</v>
      </c>
      <c r="O370" s="436">
        <f t="shared" si="127"/>
        <v>0</v>
      </c>
      <c r="P370" s="436">
        <f t="shared" si="137"/>
        <v>0</v>
      </c>
      <c r="R370" s="354">
        <f>+Hirdetmény!$AA$46</f>
        <v>0.13400000000000001</v>
      </c>
      <c r="S370" s="301">
        <f t="shared" si="138"/>
        <v>0</v>
      </c>
      <c r="T370" s="301">
        <f t="shared" si="128"/>
        <v>0</v>
      </c>
      <c r="U370" s="301">
        <f t="shared" si="139"/>
        <v>0</v>
      </c>
      <c r="V370" s="301">
        <f t="shared" si="140"/>
        <v>0</v>
      </c>
      <c r="W370" s="301">
        <f t="shared" si="141"/>
        <v>0</v>
      </c>
      <c r="AA370" s="12">
        <f>+paraméterek!$B$346</f>
        <v>6.4600000000000005E-2</v>
      </c>
      <c r="AB370" s="301">
        <f t="shared" si="142"/>
        <v>0</v>
      </c>
      <c r="AC370" s="301">
        <f t="shared" si="129"/>
        <v>0</v>
      </c>
      <c r="AD370" s="301">
        <f t="shared" si="143"/>
        <v>0</v>
      </c>
      <c r="AE370" s="301">
        <f t="shared" si="144"/>
        <v>0</v>
      </c>
      <c r="AF370" s="477">
        <f t="shared" si="145"/>
        <v>0</v>
      </c>
      <c r="AI370" s="543">
        <f t="shared" si="130"/>
        <v>0</v>
      </c>
      <c r="AJ370" s="543">
        <f t="shared" si="146"/>
        <v>0</v>
      </c>
      <c r="AK370" s="300">
        <f t="shared" si="147"/>
        <v>0</v>
      </c>
      <c r="AL370" s="543">
        <f t="shared" si="148"/>
        <v>0</v>
      </c>
      <c r="AM370" s="10">
        <f t="shared" si="149"/>
        <v>0</v>
      </c>
      <c r="AP370" s="437">
        <f t="shared" si="150"/>
        <v>0</v>
      </c>
    </row>
    <row r="371" spans="1:42" s="11" customFormat="1" hidden="1" x14ac:dyDescent="0.3">
      <c r="A371" s="775">
        <v>292</v>
      </c>
      <c r="B371" s="775">
        <f t="shared" si="131"/>
        <v>25</v>
      </c>
      <c r="C371" s="891">
        <f t="shared" si="153"/>
        <v>0.14489675614077413</v>
      </c>
      <c r="D371" s="891"/>
      <c r="E371" s="891">
        <f t="shared" si="153"/>
        <v>0.03</v>
      </c>
      <c r="F371" s="891">
        <f t="shared" si="124"/>
        <v>0.03</v>
      </c>
      <c r="G371" s="893">
        <f t="shared" si="133"/>
        <v>1.151056494563818E-8</v>
      </c>
      <c r="H371" s="436">
        <f t="shared" si="125"/>
        <v>0</v>
      </c>
      <c r="I371" s="302">
        <f t="shared" si="126"/>
        <v>0</v>
      </c>
      <c r="J371" s="301">
        <f t="shared" si="151"/>
        <v>2.9176084758041223E-11</v>
      </c>
      <c r="K371" s="301">
        <f t="shared" si="134"/>
        <v>2.9176084758041223E-11</v>
      </c>
      <c r="L371" s="10">
        <f t="shared" si="135"/>
        <v>2.9176084758041223E-11</v>
      </c>
      <c r="M371" s="302"/>
      <c r="N371" s="435">
        <f t="shared" si="136"/>
        <v>0</v>
      </c>
      <c r="O371" s="436">
        <f t="shared" si="127"/>
        <v>0</v>
      </c>
      <c r="P371" s="436">
        <f t="shared" si="137"/>
        <v>0</v>
      </c>
      <c r="R371" s="354">
        <f>+Hirdetmény!$AA$46</f>
        <v>0.13400000000000001</v>
      </c>
      <c r="S371" s="301">
        <f t="shared" si="138"/>
        <v>0</v>
      </c>
      <c r="T371" s="301">
        <f t="shared" si="128"/>
        <v>0</v>
      </c>
      <c r="U371" s="301">
        <f t="shared" si="139"/>
        <v>0</v>
      </c>
      <c r="V371" s="301">
        <f t="shared" si="140"/>
        <v>0</v>
      </c>
      <c r="W371" s="301">
        <f t="shared" si="141"/>
        <v>0</v>
      </c>
      <c r="AA371" s="12">
        <f>+paraméterek!$B$346</f>
        <v>6.4600000000000005E-2</v>
      </c>
      <c r="AB371" s="301">
        <f t="shared" si="142"/>
        <v>0</v>
      </c>
      <c r="AC371" s="301">
        <f t="shared" si="129"/>
        <v>0</v>
      </c>
      <c r="AD371" s="301">
        <f t="shared" si="143"/>
        <v>0</v>
      </c>
      <c r="AE371" s="301">
        <f t="shared" si="144"/>
        <v>0</v>
      </c>
      <c r="AF371" s="477">
        <f t="shared" si="145"/>
        <v>0</v>
      </c>
      <c r="AI371" s="543">
        <f t="shared" si="130"/>
        <v>0</v>
      </c>
      <c r="AJ371" s="543">
        <f t="shared" si="146"/>
        <v>0</v>
      </c>
      <c r="AK371" s="300">
        <f t="shared" si="147"/>
        <v>0</v>
      </c>
      <c r="AL371" s="543">
        <f t="shared" si="148"/>
        <v>0</v>
      </c>
      <c r="AM371" s="10">
        <f t="shared" si="149"/>
        <v>0</v>
      </c>
      <c r="AP371" s="437">
        <f t="shared" si="150"/>
        <v>0</v>
      </c>
    </row>
    <row r="372" spans="1:42" s="11" customFormat="1" hidden="1" x14ac:dyDescent="0.3">
      <c r="A372" s="775">
        <v>293</v>
      </c>
      <c r="B372" s="775">
        <f t="shared" si="131"/>
        <v>25</v>
      </c>
      <c r="C372" s="891">
        <f t="shared" si="153"/>
        <v>0.14489675614077413</v>
      </c>
      <c r="D372" s="891"/>
      <c r="E372" s="891">
        <f t="shared" si="153"/>
        <v>0.03</v>
      </c>
      <c r="F372" s="891">
        <f t="shared" si="124"/>
        <v>0.03</v>
      </c>
      <c r="G372" s="893">
        <f t="shared" si="133"/>
        <v>1.151056494563818E-8</v>
      </c>
      <c r="H372" s="436">
        <f t="shared" si="125"/>
        <v>0</v>
      </c>
      <c r="I372" s="302">
        <f t="shared" si="126"/>
        <v>0</v>
      </c>
      <c r="J372" s="301">
        <f t="shared" si="151"/>
        <v>2.9176084758041223E-11</v>
      </c>
      <c r="K372" s="301">
        <f t="shared" si="134"/>
        <v>2.9176084758041223E-11</v>
      </c>
      <c r="L372" s="10">
        <f t="shared" si="135"/>
        <v>2.9176084758041223E-11</v>
      </c>
      <c r="M372" s="302"/>
      <c r="N372" s="435">
        <f t="shared" si="136"/>
        <v>0</v>
      </c>
      <c r="O372" s="436">
        <f t="shared" si="127"/>
        <v>0</v>
      </c>
      <c r="P372" s="436">
        <f t="shared" si="137"/>
        <v>0</v>
      </c>
      <c r="R372" s="354">
        <f>+Hirdetmény!$AA$46</f>
        <v>0.13400000000000001</v>
      </c>
      <c r="S372" s="301">
        <f t="shared" si="138"/>
        <v>0</v>
      </c>
      <c r="T372" s="301">
        <f t="shared" si="128"/>
        <v>0</v>
      </c>
      <c r="U372" s="301">
        <f t="shared" si="139"/>
        <v>0</v>
      </c>
      <c r="V372" s="301">
        <f t="shared" si="140"/>
        <v>0</v>
      </c>
      <c r="W372" s="301">
        <f t="shared" si="141"/>
        <v>0</v>
      </c>
      <c r="AA372" s="12">
        <f>+paraméterek!$B$346</f>
        <v>6.4600000000000005E-2</v>
      </c>
      <c r="AB372" s="301">
        <f t="shared" si="142"/>
        <v>0</v>
      </c>
      <c r="AC372" s="301">
        <f t="shared" si="129"/>
        <v>0</v>
      </c>
      <c r="AD372" s="301">
        <f t="shared" si="143"/>
        <v>0</v>
      </c>
      <c r="AE372" s="301">
        <f t="shared" si="144"/>
        <v>0</v>
      </c>
      <c r="AF372" s="477">
        <f t="shared" si="145"/>
        <v>0</v>
      </c>
      <c r="AI372" s="543">
        <f t="shared" si="130"/>
        <v>0</v>
      </c>
      <c r="AJ372" s="543">
        <f t="shared" si="146"/>
        <v>0</v>
      </c>
      <c r="AK372" s="300">
        <f t="shared" si="147"/>
        <v>0</v>
      </c>
      <c r="AL372" s="543">
        <f t="shared" si="148"/>
        <v>0</v>
      </c>
      <c r="AM372" s="10">
        <f t="shared" si="149"/>
        <v>0</v>
      </c>
      <c r="AP372" s="437">
        <f t="shared" si="150"/>
        <v>0</v>
      </c>
    </row>
    <row r="373" spans="1:42" s="11" customFormat="1" hidden="1" x14ac:dyDescent="0.3">
      <c r="A373" s="775">
        <v>294</v>
      </c>
      <c r="B373" s="775">
        <f t="shared" si="131"/>
        <v>25</v>
      </c>
      <c r="C373" s="891">
        <f t="shared" si="153"/>
        <v>0.14489675614077413</v>
      </c>
      <c r="D373" s="891"/>
      <c r="E373" s="891">
        <f t="shared" si="153"/>
        <v>0.03</v>
      </c>
      <c r="F373" s="891">
        <f t="shared" si="124"/>
        <v>0.03</v>
      </c>
      <c r="G373" s="893">
        <f t="shared" si="133"/>
        <v>1.151056494563818E-8</v>
      </c>
      <c r="H373" s="436">
        <f t="shared" si="125"/>
        <v>0</v>
      </c>
      <c r="I373" s="302">
        <f t="shared" si="126"/>
        <v>0</v>
      </c>
      <c r="J373" s="301">
        <f t="shared" si="151"/>
        <v>2.9176084758041223E-11</v>
      </c>
      <c r="K373" s="301">
        <f t="shared" si="134"/>
        <v>2.9176084758041223E-11</v>
      </c>
      <c r="L373" s="10">
        <f t="shared" si="135"/>
        <v>2.9176084758041223E-11</v>
      </c>
      <c r="M373" s="302"/>
      <c r="N373" s="435">
        <f t="shared" si="136"/>
        <v>0</v>
      </c>
      <c r="O373" s="436">
        <f t="shared" si="127"/>
        <v>0</v>
      </c>
      <c r="P373" s="436">
        <f t="shared" si="137"/>
        <v>0</v>
      </c>
      <c r="R373" s="354">
        <f>+Hirdetmény!$AA$46</f>
        <v>0.13400000000000001</v>
      </c>
      <c r="S373" s="301">
        <f t="shared" si="138"/>
        <v>0</v>
      </c>
      <c r="T373" s="301">
        <f t="shared" si="128"/>
        <v>0</v>
      </c>
      <c r="U373" s="301">
        <f t="shared" si="139"/>
        <v>0</v>
      </c>
      <c r="V373" s="301">
        <f t="shared" si="140"/>
        <v>0</v>
      </c>
      <c r="W373" s="301">
        <f t="shared" si="141"/>
        <v>0</v>
      </c>
      <c r="AA373" s="12">
        <f>+paraméterek!$B$346</f>
        <v>6.4600000000000005E-2</v>
      </c>
      <c r="AB373" s="301">
        <f t="shared" si="142"/>
        <v>0</v>
      </c>
      <c r="AC373" s="301">
        <f t="shared" si="129"/>
        <v>0</v>
      </c>
      <c r="AD373" s="301">
        <f t="shared" si="143"/>
        <v>0</v>
      </c>
      <c r="AE373" s="301">
        <f t="shared" si="144"/>
        <v>0</v>
      </c>
      <c r="AF373" s="477">
        <f t="shared" si="145"/>
        <v>0</v>
      </c>
      <c r="AI373" s="543">
        <f t="shared" si="130"/>
        <v>0</v>
      </c>
      <c r="AJ373" s="543">
        <f t="shared" si="146"/>
        <v>0</v>
      </c>
      <c r="AK373" s="300">
        <f t="shared" si="147"/>
        <v>0</v>
      </c>
      <c r="AL373" s="543">
        <f t="shared" si="148"/>
        <v>0</v>
      </c>
      <c r="AM373" s="10">
        <f t="shared" si="149"/>
        <v>0</v>
      </c>
      <c r="AP373" s="437">
        <f t="shared" si="150"/>
        <v>0</v>
      </c>
    </row>
    <row r="374" spans="1:42" s="11" customFormat="1" hidden="1" x14ac:dyDescent="0.3">
      <c r="A374" s="775">
        <v>295</v>
      </c>
      <c r="B374" s="775">
        <f t="shared" si="131"/>
        <v>25</v>
      </c>
      <c r="C374" s="891">
        <f t="shared" si="153"/>
        <v>0.14489675614077413</v>
      </c>
      <c r="D374" s="891"/>
      <c r="E374" s="891">
        <f t="shared" si="153"/>
        <v>0.03</v>
      </c>
      <c r="F374" s="891">
        <f t="shared" si="124"/>
        <v>0.03</v>
      </c>
      <c r="G374" s="893">
        <f t="shared" si="133"/>
        <v>1.151056494563818E-8</v>
      </c>
      <c r="H374" s="436">
        <f t="shared" si="125"/>
        <v>0</v>
      </c>
      <c r="I374" s="302">
        <f t="shared" si="126"/>
        <v>0</v>
      </c>
      <c r="J374" s="301">
        <f t="shared" si="151"/>
        <v>2.9176084758041223E-11</v>
      </c>
      <c r="K374" s="301">
        <f t="shared" si="134"/>
        <v>2.9176084758041223E-11</v>
      </c>
      <c r="L374" s="10">
        <f t="shared" si="135"/>
        <v>2.9176084758041223E-11</v>
      </c>
      <c r="M374" s="302"/>
      <c r="N374" s="435">
        <f t="shared" si="136"/>
        <v>0</v>
      </c>
      <c r="O374" s="436">
        <f t="shared" si="127"/>
        <v>0</v>
      </c>
      <c r="P374" s="436">
        <f t="shared" si="137"/>
        <v>0</v>
      </c>
      <c r="R374" s="354">
        <f>+Hirdetmény!$AA$46</f>
        <v>0.13400000000000001</v>
      </c>
      <c r="S374" s="301">
        <f t="shared" si="138"/>
        <v>0</v>
      </c>
      <c r="T374" s="301">
        <f t="shared" si="128"/>
        <v>0</v>
      </c>
      <c r="U374" s="301">
        <f t="shared" si="139"/>
        <v>0</v>
      </c>
      <c r="V374" s="301">
        <f t="shared" si="140"/>
        <v>0</v>
      </c>
      <c r="W374" s="301">
        <f t="shared" si="141"/>
        <v>0</v>
      </c>
      <c r="AA374" s="12">
        <f>+paraméterek!$B$346</f>
        <v>6.4600000000000005E-2</v>
      </c>
      <c r="AB374" s="301">
        <f t="shared" si="142"/>
        <v>0</v>
      </c>
      <c r="AC374" s="301">
        <f t="shared" si="129"/>
        <v>0</v>
      </c>
      <c r="AD374" s="301">
        <f t="shared" si="143"/>
        <v>0</v>
      </c>
      <c r="AE374" s="301">
        <f t="shared" si="144"/>
        <v>0</v>
      </c>
      <c r="AF374" s="477">
        <f t="shared" si="145"/>
        <v>0</v>
      </c>
      <c r="AI374" s="543">
        <f t="shared" si="130"/>
        <v>0</v>
      </c>
      <c r="AJ374" s="543">
        <f t="shared" si="146"/>
        <v>0</v>
      </c>
      <c r="AK374" s="300">
        <f t="shared" si="147"/>
        <v>0</v>
      </c>
      <c r="AL374" s="543">
        <f t="shared" si="148"/>
        <v>0</v>
      </c>
      <c r="AM374" s="10">
        <f t="shared" si="149"/>
        <v>0</v>
      </c>
      <c r="AP374" s="437">
        <f t="shared" si="150"/>
        <v>0</v>
      </c>
    </row>
    <row r="375" spans="1:42" s="11" customFormat="1" hidden="1" x14ac:dyDescent="0.3">
      <c r="A375" s="775">
        <v>296</v>
      </c>
      <c r="B375" s="775">
        <f t="shared" si="131"/>
        <v>25</v>
      </c>
      <c r="C375" s="891">
        <f t="shared" si="153"/>
        <v>0.14489675614077413</v>
      </c>
      <c r="D375" s="891"/>
      <c r="E375" s="891">
        <f t="shared" si="153"/>
        <v>0.03</v>
      </c>
      <c r="F375" s="891">
        <f t="shared" si="124"/>
        <v>0.03</v>
      </c>
      <c r="G375" s="893">
        <f t="shared" si="133"/>
        <v>1.151056494563818E-8</v>
      </c>
      <c r="H375" s="436">
        <f t="shared" si="125"/>
        <v>0</v>
      </c>
      <c r="I375" s="302">
        <f t="shared" si="126"/>
        <v>0</v>
      </c>
      <c r="J375" s="301">
        <f t="shared" si="151"/>
        <v>2.9176084758041223E-11</v>
      </c>
      <c r="K375" s="301">
        <f t="shared" si="134"/>
        <v>2.9176084758041223E-11</v>
      </c>
      <c r="L375" s="10">
        <f t="shared" si="135"/>
        <v>2.9176084758041223E-11</v>
      </c>
      <c r="M375" s="302"/>
      <c r="N375" s="435">
        <f t="shared" si="136"/>
        <v>0</v>
      </c>
      <c r="O375" s="436">
        <f t="shared" si="127"/>
        <v>0</v>
      </c>
      <c r="P375" s="436">
        <f t="shared" si="137"/>
        <v>0</v>
      </c>
      <c r="R375" s="354">
        <f>+Hirdetmény!$AA$46</f>
        <v>0.13400000000000001</v>
      </c>
      <c r="S375" s="301">
        <f t="shared" si="138"/>
        <v>0</v>
      </c>
      <c r="T375" s="301">
        <f t="shared" si="128"/>
        <v>0</v>
      </c>
      <c r="U375" s="301">
        <f t="shared" si="139"/>
        <v>0</v>
      </c>
      <c r="V375" s="301">
        <f t="shared" si="140"/>
        <v>0</v>
      </c>
      <c r="W375" s="301">
        <f t="shared" si="141"/>
        <v>0</v>
      </c>
      <c r="AA375" s="12">
        <f>+paraméterek!$B$346</f>
        <v>6.4600000000000005E-2</v>
      </c>
      <c r="AB375" s="301">
        <f t="shared" si="142"/>
        <v>0</v>
      </c>
      <c r="AC375" s="301">
        <f t="shared" si="129"/>
        <v>0</v>
      </c>
      <c r="AD375" s="301">
        <f t="shared" si="143"/>
        <v>0</v>
      </c>
      <c r="AE375" s="301">
        <f t="shared" si="144"/>
        <v>0</v>
      </c>
      <c r="AF375" s="477">
        <f t="shared" si="145"/>
        <v>0</v>
      </c>
      <c r="AI375" s="543">
        <f t="shared" si="130"/>
        <v>0</v>
      </c>
      <c r="AJ375" s="543">
        <f t="shared" si="146"/>
        <v>0</v>
      </c>
      <c r="AK375" s="300">
        <f t="shared" si="147"/>
        <v>0</v>
      </c>
      <c r="AL375" s="543">
        <f t="shared" si="148"/>
        <v>0</v>
      </c>
      <c r="AM375" s="10">
        <f t="shared" si="149"/>
        <v>0</v>
      </c>
      <c r="AP375" s="437">
        <f t="shared" si="150"/>
        <v>0</v>
      </c>
    </row>
    <row r="376" spans="1:42" s="11" customFormat="1" hidden="1" x14ac:dyDescent="0.3">
      <c r="A376" s="775">
        <v>297</v>
      </c>
      <c r="B376" s="775">
        <f t="shared" si="131"/>
        <v>25</v>
      </c>
      <c r="C376" s="891">
        <f t="shared" si="153"/>
        <v>0.14489675614077413</v>
      </c>
      <c r="D376" s="891"/>
      <c r="E376" s="891">
        <f t="shared" si="153"/>
        <v>0.03</v>
      </c>
      <c r="F376" s="891">
        <f t="shared" si="124"/>
        <v>0.03</v>
      </c>
      <c r="G376" s="893">
        <f t="shared" si="133"/>
        <v>1.151056494563818E-8</v>
      </c>
      <c r="H376" s="436">
        <f t="shared" si="125"/>
        <v>0</v>
      </c>
      <c r="I376" s="302">
        <f t="shared" si="126"/>
        <v>0</v>
      </c>
      <c r="J376" s="301">
        <f t="shared" si="151"/>
        <v>2.9176084758041223E-11</v>
      </c>
      <c r="K376" s="301">
        <f t="shared" si="134"/>
        <v>2.9176084758041223E-11</v>
      </c>
      <c r="L376" s="10">
        <f t="shared" si="135"/>
        <v>2.9176084758041223E-11</v>
      </c>
      <c r="M376" s="302"/>
      <c r="N376" s="435">
        <f t="shared" si="136"/>
        <v>0</v>
      </c>
      <c r="O376" s="436">
        <f t="shared" si="127"/>
        <v>0</v>
      </c>
      <c r="P376" s="436">
        <f t="shared" si="137"/>
        <v>0</v>
      </c>
      <c r="R376" s="354">
        <f>+Hirdetmény!$AA$46</f>
        <v>0.13400000000000001</v>
      </c>
      <c r="S376" s="301">
        <f t="shared" si="138"/>
        <v>0</v>
      </c>
      <c r="T376" s="301">
        <f t="shared" si="128"/>
        <v>0</v>
      </c>
      <c r="U376" s="301">
        <f t="shared" si="139"/>
        <v>0</v>
      </c>
      <c r="V376" s="301">
        <f t="shared" si="140"/>
        <v>0</v>
      </c>
      <c r="W376" s="301">
        <f t="shared" si="141"/>
        <v>0</v>
      </c>
      <c r="AA376" s="12">
        <f>+paraméterek!$B$346</f>
        <v>6.4600000000000005E-2</v>
      </c>
      <c r="AB376" s="301">
        <f t="shared" si="142"/>
        <v>0</v>
      </c>
      <c r="AC376" s="301">
        <f t="shared" si="129"/>
        <v>0</v>
      </c>
      <c r="AD376" s="301">
        <f t="shared" si="143"/>
        <v>0</v>
      </c>
      <c r="AE376" s="301">
        <f t="shared" si="144"/>
        <v>0</v>
      </c>
      <c r="AF376" s="477">
        <f t="shared" si="145"/>
        <v>0</v>
      </c>
      <c r="AI376" s="543">
        <f t="shared" si="130"/>
        <v>0</v>
      </c>
      <c r="AJ376" s="543">
        <f t="shared" si="146"/>
        <v>0</v>
      </c>
      <c r="AK376" s="300">
        <f t="shared" si="147"/>
        <v>0</v>
      </c>
      <c r="AL376" s="543">
        <f t="shared" si="148"/>
        <v>0</v>
      </c>
      <c r="AM376" s="10">
        <f t="shared" si="149"/>
        <v>0</v>
      </c>
      <c r="AP376" s="437">
        <f t="shared" si="150"/>
        <v>0</v>
      </c>
    </row>
    <row r="377" spans="1:42" s="11" customFormat="1" hidden="1" x14ac:dyDescent="0.3">
      <c r="A377" s="775">
        <v>298</v>
      </c>
      <c r="B377" s="775">
        <f t="shared" si="131"/>
        <v>25</v>
      </c>
      <c r="C377" s="891">
        <f t="shared" si="153"/>
        <v>0.14489675614077413</v>
      </c>
      <c r="D377" s="891"/>
      <c r="E377" s="891">
        <f t="shared" si="153"/>
        <v>0.03</v>
      </c>
      <c r="F377" s="891">
        <f t="shared" si="124"/>
        <v>0.03</v>
      </c>
      <c r="G377" s="893">
        <f t="shared" si="133"/>
        <v>1.151056494563818E-8</v>
      </c>
      <c r="H377" s="436">
        <f t="shared" si="125"/>
        <v>0</v>
      </c>
      <c r="I377" s="302">
        <f t="shared" si="126"/>
        <v>0</v>
      </c>
      <c r="J377" s="301">
        <f t="shared" si="151"/>
        <v>2.9176084758041223E-11</v>
      </c>
      <c r="K377" s="301">
        <f t="shared" si="134"/>
        <v>2.9176084758041223E-11</v>
      </c>
      <c r="L377" s="10">
        <f t="shared" si="135"/>
        <v>2.9176084758041223E-11</v>
      </c>
      <c r="M377" s="302"/>
      <c r="N377" s="435">
        <f t="shared" si="136"/>
        <v>0</v>
      </c>
      <c r="O377" s="436">
        <f t="shared" si="127"/>
        <v>0</v>
      </c>
      <c r="P377" s="436">
        <f t="shared" si="137"/>
        <v>0</v>
      </c>
      <c r="R377" s="354">
        <f>+Hirdetmény!$AA$46</f>
        <v>0.13400000000000001</v>
      </c>
      <c r="S377" s="301">
        <f t="shared" si="138"/>
        <v>0</v>
      </c>
      <c r="T377" s="301">
        <f t="shared" si="128"/>
        <v>0</v>
      </c>
      <c r="U377" s="301">
        <f t="shared" si="139"/>
        <v>0</v>
      </c>
      <c r="V377" s="301">
        <f t="shared" si="140"/>
        <v>0</v>
      </c>
      <c r="W377" s="301">
        <f t="shared" si="141"/>
        <v>0</v>
      </c>
      <c r="AA377" s="12">
        <f>+paraméterek!$B$346</f>
        <v>6.4600000000000005E-2</v>
      </c>
      <c r="AB377" s="301">
        <f t="shared" si="142"/>
        <v>0</v>
      </c>
      <c r="AC377" s="301">
        <f t="shared" si="129"/>
        <v>0</v>
      </c>
      <c r="AD377" s="301">
        <f t="shared" si="143"/>
        <v>0</v>
      </c>
      <c r="AE377" s="301">
        <f t="shared" si="144"/>
        <v>0</v>
      </c>
      <c r="AF377" s="477">
        <f t="shared" si="145"/>
        <v>0</v>
      </c>
      <c r="AI377" s="543">
        <f t="shared" si="130"/>
        <v>0</v>
      </c>
      <c r="AJ377" s="543">
        <f t="shared" si="146"/>
        <v>0</v>
      </c>
      <c r="AK377" s="300">
        <f t="shared" si="147"/>
        <v>0</v>
      </c>
      <c r="AL377" s="543">
        <f t="shared" si="148"/>
        <v>0</v>
      </c>
      <c r="AM377" s="10">
        <f t="shared" si="149"/>
        <v>0</v>
      </c>
      <c r="AP377" s="437">
        <f t="shared" si="150"/>
        <v>0</v>
      </c>
    </row>
    <row r="378" spans="1:42" s="11" customFormat="1" hidden="1" x14ac:dyDescent="0.3">
      <c r="A378" s="775">
        <v>299</v>
      </c>
      <c r="B378" s="775">
        <f t="shared" si="131"/>
        <v>25</v>
      </c>
      <c r="C378" s="891">
        <f t="shared" si="153"/>
        <v>0.14489675614077413</v>
      </c>
      <c r="D378" s="891"/>
      <c r="E378" s="891">
        <f t="shared" si="153"/>
        <v>0.03</v>
      </c>
      <c r="F378" s="891">
        <f t="shared" si="124"/>
        <v>0.03</v>
      </c>
      <c r="G378" s="893">
        <f t="shared" si="133"/>
        <v>1.151056494563818E-8</v>
      </c>
      <c r="H378" s="436">
        <f t="shared" si="125"/>
        <v>0</v>
      </c>
      <c r="I378" s="302">
        <f t="shared" si="126"/>
        <v>0</v>
      </c>
      <c r="J378" s="301">
        <f t="shared" si="151"/>
        <v>2.9176084758041223E-11</v>
      </c>
      <c r="K378" s="301">
        <f t="shared" si="134"/>
        <v>2.9176084758041223E-11</v>
      </c>
      <c r="L378" s="10">
        <f t="shared" si="135"/>
        <v>2.9176084758041223E-11</v>
      </c>
      <c r="M378" s="302"/>
      <c r="N378" s="435">
        <f t="shared" si="136"/>
        <v>0</v>
      </c>
      <c r="O378" s="436">
        <f t="shared" si="127"/>
        <v>0</v>
      </c>
      <c r="P378" s="436">
        <f t="shared" si="137"/>
        <v>0</v>
      </c>
      <c r="R378" s="354">
        <f>+Hirdetmény!$AA$46</f>
        <v>0.13400000000000001</v>
      </c>
      <c r="S378" s="301">
        <f t="shared" si="138"/>
        <v>0</v>
      </c>
      <c r="T378" s="301">
        <f t="shared" si="128"/>
        <v>0</v>
      </c>
      <c r="U378" s="301">
        <f t="shared" si="139"/>
        <v>0</v>
      </c>
      <c r="V378" s="301">
        <f t="shared" si="140"/>
        <v>0</v>
      </c>
      <c r="W378" s="301">
        <f t="shared" si="141"/>
        <v>0</v>
      </c>
      <c r="AA378" s="12">
        <f>+paraméterek!$B$346</f>
        <v>6.4600000000000005E-2</v>
      </c>
      <c r="AB378" s="301">
        <f t="shared" si="142"/>
        <v>0</v>
      </c>
      <c r="AC378" s="301">
        <f t="shared" si="129"/>
        <v>0</v>
      </c>
      <c r="AD378" s="301">
        <f t="shared" si="143"/>
        <v>0</v>
      </c>
      <c r="AE378" s="301">
        <f t="shared" si="144"/>
        <v>0</v>
      </c>
      <c r="AF378" s="477">
        <f t="shared" si="145"/>
        <v>0</v>
      </c>
      <c r="AI378" s="543">
        <f t="shared" si="130"/>
        <v>0</v>
      </c>
      <c r="AJ378" s="543">
        <f t="shared" si="146"/>
        <v>0</v>
      </c>
      <c r="AK378" s="300">
        <f t="shared" si="147"/>
        <v>0</v>
      </c>
      <c r="AL378" s="543">
        <f t="shared" si="148"/>
        <v>0</v>
      </c>
      <c r="AM378" s="10">
        <f t="shared" si="149"/>
        <v>0</v>
      </c>
      <c r="AP378" s="437">
        <f t="shared" si="150"/>
        <v>0</v>
      </c>
    </row>
    <row r="379" spans="1:42" s="11" customFormat="1" hidden="1" x14ac:dyDescent="0.3">
      <c r="A379" s="775">
        <v>300</v>
      </c>
      <c r="B379" s="775">
        <f t="shared" si="131"/>
        <v>25</v>
      </c>
      <c r="C379" s="891">
        <f t="shared" si="153"/>
        <v>0.14489675614077413</v>
      </c>
      <c r="D379" s="891"/>
      <c r="E379" s="891">
        <f t="shared" si="153"/>
        <v>0.03</v>
      </c>
      <c r="F379" s="891">
        <f t="shared" si="124"/>
        <v>0.03</v>
      </c>
      <c r="G379" s="893">
        <f t="shared" si="133"/>
        <v>1.151056494563818E-8</v>
      </c>
      <c r="H379" s="436">
        <f t="shared" si="125"/>
        <v>0</v>
      </c>
      <c r="I379" s="302">
        <f t="shared" si="126"/>
        <v>0</v>
      </c>
      <c r="J379" s="301">
        <f t="shared" si="151"/>
        <v>2.9176084758041223E-11</v>
      </c>
      <c r="K379" s="301">
        <f t="shared" si="134"/>
        <v>2.9176084758041223E-11</v>
      </c>
      <c r="L379" s="10">
        <f t="shared" si="135"/>
        <v>2.9176084758041223E-11</v>
      </c>
      <c r="M379" s="302"/>
      <c r="N379" s="435">
        <f t="shared" si="136"/>
        <v>0</v>
      </c>
      <c r="O379" s="436">
        <f t="shared" si="127"/>
        <v>0</v>
      </c>
      <c r="P379" s="436">
        <f t="shared" si="137"/>
        <v>0</v>
      </c>
      <c r="R379" s="354">
        <f>+Hirdetmény!$AA$46</f>
        <v>0.13400000000000001</v>
      </c>
      <c r="S379" s="301">
        <f t="shared" si="138"/>
        <v>0</v>
      </c>
      <c r="T379" s="301">
        <f t="shared" si="128"/>
        <v>0</v>
      </c>
      <c r="U379" s="301">
        <f t="shared" si="139"/>
        <v>0</v>
      </c>
      <c r="V379" s="301">
        <f t="shared" si="140"/>
        <v>0</v>
      </c>
      <c r="W379" s="301">
        <f t="shared" si="141"/>
        <v>0</v>
      </c>
      <c r="AA379" s="12">
        <f>+paraméterek!$B$346</f>
        <v>6.4600000000000005E-2</v>
      </c>
      <c r="AB379" s="301">
        <f t="shared" si="142"/>
        <v>0</v>
      </c>
      <c r="AC379" s="301">
        <f t="shared" si="129"/>
        <v>0</v>
      </c>
      <c r="AD379" s="301">
        <f t="shared" si="143"/>
        <v>0</v>
      </c>
      <c r="AE379" s="301">
        <f t="shared" si="144"/>
        <v>0</v>
      </c>
      <c r="AF379" s="477">
        <f t="shared" si="145"/>
        <v>0</v>
      </c>
      <c r="AI379" s="543">
        <f t="shared" si="130"/>
        <v>0</v>
      </c>
      <c r="AJ379" s="543">
        <f t="shared" si="146"/>
        <v>0</v>
      </c>
      <c r="AK379" s="300">
        <f t="shared" si="147"/>
        <v>0</v>
      </c>
      <c r="AL379" s="543">
        <f t="shared" si="148"/>
        <v>0</v>
      </c>
      <c r="AM379" s="10">
        <f t="shared" si="149"/>
        <v>0</v>
      </c>
      <c r="AP379" s="437">
        <f t="shared" si="150"/>
        <v>0</v>
      </c>
    </row>
    <row r="380" spans="1:42" s="11" customFormat="1" hidden="1" x14ac:dyDescent="0.3">
      <c r="A380" s="775">
        <v>301</v>
      </c>
      <c r="B380" s="775">
        <f t="shared" si="131"/>
        <v>26</v>
      </c>
      <c r="C380" s="891">
        <f t="shared" si="153"/>
        <v>0.14489675614077413</v>
      </c>
      <c r="D380" s="891"/>
      <c r="E380" s="891">
        <f t="shared" si="153"/>
        <v>0.03</v>
      </c>
      <c r="F380" s="891">
        <f t="shared" si="124"/>
        <v>0.03</v>
      </c>
      <c r="G380" s="893">
        <f t="shared" si="133"/>
        <v>1.151056494563818E-8</v>
      </c>
      <c r="H380" s="436">
        <f t="shared" si="125"/>
        <v>0</v>
      </c>
      <c r="I380" s="302">
        <f t="shared" si="126"/>
        <v>0</v>
      </c>
      <c r="J380" s="301">
        <f t="shared" si="151"/>
        <v>2.9176084758041223E-11</v>
      </c>
      <c r="K380" s="301">
        <f t="shared" si="134"/>
        <v>2.9176084758041223E-11</v>
      </c>
      <c r="L380" s="10">
        <f t="shared" si="135"/>
        <v>2.9176084758041223E-11</v>
      </c>
      <c r="M380" s="302"/>
      <c r="N380" s="435">
        <f t="shared" si="136"/>
        <v>0</v>
      </c>
      <c r="O380" s="436">
        <f t="shared" si="127"/>
        <v>0</v>
      </c>
      <c r="P380" s="436">
        <f t="shared" si="137"/>
        <v>0</v>
      </c>
      <c r="R380" s="354">
        <f>+Hirdetmény!$AA$46</f>
        <v>0.13400000000000001</v>
      </c>
      <c r="S380" s="301">
        <f t="shared" si="138"/>
        <v>0</v>
      </c>
      <c r="T380" s="301">
        <f t="shared" si="128"/>
        <v>0</v>
      </c>
      <c r="U380" s="301">
        <f t="shared" si="139"/>
        <v>0</v>
      </c>
      <c r="V380" s="301">
        <f t="shared" si="140"/>
        <v>0</v>
      </c>
      <c r="W380" s="301">
        <f t="shared" si="141"/>
        <v>0</v>
      </c>
      <c r="AA380" s="12">
        <f>+paraméterek!$B$346</f>
        <v>6.4600000000000005E-2</v>
      </c>
      <c r="AB380" s="301">
        <f t="shared" si="142"/>
        <v>0</v>
      </c>
      <c r="AC380" s="301">
        <f t="shared" si="129"/>
        <v>0</v>
      </c>
      <c r="AD380" s="301">
        <f t="shared" si="143"/>
        <v>0</v>
      </c>
      <c r="AE380" s="301">
        <f t="shared" si="144"/>
        <v>0</v>
      </c>
      <c r="AF380" s="477">
        <f t="shared" si="145"/>
        <v>0</v>
      </c>
      <c r="AI380" s="543">
        <f t="shared" si="130"/>
        <v>0</v>
      </c>
      <c r="AJ380" s="543">
        <f t="shared" si="146"/>
        <v>0</v>
      </c>
      <c r="AK380" s="300">
        <f t="shared" si="147"/>
        <v>0</v>
      </c>
      <c r="AL380" s="543">
        <f t="shared" si="148"/>
        <v>0</v>
      </c>
      <c r="AM380" s="10">
        <f t="shared" si="149"/>
        <v>0</v>
      </c>
      <c r="AP380" s="437">
        <f t="shared" si="150"/>
        <v>0</v>
      </c>
    </row>
    <row r="381" spans="1:42" s="11" customFormat="1" hidden="1" x14ac:dyDescent="0.3">
      <c r="A381" s="775">
        <v>302</v>
      </c>
      <c r="B381" s="775">
        <f t="shared" si="131"/>
        <v>26</v>
      </c>
      <c r="C381" s="891">
        <f t="shared" si="153"/>
        <v>0.14489675614077413</v>
      </c>
      <c r="D381" s="891"/>
      <c r="E381" s="891">
        <f t="shared" si="153"/>
        <v>0.03</v>
      </c>
      <c r="F381" s="891">
        <f t="shared" si="124"/>
        <v>0.03</v>
      </c>
      <c r="G381" s="893">
        <f t="shared" si="133"/>
        <v>1.151056494563818E-8</v>
      </c>
      <c r="H381" s="436">
        <f t="shared" si="125"/>
        <v>0</v>
      </c>
      <c r="I381" s="302">
        <f t="shared" si="126"/>
        <v>0</v>
      </c>
      <c r="J381" s="301">
        <f t="shared" si="151"/>
        <v>2.9176084758041223E-11</v>
      </c>
      <c r="K381" s="301">
        <f t="shared" si="134"/>
        <v>2.9176084758041223E-11</v>
      </c>
      <c r="L381" s="10">
        <f t="shared" si="135"/>
        <v>2.9176084758041223E-11</v>
      </c>
      <c r="M381" s="302"/>
      <c r="N381" s="435">
        <f t="shared" si="136"/>
        <v>0</v>
      </c>
      <c r="O381" s="436">
        <f t="shared" si="127"/>
        <v>0</v>
      </c>
      <c r="P381" s="436">
        <f t="shared" si="137"/>
        <v>0</v>
      </c>
      <c r="R381" s="354">
        <f>+Hirdetmény!$AA$46</f>
        <v>0.13400000000000001</v>
      </c>
      <c r="S381" s="301">
        <f t="shared" si="138"/>
        <v>0</v>
      </c>
      <c r="T381" s="301">
        <f t="shared" si="128"/>
        <v>0</v>
      </c>
      <c r="U381" s="301">
        <f t="shared" si="139"/>
        <v>0</v>
      </c>
      <c r="V381" s="301">
        <f t="shared" si="140"/>
        <v>0</v>
      </c>
      <c r="W381" s="301">
        <f t="shared" si="141"/>
        <v>0</v>
      </c>
      <c r="AA381" s="12">
        <f>+paraméterek!$B$346</f>
        <v>6.4600000000000005E-2</v>
      </c>
      <c r="AB381" s="301">
        <f t="shared" si="142"/>
        <v>0</v>
      </c>
      <c r="AC381" s="301">
        <f t="shared" si="129"/>
        <v>0</v>
      </c>
      <c r="AD381" s="301">
        <f t="shared" si="143"/>
        <v>0</v>
      </c>
      <c r="AE381" s="301">
        <f t="shared" si="144"/>
        <v>0</v>
      </c>
      <c r="AF381" s="477">
        <f t="shared" si="145"/>
        <v>0</v>
      </c>
      <c r="AI381" s="543">
        <f t="shared" si="130"/>
        <v>0</v>
      </c>
      <c r="AJ381" s="543">
        <f t="shared" si="146"/>
        <v>0</v>
      </c>
      <c r="AK381" s="300">
        <f t="shared" si="147"/>
        <v>0</v>
      </c>
      <c r="AL381" s="543">
        <f t="shared" si="148"/>
        <v>0</v>
      </c>
      <c r="AM381" s="10">
        <f t="shared" si="149"/>
        <v>0</v>
      </c>
      <c r="AP381" s="437">
        <f t="shared" si="150"/>
        <v>0</v>
      </c>
    </row>
    <row r="382" spans="1:42" s="11" customFormat="1" hidden="1" x14ac:dyDescent="0.3">
      <c r="A382" s="775">
        <v>303</v>
      </c>
      <c r="B382" s="775">
        <f t="shared" si="131"/>
        <v>26</v>
      </c>
      <c r="C382" s="891">
        <f t="shared" si="153"/>
        <v>0.14489675614077413</v>
      </c>
      <c r="D382" s="891"/>
      <c r="E382" s="891">
        <f t="shared" si="153"/>
        <v>0.03</v>
      </c>
      <c r="F382" s="891">
        <f t="shared" si="124"/>
        <v>0.03</v>
      </c>
      <c r="G382" s="893">
        <f t="shared" si="133"/>
        <v>1.151056494563818E-8</v>
      </c>
      <c r="H382" s="436">
        <f t="shared" si="125"/>
        <v>0</v>
      </c>
      <c r="I382" s="302">
        <f t="shared" si="126"/>
        <v>0</v>
      </c>
      <c r="J382" s="301">
        <f t="shared" si="151"/>
        <v>2.9176084758041223E-11</v>
      </c>
      <c r="K382" s="301">
        <f t="shared" si="134"/>
        <v>2.9176084758041223E-11</v>
      </c>
      <c r="L382" s="10">
        <f t="shared" si="135"/>
        <v>2.9176084758041223E-11</v>
      </c>
      <c r="M382" s="302"/>
      <c r="N382" s="435">
        <f t="shared" si="136"/>
        <v>0</v>
      </c>
      <c r="O382" s="436">
        <f t="shared" si="127"/>
        <v>0</v>
      </c>
      <c r="P382" s="436">
        <f t="shared" si="137"/>
        <v>0</v>
      </c>
      <c r="R382" s="354">
        <f>+Hirdetmény!$AA$46</f>
        <v>0.13400000000000001</v>
      </c>
      <c r="S382" s="301">
        <f t="shared" si="138"/>
        <v>0</v>
      </c>
      <c r="T382" s="301">
        <f t="shared" si="128"/>
        <v>0</v>
      </c>
      <c r="U382" s="301">
        <f t="shared" si="139"/>
        <v>0</v>
      </c>
      <c r="V382" s="301">
        <f t="shared" si="140"/>
        <v>0</v>
      </c>
      <c r="W382" s="301">
        <f t="shared" si="141"/>
        <v>0</v>
      </c>
      <c r="AA382" s="12">
        <f>+paraméterek!$B$346</f>
        <v>6.4600000000000005E-2</v>
      </c>
      <c r="AB382" s="301">
        <f t="shared" si="142"/>
        <v>0</v>
      </c>
      <c r="AC382" s="301">
        <f t="shared" si="129"/>
        <v>0</v>
      </c>
      <c r="AD382" s="301">
        <f t="shared" si="143"/>
        <v>0</v>
      </c>
      <c r="AE382" s="301">
        <f t="shared" si="144"/>
        <v>0</v>
      </c>
      <c r="AF382" s="477">
        <f t="shared" si="145"/>
        <v>0</v>
      </c>
      <c r="AI382" s="543">
        <f t="shared" si="130"/>
        <v>0</v>
      </c>
      <c r="AJ382" s="543">
        <f t="shared" si="146"/>
        <v>0</v>
      </c>
      <c r="AK382" s="300">
        <f t="shared" si="147"/>
        <v>0</v>
      </c>
      <c r="AL382" s="543">
        <f t="shared" si="148"/>
        <v>0</v>
      </c>
      <c r="AM382" s="10">
        <f t="shared" si="149"/>
        <v>0</v>
      </c>
      <c r="AP382" s="437">
        <f t="shared" si="150"/>
        <v>0</v>
      </c>
    </row>
    <row r="383" spans="1:42" s="11" customFormat="1" hidden="1" x14ac:dyDescent="0.3">
      <c r="A383" s="775">
        <v>304</v>
      </c>
      <c r="B383" s="775">
        <f t="shared" si="131"/>
        <v>26</v>
      </c>
      <c r="C383" s="891">
        <f t="shared" si="153"/>
        <v>0.14489675614077413</v>
      </c>
      <c r="D383" s="891"/>
      <c r="E383" s="891">
        <f t="shared" si="153"/>
        <v>0.03</v>
      </c>
      <c r="F383" s="891">
        <f t="shared" si="124"/>
        <v>0.03</v>
      </c>
      <c r="G383" s="893">
        <f t="shared" si="133"/>
        <v>1.151056494563818E-8</v>
      </c>
      <c r="H383" s="436">
        <f t="shared" si="125"/>
        <v>0</v>
      </c>
      <c r="I383" s="302">
        <f t="shared" si="126"/>
        <v>0</v>
      </c>
      <c r="J383" s="301">
        <f t="shared" si="151"/>
        <v>2.9176084758041223E-11</v>
      </c>
      <c r="K383" s="301">
        <f t="shared" si="134"/>
        <v>2.9176084758041223E-11</v>
      </c>
      <c r="L383" s="10">
        <f t="shared" si="135"/>
        <v>2.9176084758041223E-11</v>
      </c>
      <c r="M383" s="302"/>
      <c r="N383" s="435">
        <f t="shared" si="136"/>
        <v>0</v>
      </c>
      <c r="O383" s="436">
        <f t="shared" si="127"/>
        <v>0</v>
      </c>
      <c r="P383" s="436">
        <f t="shared" si="137"/>
        <v>0</v>
      </c>
      <c r="R383" s="354">
        <f>+Hirdetmény!$AA$46</f>
        <v>0.13400000000000001</v>
      </c>
      <c r="S383" s="301">
        <f t="shared" si="138"/>
        <v>0</v>
      </c>
      <c r="T383" s="301">
        <f t="shared" si="128"/>
        <v>0</v>
      </c>
      <c r="U383" s="301">
        <f t="shared" si="139"/>
        <v>0</v>
      </c>
      <c r="V383" s="301">
        <f t="shared" si="140"/>
        <v>0</v>
      </c>
      <c r="W383" s="301">
        <f t="shared" si="141"/>
        <v>0</v>
      </c>
      <c r="AA383" s="12">
        <f>+paraméterek!$B$346</f>
        <v>6.4600000000000005E-2</v>
      </c>
      <c r="AB383" s="301">
        <f t="shared" si="142"/>
        <v>0</v>
      </c>
      <c r="AC383" s="301">
        <f t="shared" si="129"/>
        <v>0</v>
      </c>
      <c r="AD383" s="301">
        <f t="shared" si="143"/>
        <v>0</v>
      </c>
      <c r="AE383" s="301">
        <f t="shared" si="144"/>
        <v>0</v>
      </c>
      <c r="AF383" s="477">
        <f t="shared" si="145"/>
        <v>0</v>
      </c>
      <c r="AI383" s="543">
        <f t="shared" si="130"/>
        <v>0</v>
      </c>
      <c r="AJ383" s="543">
        <f t="shared" si="146"/>
        <v>0</v>
      </c>
      <c r="AK383" s="300">
        <f t="shared" si="147"/>
        <v>0</v>
      </c>
      <c r="AL383" s="543">
        <f t="shared" si="148"/>
        <v>0</v>
      </c>
      <c r="AM383" s="10">
        <f t="shared" si="149"/>
        <v>0</v>
      </c>
      <c r="AP383" s="437">
        <f t="shared" si="150"/>
        <v>0</v>
      </c>
    </row>
    <row r="384" spans="1:42" s="11" customFormat="1" hidden="1" x14ac:dyDescent="0.3">
      <c r="A384" s="775">
        <v>305</v>
      </c>
      <c r="B384" s="775">
        <f t="shared" si="131"/>
        <v>26</v>
      </c>
      <c r="C384" s="891">
        <f t="shared" si="153"/>
        <v>0.14489675614077413</v>
      </c>
      <c r="D384" s="891"/>
      <c r="E384" s="891">
        <f t="shared" si="153"/>
        <v>0.03</v>
      </c>
      <c r="F384" s="891">
        <f t="shared" si="124"/>
        <v>0.03</v>
      </c>
      <c r="G384" s="893">
        <f t="shared" si="133"/>
        <v>1.151056494563818E-8</v>
      </c>
      <c r="H384" s="436">
        <f t="shared" si="125"/>
        <v>0</v>
      </c>
      <c r="I384" s="302">
        <f t="shared" si="126"/>
        <v>0</v>
      </c>
      <c r="J384" s="301">
        <f t="shared" si="151"/>
        <v>2.9176084758041223E-11</v>
      </c>
      <c r="K384" s="301">
        <f t="shared" si="134"/>
        <v>2.9176084758041223E-11</v>
      </c>
      <c r="L384" s="10">
        <f t="shared" si="135"/>
        <v>2.9176084758041223E-11</v>
      </c>
      <c r="M384" s="302"/>
      <c r="N384" s="435">
        <f t="shared" si="136"/>
        <v>0</v>
      </c>
      <c r="O384" s="436">
        <f t="shared" si="127"/>
        <v>0</v>
      </c>
      <c r="P384" s="436">
        <f t="shared" si="137"/>
        <v>0</v>
      </c>
      <c r="R384" s="354">
        <f>+Hirdetmény!$AA$46</f>
        <v>0.13400000000000001</v>
      </c>
      <c r="S384" s="301">
        <f t="shared" si="138"/>
        <v>0</v>
      </c>
      <c r="T384" s="301">
        <f t="shared" si="128"/>
        <v>0</v>
      </c>
      <c r="U384" s="301">
        <f t="shared" si="139"/>
        <v>0</v>
      </c>
      <c r="V384" s="301">
        <f t="shared" si="140"/>
        <v>0</v>
      </c>
      <c r="W384" s="301">
        <f t="shared" si="141"/>
        <v>0</v>
      </c>
      <c r="AA384" s="12">
        <f>+paraméterek!$B$346</f>
        <v>6.4600000000000005E-2</v>
      </c>
      <c r="AB384" s="301">
        <f t="shared" si="142"/>
        <v>0</v>
      </c>
      <c r="AC384" s="301">
        <f t="shared" si="129"/>
        <v>0</v>
      </c>
      <c r="AD384" s="301">
        <f t="shared" si="143"/>
        <v>0</v>
      </c>
      <c r="AE384" s="301">
        <f t="shared" si="144"/>
        <v>0</v>
      </c>
      <c r="AF384" s="477">
        <f t="shared" si="145"/>
        <v>0</v>
      </c>
      <c r="AI384" s="543">
        <f t="shared" si="130"/>
        <v>0</v>
      </c>
      <c r="AJ384" s="543">
        <f t="shared" si="146"/>
        <v>0</v>
      </c>
      <c r="AK384" s="300">
        <f t="shared" si="147"/>
        <v>0</v>
      </c>
      <c r="AL384" s="543">
        <f t="shared" si="148"/>
        <v>0</v>
      </c>
      <c r="AM384" s="10">
        <f t="shared" si="149"/>
        <v>0</v>
      </c>
      <c r="AP384" s="437">
        <f t="shared" si="150"/>
        <v>0</v>
      </c>
    </row>
    <row r="385" spans="1:42" s="11" customFormat="1" hidden="1" x14ac:dyDescent="0.3">
      <c r="A385" s="775">
        <v>306</v>
      </c>
      <c r="B385" s="775">
        <f t="shared" si="131"/>
        <v>26</v>
      </c>
      <c r="C385" s="891">
        <f t="shared" ref="C385:E400" si="154">+C384</f>
        <v>0.14489675614077413</v>
      </c>
      <c r="D385" s="891"/>
      <c r="E385" s="891">
        <f t="shared" si="154"/>
        <v>0.03</v>
      </c>
      <c r="F385" s="891">
        <f t="shared" si="124"/>
        <v>0.03</v>
      </c>
      <c r="G385" s="893">
        <f t="shared" si="133"/>
        <v>1.151056494563818E-8</v>
      </c>
      <c r="H385" s="436">
        <f t="shared" si="125"/>
        <v>0</v>
      </c>
      <c r="I385" s="302">
        <f t="shared" si="126"/>
        <v>0</v>
      </c>
      <c r="J385" s="301">
        <f t="shared" si="151"/>
        <v>2.9176084758041223E-11</v>
      </c>
      <c r="K385" s="301">
        <f t="shared" si="134"/>
        <v>2.9176084758041223E-11</v>
      </c>
      <c r="L385" s="10">
        <f t="shared" si="135"/>
        <v>2.9176084758041223E-11</v>
      </c>
      <c r="M385" s="302"/>
      <c r="N385" s="435">
        <f t="shared" si="136"/>
        <v>0</v>
      </c>
      <c r="O385" s="436">
        <f t="shared" si="127"/>
        <v>0</v>
      </c>
      <c r="P385" s="436">
        <f t="shared" si="137"/>
        <v>0</v>
      </c>
      <c r="R385" s="354">
        <f>+Hirdetmény!$AA$46</f>
        <v>0.13400000000000001</v>
      </c>
      <c r="S385" s="301">
        <f t="shared" si="138"/>
        <v>0</v>
      </c>
      <c r="T385" s="301">
        <f t="shared" si="128"/>
        <v>0</v>
      </c>
      <c r="U385" s="301">
        <f t="shared" si="139"/>
        <v>0</v>
      </c>
      <c r="V385" s="301">
        <f t="shared" si="140"/>
        <v>0</v>
      </c>
      <c r="W385" s="301">
        <f t="shared" si="141"/>
        <v>0</v>
      </c>
      <c r="AA385" s="12">
        <f>+paraméterek!$B$346</f>
        <v>6.4600000000000005E-2</v>
      </c>
      <c r="AB385" s="301">
        <f t="shared" si="142"/>
        <v>0</v>
      </c>
      <c r="AC385" s="301">
        <f t="shared" si="129"/>
        <v>0</v>
      </c>
      <c r="AD385" s="301">
        <f t="shared" si="143"/>
        <v>0</v>
      </c>
      <c r="AE385" s="301">
        <f t="shared" si="144"/>
        <v>0</v>
      </c>
      <c r="AF385" s="477">
        <f t="shared" si="145"/>
        <v>0</v>
      </c>
      <c r="AI385" s="543">
        <f t="shared" si="130"/>
        <v>0</v>
      </c>
      <c r="AJ385" s="543">
        <f t="shared" si="146"/>
        <v>0</v>
      </c>
      <c r="AK385" s="300">
        <f t="shared" si="147"/>
        <v>0</v>
      </c>
      <c r="AL385" s="543">
        <f t="shared" si="148"/>
        <v>0</v>
      </c>
      <c r="AM385" s="10">
        <f t="shared" si="149"/>
        <v>0</v>
      </c>
      <c r="AP385" s="437">
        <f t="shared" si="150"/>
        <v>0</v>
      </c>
    </row>
    <row r="386" spans="1:42" s="11" customFormat="1" hidden="1" x14ac:dyDescent="0.3">
      <c r="A386" s="775">
        <v>307</v>
      </c>
      <c r="B386" s="775">
        <f t="shared" si="131"/>
        <v>26</v>
      </c>
      <c r="C386" s="891">
        <f t="shared" si="154"/>
        <v>0.14489675614077413</v>
      </c>
      <c r="D386" s="891"/>
      <c r="E386" s="891">
        <f t="shared" si="154"/>
        <v>0.03</v>
      </c>
      <c r="F386" s="891">
        <f t="shared" si="124"/>
        <v>0.03</v>
      </c>
      <c r="G386" s="893">
        <f t="shared" si="133"/>
        <v>1.151056494563818E-8</v>
      </c>
      <c r="H386" s="436">
        <f t="shared" si="125"/>
        <v>0</v>
      </c>
      <c r="I386" s="302">
        <f t="shared" si="126"/>
        <v>0</v>
      </c>
      <c r="J386" s="301">
        <f t="shared" si="151"/>
        <v>2.9176084758041223E-11</v>
      </c>
      <c r="K386" s="301">
        <f t="shared" si="134"/>
        <v>2.9176084758041223E-11</v>
      </c>
      <c r="L386" s="10">
        <f t="shared" si="135"/>
        <v>2.9176084758041223E-11</v>
      </c>
      <c r="M386" s="302"/>
      <c r="N386" s="435">
        <f t="shared" si="136"/>
        <v>0</v>
      </c>
      <c r="O386" s="436">
        <f t="shared" si="127"/>
        <v>0</v>
      </c>
      <c r="P386" s="436">
        <f t="shared" si="137"/>
        <v>0</v>
      </c>
      <c r="R386" s="354">
        <f>+Hirdetmény!$AA$46</f>
        <v>0.13400000000000001</v>
      </c>
      <c r="S386" s="301">
        <f t="shared" si="138"/>
        <v>0</v>
      </c>
      <c r="T386" s="301">
        <f t="shared" si="128"/>
        <v>0</v>
      </c>
      <c r="U386" s="301">
        <f t="shared" si="139"/>
        <v>0</v>
      </c>
      <c r="V386" s="301">
        <f t="shared" si="140"/>
        <v>0</v>
      </c>
      <c r="W386" s="301">
        <f t="shared" si="141"/>
        <v>0</v>
      </c>
      <c r="AA386" s="12">
        <f>+paraméterek!$B$346</f>
        <v>6.4600000000000005E-2</v>
      </c>
      <c r="AB386" s="301">
        <f t="shared" si="142"/>
        <v>0</v>
      </c>
      <c r="AC386" s="301">
        <f t="shared" si="129"/>
        <v>0</v>
      </c>
      <c r="AD386" s="301">
        <f t="shared" si="143"/>
        <v>0</v>
      </c>
      <c r="AE386" s="301">
        <f t="shared" si="144"/>
        <v>0</v>
      </c>
      <c r="AF386" s="477">
        <f t="shared" si="145"/>
        <v>0</v>
      </c>
      <c r="AI386" s="543">
        <f t="shared" si="130"/>
        <v>0</v>
      </c>
      <c r="AJ386" s="543">
        <f t="shared" si="146"/>
        <v>0</v>
      </c>
      <c r="AK386" s="300">
        <f t="shared" si="147"/>
        <v>0</v>
      </c>
      <c r="AL386" s="543">
        <f t="shared" si="148"/>
        <v>0</v>
      </c>
      <c r="AM386" s="10">
        <f t="shared" si="149"/>
        <v>0</v>
      </c>
      <c r="AP386" s="437">
        <f t="shared" si="150"/>
        <v>0</v>
      </c>
    </row>
    <row r="387" spans="1:42" s="11" customFormat="1" hidden="1" x14ac:dyDescent="0.3">
      <c r="A387" s="775">
        <v>308</v>
      </c>
      <c r="B387" s="775">
        <f t="shared" si="131"/>
        <v>26</v>
      </c>
      <c r="C387" s="891">
        <f t="shared" si="154"/>
        <v>0.14489675614077413</v>
      </c>
      <c r="D387" s="891"/>
      <c r="E387" s="891">
        <f t="shared" si="154"/>
        <v>0.03</v>
      </c>
      <c r="F387" s="891">
        <f t="shared" si="124"/>
        <v>0.03</v>
      </c>
      <c r="G387" s="893">
        <f t="shared" si="133"/>
        <v>1.151056494563818E-8</v>
      </c>
      <c r="H387" s="436">
        <f t="shared" si="125"/>
        <v>0</v>
      </c>
      <c r="I387" s="302">
        <f t="shared" si="126"/>
        <v>0</v>
      </c>
      <c r="J387" s="301">
        <f t="shared" si="151"/>
        <v>2.9176084758041223E-11</v>
      </c>
      <c r="K387" s="301">
        <f t="shared" si="134"/>
        <v>2.9176084758041223E-11</v>
      </c>
      <c r="L387" s="10">
        <f t="shared" si="135"/>
        <v>2.9176084758041223E-11</v>
      </c>
      <c r="M387" s="302"/>
      <c r="N387" s="435">
        <f t="shared" si="136"/>
        <v>0</v>
      </c>
      <c r="O387" s="436">
        <f t="shared" si="127"/>
        <v>0</v>
      </c>
      <c r="P387" s="436">
        <f t="shared" si="137"/>
        <v>0</v>
      </c>
      <c r="R387" s="354">
        <f>+Hirdetmény!$AA$46</f>
        <v>0.13400000000000001</v>
      </c>
      <c r="S387" s="301">
        <f t="shared" si="138"/>
        <v>0</v>
      </c>
      <c r="T387" s="301">
        <f t="shared" si="128"/>
        <v>0</v>
      </c>
      <c r="U387" s="301">
        <f t="shared" si="139"/>
        <v>0</v>
      </c>
      <c r="V387" s="301">
        <f t="shared" si="140"/>
        <v>0</v>
      </c>
      <c r="W387" s="301">
        <f t="shared" si="141"/>
        <v>0</v>
      </c>
      <c r="AA387" s="12">
        <f>+paraméterek!$B$346</f>
        <v>6.4600000000000005E-2</v>
      </c>
      <c r="AB387" s="301">
        <f t="shared" si="142"/>
        <v>0</v>
      </c>
      <c r="AC387" s="301">
        <f t="shared" si="129"/>
        <v>0</v>
      </c>
      <c r="AD387" s="301">
        <f t="shared" si="143"/>
        <v>0</v>
      </c>
      <c r="AE387" s="301">
        <f t="shared" si="144"/>
        <v>0</v>
      </c>
      <c r="AF387" s="477">
        <f t="shared" si="145"/>
        <v>0</v>
      </c>
      <c r="AI387" s="543">
        <f t="shared" si="130"/>
        <v>0</v>
      </c>
      <c r="AJ387" s="543">
        <f t="shared" si="146"/>
        <v>0</v>
      </c>
      <c r="AK387" s="300">
        <f t="shared" si="147"/>
        <v>0</v>
      </c>
      <c r="AL387" s="543">
        <f t="shared" si="148"/>
        <v>0</v>
      </c>
      <c r="AM387" s="10">
        <f t="shared" si="149"/>
        <v>0</v>
      </c>
      <c r="AP387" s="437">
        <f t="shared" si="150"/>
        <v>0</v>
      </c>
    </row>
    <row r="388" spans="1:42" s="11" customFormat="1" hidden="1" x14ac:dyDescent="0.3">
      <c r="A388" s="775">
        <v>309</v>
      </c>
      <c r="B388" s="775">
        <f t="shared" si="131"/>
        <v>26</v>
      </c>
      <c r="C388" s="891">
        <f t="shared" si="154"/>
        <v>0.14489675614077413</v>
      </c>
      <c r="D388" s="891"/>
      <c r="E388" s="891">
        <f t="shared" si="154"/>
        <v>0.03</v>
      </c>
      <c r="F388" s="891">
        <f t="shared" si="124"/>
        <v>0.03</v>
      </c>
      <c r="G388" s="893">
        <f t="shared" si="133"/>
        <v>1.151056494563818E-8</v>
      </c>
      <c r="H388" s="436">
        <f t="shared" si="125"/>
        <v>0</v>
      </c>
      <c r="I388" s="302">
        <f t="shared" si="126"/>
        <v>0</v>
      </c>
      <c r="J388" s="301">
        <f t="shared" si="151"/>
        <v>2.9176084758041223E-11</v>
      </c>
      <c r="K388" s="301">
        <f t="shared" si="134"/>
        <v>2.9176084758041223E-11</v>
      </c>
      <c r="L388" s="10">
        <f t="shared" si="135"/>
        <v>2.9176084758041223E-11</v>
      </c>
      <c r="M388" s="302"/>
      <c r="N388" s="435">
        <f t="shared" si="136"/>
        <v>0</v>
      </c>
      <c r="O388" s="436">
        <f t="shared" si="127"/>
        <v>0</v>
      </c>
      <c r="P388" s="436">
        <f t="shared" si="137"/>
        <v>0</v>
      </c>
      <c r="R388" s="354">
        <f>+Hirdetmény!$AA$46</f>
        <v>0.13400000000000001</v>
      </c>
      <c r="S388" s="301">
        <f t="shared" si="138"/>
        <v>0</v>
      </c>
      <c r="T388" s="301">
        <f t="shared" si="128"/>
        <v>0</v>
      </c>
      <c r="U388" s="301">
        <f t="shared" si="139"/>
        <v>0</v>
      </c>
      <c r="V388" s="301">
        <f t="shared" si="140"/>
        <v>0</v>
      </c>
      <c r="W388" s="301">
        <f t="shared" si="141"/>
        <v>0</v>
      </c>
      <c r="AA388" s="12">
        <f>+paraméterek!$B$346</f>
        <v>6.4600000000000005E-2</v>
      </c>
      <c r="AB388" s="301">
        <f t="shared" si="142"/>
        <v>0</v>
      </c>
      <c r="AC388" s="301">
        <f t="shared" si="129"/>
        <v>0</v>
      </c>
      <c r="AD388" s="301">
        <f t="shared" si="143"/>
        <v>0</v>
      </c>
      <c r="AE388" s="301">
        <f t="shared" si="144"/>
        <v>0</v>
      </c>
      <c r="AF388" s="477">
        <f t="shared" si="145"/>
        <v>0</v>
      </c>
      <c r="AI388" s="543">
        <f t="shared" si="130"/>
        <v>0</v>
      </c>
      <c r="AJ388" s="543">
        <f t="shared" si="146"/>
        <v>0</v>
      </c>
      <c r="AK388" s="300">
        <f t="shared" si="147"/>
        <v>0</v>
      </c>
      <c r="AL388" s="543">
        <f t="shared" si="148"/>
        <v>0</v>
      </c>
      <c r="AM388" s="10">
        <f t="shared" si="149"/>
        <v>0</v>
      </c>
      <c r="AP388" s="437">
        <f t="shared" si="150"/>
        <v>0</v>
      </c>
    </row>
    <row r="389" spans="1:42" s="11" customFormat="1" hidden="1" x14ac:dyDescent="0.3">
      <c r="A389" s="775">
        <v>310</v>
      </c>
      <c r="B389" s="775">
        <f t="shared" si="131"/>
        <v>26</v>
      </c>
      <c r="C389" s="891">
        <f t="shared" si="154"/>
        <v>0.14489675614077413</v>
      </c>
      <c r="D389" s="891"/>
      <c r="E389" s="891">
        <f t="shared" si="154"/>
        <v>0.03</v>
      </c>
      <c r="F389" s="891">
        <f t="shared" si="124"/>
        <v>0.03</v>
      </c>
      <c r="G389" s="893">
        <f t="shared" si="133"/>
        <v>1.151056494563818E-8</v>
      </c>
      <c r="H389" s="436">
        <f t="shared" si="125"/>
        <v>0</v>
      </c>
      <c r="I389" s="302">
        <f t="shared" si="126"/>
        <v>0</v>
      </c>
      <c r="J389" s="301">
        <f t="shared" si="151"/>
        <v>2.9176084758041223E-11</v>
      </c>
      <c r="K389" s="301">
        <f t="shared" si="134"/>
        <v>2.9176084758041223E-11</v>
      </c>
      <c r="L389" s="10">
        <f t="shared" si="135"/>
        <v>2.9176084758041223E-11</v>
      </c>
      <c r="M389" s="302"/>
      <c r="N389" s="435">
        <f t="shared" si="136"/>
        <v>0</v>
      </c>
      <c r="O389" s="436">
        <f t="shared" si="127"/>
        <v>0</v>
      </c>
      <c r="P389" s="436">
        <f t="shared" si="137"/>
        <v>0</v>
      </c>
      <c r="R389" s="354">
        <f>+Hirdetmény!$AA$46</f>
        <v>0.13400000000000001</v>
      </c>
      <c r="S389" s="301">
        <f t="shared" si="138"/>
        <v>0</v>
      </c>
      <c r="T389" s="301">
        <f t="shared" si="128"/>
        <v>0</v>
      </c>
      <c r="U389" s="301">
        <f t="shared" si="139"/>
        <v>0</v>
      </c>
      <c r="V389" s="301">
        <f t="shared" si="140"/>
        <v>0</v>
      </c>
      <c r="W389" s="301">
        <f t="shared" si="141"/>
        <v>0</v>
      </c>
      <c r="AA389" s="12">
        <f>+paraméterek!$B$346</f>
        <v>6.4600000000000005E-2</v>
      </c>
      <c r="AB389" s="301">
        <f t="shared" si="142"/>
        <v>0</v>
      </c>
      <c r="AC389" s="301">
        <f t="shared" si="129"/>
        <v>0</v>
      </c>
      <c r="AD389" s="301">
        <f t="shared" si="143"/>
        <v>0</v>
      </c>
      <c r="AE389" s="301">
        <f t="shared" si="144"/>
        <v>0</v>
      </c>
      <c r="AF389" s="477">
        <f t="shared" si="145"/>
        <v>0</v>
      </c>
      <c r="AI389" s="543">
        <f t="shared" si="130"/>
        <v>0</v>
      </c>
      <c r="AJ389" s="543">
        <f t="shared" si="146"/>
        <v>0</v>
      </c>
      <c r="AK389" s="300">
        <f t="shared" si="147"/>
        <v>0</v>
      </c>
      <c r="AL389" s="543">
        <f t="shared" si="148"/>
        <v>0</v>
      </c>
      <c r="AM389" s="10">
        <f t="shared" si="149"/>
        <v>0</v>
      </c>
      <c r="AP389" s="437">
        <f t="shared" si="150"/>
        <v>0</v>
      </c>
    </row>
    <row r="390" spans="1:42" s="11" customFormat="1" hidden="1" x14ac:dyDescent="0.3">
      <c r="A390" s="775">
        <v>311</v>
      </c>
      <c r="B390" s="775">
        <f t="shared" si="131"/>
        <v>26</v>
      </c>
      <c r="C390" s="891">
        <f t="shared" si="154"/>
        <v>0.14489675614077413</v>
      </c>
      <c r="D390" s="891"/>
      <c r="E390" s="891">
        <f t="shared" si="154"/>
        <v>0.03</v>
      </c>
      <c r="F390" s="891">
        <f t="shared" si="124"/>
        <v>0.03</v>
      </c>
      <c r="G390" s="893">
        <f t="shared" si="133"/>
        <v>1.151056494563818E-8</v>
      </c>
      <c r="H390" s="436">
        <f t="shared" si="125"/>
        <v>0</v>
      </c>
      <c r="I390" s="302">
        <f t="shared" si="126"/>
        <v>0</v>
      </c>
      <c r="J390" s="301">
        <f t="shared" si="151"/>
        <v>2.9176084758041223E-11</v>
      </c>
      <c r="K390" s="301">
        <f t="shared" si="134"/>
        <v>2.9176084758041223E-11</v>
      </c>
      <c r="L390" s="10">
        <f t="shared" si="135"/>
        <v>2.9176084758041223E-11</v>
      </c>
      <c r="M390" s="302"/>
      <c r="N390" s="435">
        <f t="shared" si="136"/>
        <v>0</v>
      </c>
      <c r="O390" s="436">
        <f t="shared" si="127"/>
        <v>0</v>
      </c>
      <c r="P390" s="436">
        <f t="shared" si="137"/>
        <v>0</v>
      </c>
      <c r="R390" s="354">
        <f>+Hirdetmény!$AA$46</f>
        <v>0.13400000000000001</v>
      </c>
      <c r="S390" s="301">
        <f t="shared" si="138"/>
        <v>0</v>
      </c>
      <c r="T390" s="301">
        <f t="shared" si="128"/>
        <v>0</v>
      </c>
      <c r="U390" s="301">
        <f t="shared" si="139"/>
        <v>0</v>
      </c>
      <c r="V390" s="301">
        <f t="shared" si="140"/>
        <v>0</v>
      </c>
      <c r="W390" s="301">
        <f t="shared" si="141"/>
        <v>0</v>
      </c>
      <c r="AA390" s="12">
        <f>+paraméterek!$B$346</f>
        <v>6.4600000000000005E-2</v>
      </c>
      <c r="AB390" s="301">
        <f t="shared" si="142"/>
        <v>0</v>
      </c>
      <c r="AC390" s="301">
        <f t="shared" si="129"/>
        <v>0</v>
      </c>
      <c r="AD390" s="301">
        <f t="shared" si="143"/>
        <v>0</v>
      </c>
      <c r="AE390" s="301">
        <f t="shared" si="144"/>
        <v>0</v>
      </c>
      <c r="AF390" s="477">
        <f t="shared" si="145"/>
        <v>0</v>
      </c>
      <c r="AI390" s="543">
        <f t="shared" si="130"/>
        <v>0</v>
      </c>
      <c r="AJ390" s="543">
        <f t="shared" si="146"/>
        <v>0</v>
      </c>
      <c r="AK390" s="300">
        <f t="shared" si="147"/>
        <v>0</v>
      </c>
      <c r="AL390" s="543">
        <f t="shared" si="148"/>
        <v>0</v>
      </c>
      <c r="AM390" s="10">
        <f t="shared" si="149"/>
        <v>0</v>
      </c>
      <c r="AP390" s="437">
        <f t="shared" si="150"/>
        <v>0</v>
      </c>
    </row>
    <row r="391" spans="1:42" s="11" customFormat="1" hidden="1" x14ac:dyDescent="0.3">
      <c r="A391" s="775">
        <v>312</v>
      </c>
      <c r="B391" s="775">
        <f t="shared" si="131"/>
        <v>26</v>
      </c>
      <c r="C391" s="891">
        <f t="shared" si="154"/>
        <v>0.14489675614077413</v>
      </c>
      <c r="D391" s="891"/>
      <c r="E391" s="891">
        <f t="shared" si="154"/>
        <v>0.03</v>
      </c>
      <c r="F391" s="891">
        <f t="shared" si="124"/>
        <v>0.03</v>
      </c>
      <c r="G391" s="893">
        <f t="shared" si="133"/>
        <v>1.151056494563818E-8</v>
      </c>
      <c r="H391" s="436">
        <f t="shared" si="125"/>
        <v>0</v>
      </c>
      <c r="I391" s="302">
        <f t="shared" si="126"/>
        <v>0</v>
      </c>
      <c r="J391" s="301">
        <f t="shared" si="151"/>
        <v>2.9176084758041223E-11</v>
      </c>
      <c r="K391" s="301">
        <f t="shared" si="134"/>
        <v>2.9176084758041223E-11</v>
      </c>
      <c r="L391" s="10">
        <f t="shared" si="135"/>
        <v>2.9176084758041223E-11</v>
      </c>
      <c r="M391" s="302"/>
      <c r="N391" s="435">
        <f t="shared" si="136"/>
        <v>0</v>
      </c>
      <c r="O391" s="436">
        <f t="shared" si="127"/>
        <v>0</v>
      </c>
      <c r="P391" s="436">
        <f t="shared" si="137"/>
        <v>0</v>
      </c>
      <c r="R391" s="354">
        <f>+Hirdetmény!$AA$46</f>
        <v>0.13400000000000001</v>
      </c>
      <c r="S391" s="301">
        <f t="shared" si="138"/>
        <v>0</v>
      </c>
      <c r="T391" s="301">
        <f t="shared" si="128"/>
        <v>0</v>
      </c>
      <c r="U391" s="301">
        <f t="shared" si="139"/>
        <v>0</v>
      </c>
      <c r="V391" s="301">
        <f t="shared" si="140"/>
        <v>0</v>
      </c>
      <c r="W391" s="301">
        <f t="shared" si="141"/>
        <v>0</v>
      </c>
      <c r="AA391" s="12">
        <f>+paraméterek!$B$346</f>
        <v>6.4600000000000005E-2</v>
      </c>
      <c r="AB391" s="301">
        <f t="shared" si="142"/>
        <v>0</v>
      </c>
      <c r="AC391" s="301">
        <f t="shared" si="129"/>
        <v>0</v>
      </c>
      <c r="AD391" s="301">
        <f t="shared" si="143"/>
        <v>0</v>
      </c>
      <c r="AE391" s="301">
        <f t="shared" si="144"/>
        <v>0</v>
      </c>
      <c r="AF391" s="477">
        <f t="shared" si="145"/>
        <v>0</v>
      </c>
      <c r="AI391" s="543">
        <f t="shared" si="130"/>
        <v>0</v>
      </c>
      <c r="AJ391" s="543">
        <f t="shared" si="146"/>
        <v>0</v>
      </c>
      <c r="AK391" s="300">
        <f t="shared" si="147"/>
        <v>0</v>
      </c>
      <c r="AL391" s="543">
        <f t="shared" si="148"/>
        <v>0</v>
      </c>
      <c r="AM391" s="10">
        <f t="shared" si="149"/>
        <v>0</v>
      </c>
      <c r="AP391" s="437">
        <f t="shared" si="150"/>
        <v>0</v>
      </c>
    </row>
    <row r="392" spans="1:42" s="11" customFormat="1" hidden="1" x14ac:dyDescent="0.3">
      <c r="A392" s="775">
        <v>313</v>
      </c>
      <c r="B392" s="775">
        <f t="shared" si="131"/>
        <v>27</v>
      </c>
      <c r="C392" s="891">
        <f t="shared" si="154"/>
        <v>0.14489675614077413</v>
      </c>
      <c r="D392" s="891"/>
      <c r="E392" s="891">
        <f t="shared" si="154"/>
        <v>0.03</v>
      </c>
      <c r="F392" s="891">
        <f t="shared" si="124"/>
        <v>0.03</v>
      </c>
      <c r="G392" s="893">
        <f t="shared" si="133"/>
        <v>1.151056494563818E-8</v>
      </c>
      <c r="H392" s="436">
        <f t="shared" si="125"/>
        <v>0</v>
      </c>
      <c r="I392" s="302">
        <f t="shared" si="126"/>
        <v>0</v>
      </c>
      <c r="J392" s="301">
        <f t="shared" si="151"/>
        <v>2.9176084758041223E-11</v>
      </c>
      <c r="K392" s="301">
        <f t="shared" si="134"/>
        <v>2.9176084758041223E-11</v>
      </c>
      <c r="L392" s="10">
        <f t="shared" si="135"/>
        <v>2.9176084758041223E-11</v>
      </c>
      <c r="M392" s="302"/>
      <c r="N392" s="435">
        <f t="shared" si="136"/>
        <v>0</v>
      </c>
      <c r="O392" s="436">
        <f t="shared" si="127"/>
        <v>0</v>
      </c>
      <c r="P392" s="436">
        <f t="shared" si="137"/>
        <v>0</v>
      </c>
      <c r="R392" s="354">
        <f>+Hirdetmény!$AA$46</f>
        <v>0.13400000000000001</v>
      </c>
      <c r="S392" s="301">
        <f t="shared" si="138"/>
        <v>0</v>
      </c>
      <c r="T392" s="301">
        <f t="shared" si="128"/>
        <v>0</v>
      </c>
      <c r="U392" s="301">
        <f t="shared" si="139"/>
        <v>0</v>
      </c>
      <c r="V392" s="301">
        <f t="shared" si="140"/>
        <v>0</v>
      </c>
      <c r="W392" s="301">
        <f t="shared" si="141"/>
        <v>0</v>
      </c>
      <c r="AA392" s="12">
        <f>+paraméterek!$B$346</f>
        <v>6.4600000000000005E-2</v>
      </c>
      <c r="AB392" s="301">
        <f t="shared" si="142"/>
        <v>0</v>
      </c>
      <c r="AC392" s="301">
        <f t="shared" si="129"/>
        <v>0</v>
      </c>
      <c r="AD392" s="301">
        <f t="shared" si="143"/>
        <v>0</v>
      </c>
      <c r="AE392" s="301">
        <f t="shared" si="144"/>
        <v>0</v>
      </c>
      <c r="AF392" s="477">
        <f t="shared" si="145"/>
        <v>0</v>
      </c>
      <c r="AI392" s="543">
        <f t="shared" si="130"/>
        <v>0</v>
      </c>
      <c r="AJ392" s="543">
        <f t="shared" si="146"/>
        <v>0</v>
      </c>
      <c r="AK392" s="300">
        <f t="shared" si="147"/>
        <v>0</v>
      </c>
      <c r="AL392" s="543">
        <f t="shared" si="148"/>
        <v>0</v>
      </c>
      <c r="AM392" s="10">
        <f t="shared" si="149"/>
        <v>0</v>
      </c>
      <c r="AP392" s="437">
        <f t="shared" si="150"/>
        <v>0</v>
      </c>
    </row>
    <row r="393" spans="1:42" s="11" customFormat="1" hidden="1" x14ac:dyDescent="0.3">
      <c r="A393" s="775">
        <v>314</v>
      </c>
      <c r="B393" s="775">
        <f t="shared" si="131"/>
        <v>27</v>
      </c>
      <c r="C393" s="891">
        <f t="shared" si="154"/>
        <v>0.14489675614077413</v>
      </c>
      <c r="D393" s="891"/>
      <c r="E393" s="891">
        <f t="shared" si="154"/>
        <v>0.03</v>
      </c>
      <c r="F393" s="891">
        <f t="shared" si="124"/>
        <v>0.03</v>
      </c>
      <c r="G393" s="893">
        <f t="shared" si="133"/>
        <v>1.151056494563818E-8</v>
      </c>
      <c r="H393" s="436">
        <f t="shared" si="125"/>
        <v>0</v>
      </c>
      <c r="I393" s="302">
        <f t="shared" si="126"/>
        <v>0</v>
      </c>
      <c r="J393" s="301">
        <f t="shared" si="151"/>
        <v>2.9176084758041223E-11</v>
      </c>
      <c r="K393" s="301">
        <f t="shared" si="134"/>
        <v>2.9176084758041223E-11</v>
      </c>
      <c r="L393" s="10">
        <f t="shared" si="135"/>
        <v>2.9176084758041223E-11</v>
      </c>
      <c r="M393" s="302"/>
      <c r="N393" s="435">
        <f t="shared" si="136"/>
        <v>0</v>
      </c>
      <c r="O393" s="436">
        <f t="shared" si="127"/>
        <v>0</v>
      </c>
      <c r="P393" s="436">
        <f t="shared" si="137"/>
        <v>0</v>
      </c>
      <c r="R393" s="354">
        <f>+Hirdetmény!$AA$46</f>
        <v>0.13400000000000001</v>
      </c>
      <c r="S393" s="301">
        <f t="shared" si="138"/>
        <v>0</v>
      </c>
      <c r="T393" s="301">
        <f t="shared" si="128"/>
        <v>0</v>
      </c>
      <c r="U393" s="301">
        <f t="shared" si="139"/>
        <v>0</v>
      </c>
      <c r="V393" s="301">
        <f t="shared" si="140"/>
        <v>0</v>
      </c>
      <c r="W393" s="301">
        <f t="shared" si="141"/>
        <v>0</v>
      </c>
      <c r="AA393" s="12">
        <f>+paraméterek!$B$346</f>
        <v>6.4600000000000005E-2</v>
      </c>
      <c r="AB393" s="301">
        <f t="shared" si="142"/>
        <v>0</v>
      </c>
      <c r="AC393" s="301">
        <f t="shared" si="129"/>
        <v>0</v>
      </c>
      <c r="AD393" s="301">
        <f t="shared" si="143"/>
        <v>0</v>
      </c>
      <c r="AE393" s="301">
        <f t="shared" si="144"/>
        <v>0</v>
      </c>
      <c r="AF393" s="477">
        <f t="shared" si="145"/>
        <v>0</v>
      </c>
      <c r="AI393" s="543">
        <f t="shared" si="130"/>
        <v>0</v>
      </c>
      <c r="AJ393" s="543">
        <f t="shared" si="146"/>
        <v>0</v>
      </c>
      <c r="AK393" s="300">
        <f t="shared" si="147"/>
        <v>0</v>
      </c>
      <c r="AL393" s="543">
        <f t="shared" si="148"/>
        <v>0</v>
      </c>
      <c r="AM393" s="10">
        <f t="shared" si="149"/>
        <v>0</v>
      </c>
      <c r="AP393" s="437">
        <f t="shared" si="150"/>
        <v>0</v>
      </c>
    </row>
    <row r="394" spans="1:42" s="11" customFormat="1" hidden="1" x14ac:dyDescent="0.3">
      <c r="A394" s="775">
        <v>315</v>
      </c>
      <c r="B394" s="775">
        <f t="shared" si="131"/>
        <v>27</v>
      </c>
      <c r="C394" s="891">
        <f t="shared" si="154"/>
        <v>0.14489675614077413</v>
      </c>
      <c r="D394" s="891"/>
      <c r="E394" s="891">
        <f t="shared" si="154"/>
        <v>0.03</v>
      </c>
      <c r="F394" s="891">
        <f t="shared" si="124"/>
        <v>0.03</v>
      </c>
      <c r="G394" s="893">
        <f t="shared" si="133"/>
        <v>1.151056494563818E-8</v>
      </c>
      <c r="H394" s="436">
        <f t="shared" si="125"/>
        <v>0</v>
      </c>
      <c r="I394" s="302">
        <f t="shared" si="126"/>
        <v>0</v>
      </c>
      <c r="J394" s="301">
        <f t="shared" si="151"/>
        <v>2.9176084758041223E-11</v>
      </c>
      <c r="K394" s="301">
        <f t="shared" si="134"/>
        <v>2.9176084758041223E-11</v>
      </c>
      <c r="L394" s="10">
        <f t="shared" si="135"/>
        <v>2.9176084758041223E-11</v>
      </c>
      <c r="M394" s="302"/>
      <c r="N394" s="435">
        <f t="shared" si="136"/>
        <v>0</v>
      </c>
      <c r="O394" s="436">
        <f t="shared" si="127"/>
        <v>0</v>
      </c>
      <c r="P394" s="436">
        <f t="shared" si="137"/>
        <v>0</v>
      </c>
      <c r="R394" s="354">
        <f>+Hirdetmény!$AA$46</f>
        <v>0.13400000000000001</v>
      </c>
      <c r="S394" s="301">
        <f t="shared" si="138"/>
        <v>0</v>
      </c>
      <c r="T394" s="301">
        <f t="shared" si="128"/>
        <v>0</v>
      </c>
      <c r="U394" s="301">
        <f t="shared" si="139"/>
        <v>0</v>
      </c>
      <c r="V394" s="301">
        <f t="shared" si="140"/>
        <v>0</v>
      </c>
      <c r="W394" s="301">
        <f t="shared" si="141"/>
        <v>0</v>
      </c>
      <c r="AA394" s="12">
        <f>+paraméterek!$B$346</f>
        <v>6.4600000000000005E-2</v>
      </c>
      <c r="AB394" s="301">
        <f t="shared" si="142"/>
        <v>0</v>
      </c>
      <c r="AC394" s="301">
        <f t="shared" si="129"/>
        <v>0</v>
      </c>
      <c r="AD394" s="301">
        <f t="shared" si="143"/>
        <v>0</v>
      </c>
      <c r="AE394" s="301">
        <f t="shared" si="144"/>
        <v>0</v>
      </c>
      <c r="AF394" s="477">
        <f t="shared" si="145"/>
        <v>0</v>
      </c>
      <c r="AI394" s="543">
        <f t="shared" si="130"/>
        <v>0</v>
      </c>
      <c r="AJ394" s="543">
        <f t="shared" si="146"/>
        <v>0</v>
      </c>
      <c r="AK394" s="300">
        <f t="shared" si="147"/>
        <v>0</v>
      </c>
      <c r="AL394" s="543">
        <f t="shared" si="148"/>
        <v>0</v>
      </c>
      <c r="AM394" s="10">
        <f t="shared" si="149"/>
        <v>0</v>
      </c>
      <c r="AP394" s="437">
        <f t="shared" si="150"/>
        <v>0</v>
      </c>
    </row>
    <row r="395" spans="1:42" s="11" customFormat="1" hidden="1" x14ac:dyDescent="0.3">
      <c r="A395" s="775">
        <v>316</v>
      </c>
      <c r="B395" s="775">
        <f t="shared" si="131"/>
        <v>27</v>
      </c>
      <c r="C395" s="891">
        <f t="shared" si="154"/>
        <v>0.14489675614077413</v>
      </c>
      <c r="D395" s="891"/>
      <c r="E395" s="891">
        <f t="shared" si="154"/>
        <v>0.03</v>
      </c>
      <c r="F395" s="891">
        <f t="shared" si="124"/>
        <v>0.03</v>
      </c>
      <c r="G395" s="893">
        <f t="shared" si="133"/>
        <v>1.151056494563818E-8</v>
      </c>
      <c r="H395" s="436">
        <f t="shared" si="125"/>
        <v>0</v>
      </c>
      <c r="I395" s="302">
        <f t="shared" si="126"/>
        <v>0</v>
      </c>
      <c r="J395" s="301">
        <f t="shared" si="151"/>
        <v>2.9176084758041223E-11</v>
      </c>
      <c r="K395" s="301">
        <f t="shared" si="134"/>
        <v>2.9176084758041223E-11</v>
      </c>
      <c r="L395" s="10">
        <f t="shared" si="135"/>
        <v>2.9176084758041223E-11</v>
      </c>
      <c r="M395" s="302"/>
      <c r="N395" s="435">
        <f t="shared" si="136"/>
        <v>0</v>
      </c>
      <c r="O395" s="436">
        <f t="shared" si="127"/>
        <v>0</v>
      </c>
      <c r="P395" s="436">
        <f t="shared" si="137"/>
        <v>0</v>
      </c>
      <c r="R395" s="354">
        <f>+Hirdetmény!$AA$46</f>
        <v>0.13400000000000001</v>
      </c>
      <c r="S395" s="301">
        <f t="shared" si="138"/>
        <v>0</v>
      </c>
      <c r="T395" s="301">
        <f t="shared" si="128"/>
        <v>0</v>
      </c>
      <c r="U395" s="301">
        <f t="shared" si="139"/>
        <v>0</v>
      </c>
      <c r="V395" s="301">
        <f t="shared" si="140"/>
        <v>0</v>
      </c>
      <c r="W395" s="301">
        <f t="shared" si="141"/>
        <v>0</v>
      </c>
      <c r="AA395" s="12">
        <f>+paraméterek!$B$346</f>
        <v>6.4600000000000005E-2</v>
      </c>
      <c r="AB395" s="301">
        <f t="shared" si="142"/>
        <v>0</v>
      </c>
      <c r="AC395" s="301">
        <f t="shared" si="129"/>
        <v>0</v>
      </c>
      <c r="AD395" s="301">
        <f t="shared" si="143"/>
        <v>0</v>
      </c>
      <c r="AE395" s="301">
        <f t="shared" si="144"/>
        <v>0</v>
      </c>
      <c r="AF395" s="477">
        <f t="shared" si="145"/>
        <v>0</v>
      </c>
      <c r="AI395" s="543">
        <f t="shared" si="130"/>
        <v>0</v>
      </c>
      <c r="AJ395" s="543">
        <f t="shared" si="146"/>
        <v>0</v>
      </c>
      <c r="AK395" s="300">
        <f t="shared" si="147"/>
        <v>0</v>
      </c>
      <c r="AL395" s="543">
        <f t="shared" si="148"/>
        <v>0</v>
      </c>
      <c r="AM395" s="10">
        <f t="shared" si="149"/>
        <v>0</v>
      </c>
      <c r="AP395" s="437">
        <f t="shared" si="150"/>
        <v>0</v>
      </c>
    </row>
    <row r="396" spans="1:42" s="11" customFormat="1" hidden="1" x14ac:dyDescent="0.3">
      <c r="A396" s="775">
        <v>317</v>
      </c>
      <c r="B396" s="775">
        <f t="shared" si="131"/>
        <v>27</v>
      </c>
      <c r="C396" s="891">
        <f t="shared" si="154"/>
        <v>0.14489675614077413</v>
      </c>
      <c r="D396" s="891"/>
      <c r="E396" s="891">
        <f t="shared" si="154"/>
        <v>0.03</v>
      </c>
      <c r="F396" s="891">
        <f t="shared" si="124"/>
        <v>0.03</v>
      </c>
      <c r="G396" s="893">
        <f t="shared" si="133"/>
        <v>1.151056494563818E-8</v>
      </c>
      <c r="H396" s="436">
        <f t="shared" si="125"/>
        <v>0</v>
      </c>
      <c r="I396" s="302">
        <f t="shared" si="126"/>
        <v>0</v>
      </c>
      <c r="J396" s="301">
        <f t="shared" si="151"/>
        <v>2.9176084758041223E-11</v>
      </c>
      <c r="K396" s="301">
        <f t="shared" si="134"/>
        <v>2.9176084758041223E-11</v>
      </c>
      <c r="L396" s="10">
        <f t="shared" si="135"/>
        <v>2.9176084758041223E-11</v>
      </c>
      <c r="M396" s="302"/>
      <c r="N396" s="435">
        <f t="shared" si="136"/>
        <v>0</v>
      </c>
      <c r="O396" s="436">
        <f t="shared" si="127"/>
        <v>0</v>
      </c>
      <c r="P396" s="436">
        <f t="shared" si="137"/>
        <v>0</v>
      </c>
      <c r="R396" s="354">
        <f>+Hirdetmény!$AA$46</f>
        <v>0.13400000000000001</v>
      </c>
      <c r="S396" s="301">
        <f t="shared" si="138"/>
        <v>0</v>
      </c>
      <c r="T396" s="301">
        <f t="shared" si="128"/>
        <v>0</v>
      </c>
      <c r="U396" s="301">
        <f t="shared" si="139"/>
        <v>0</v>
      </c>
      <c r="V396" s="301">
        <f t="shared" si="140"/>
        <v>0</v>
      </c>
      <c r="W396" s="301">
        <f t="shared" si="141"/>
        <v>0</v>
      </c>
      <c r="AA396" s="12">
        <f>+paraméterek!$B$346</f>
        <v>6.4600000000000005E-2</v>
      </c>
      <c r="AB396" s="301">
        <f t="shared" si="142"/>
        <v>0</v>
      </c>
      <c r="AC396" s="301">
        <f t="shared" si="129"/>
        <v>0</v>
      </c>
      <c r="AD396" s="301">
        <f t="shared" si="143"/>
        <v>0</v>
      </c>
      <c r="AE396" s="301">
        <f t="shared" si="144"/>
        <v>0</v>
      </c>
      <c r="AF396" s="477">
        <f t="shared" si="145"/>
        <v>0</v>
      </c>
      <c r="AI396" s="543">
        <f t="shared" si="130"/>
        <v>0</v>
      </c>
      <c r="AJ396" s="543">
        <f t="shared" si="146"/>
        <v>0</v>
      </c>
      <c r="AK396" s="300">
        <f t="shared" si="147"/>
        <v>0</v>
      </c>
      <c r="AL396" s="543">
        <f t="shared" si="148"/>
        <v>0</v>
      </c>
      <c r="AM396" s="10">
        <f t="shared" si="149"/>
        <v>0</v>
      </c>
      <c r="AP396" s="437">
        <f t="shared" si="150"/>
        <v>0</v>
      </c>
    </row>
    <row r="397" spans="1:42" s="11" customFormat="1" hidden="1" x14ac:dyDescent="0.3">
      <c r="A397" s="775">
        <v>318</v>
      </c>
      <c r="B397" s="775">
        <f t="shared" si="131"/>
        <v>27</v>
      </c>
      <c r="C397" s="891">
        <f t="shared" si="154"/>
        <v>0.14489675614077413</v>
      </c>
      <c r="D397" s="891"/>
      <c r="E397" s="891">
        <f t="shared" si="154"/>
        <v>0.03</v>
      </c>
      <c r="F397" s="891">
        <f t="shared" si="124"/>
        <v>0.03</v>
      </c>
      <c r="G397" s="893">
        <f t="shared" si="133"/>
        <v>1.151056494563818E-8</v>
      </c>
      <c r="H397" s="436">
        <f t="shared" si="125"/>
        <v>0</v>
      </c>
      <c r="I397" s="302">
        <f t="shared" si="126"/>
        <v>0</v>
      </c>
      <c r="J397" s="301">
        <f t="shared" si="151"/>
        <v>2.9176084758041223E-11</v>
      </c>
      <c r="K397" s="301">
        <f t="shared" si="134"/>
        <v>2.9176084758041223E-11</v>
      </c>
      <c r="L397" s="10">
        <f t="shared" si="135"/>
        <v>2.9176084758041223E-11</v>
      </c>
      <c r="M397" s="302"/>
      <c r="N397" s="435">
        <f t="shared" si="136"/>
        <v>0</v>
      </c>
      <c r="O397" s="436">
        <f t="shared" si="127"/>
        <v>0</v>
      </c>
      <c r="P397" s="436">
        <f t="shared" si="137"/>
        <v>0</v>
      </c>
      <c r="R397" s="354">
        <f>+Hirdetmény!$AA$46</f>
        <v>0.13400000000000001</v>
      </c>
      <c r="S397" s="301">
        <f t="shared" si="138"/>
        <v>0</v>
      </c>
      <c r="T397" s="301">
        <f t="shared" si="128"/>
        <v>0</v>
      </c>
      <c r="U397" s="301">
        <f t="shared" si="139"/>
        <v>0</v>
      </c>
      <c r="V397" s="301">
        <f t="shared" si="140"/>
        <v>0</v>
      </c>
      <c r="W397" s="301">
        <f t="shared" si="141"/>
        <v>0</v>
      </c>
      <c r="AA397" s="12">
        <f>+paraméterek!$B$346</f>
        <v>6.4600000000000005E-2</v>
      </c>
      <c r="AB397" s="301">
        <f t="shared" si="142"/>
        <v>0</v>
      </c>
      <c r="AC397" s="301">
        <f t="shared" si="129"/>
        <v>0</v>
      </c>
      <c r="AD397" s="301">
        <f t="shared" si="143"/>
        <v>0</v>
      </c>
      <c r="AE397" s="301">
        <f t="shared" si="144"/>
        <v>0</v>
      </c>
      <c r="AF397" s="477">
        <f t="shared" si="145"/>
        <v>0</v>
      </c>
      <c r="AI397" s="543">
        <f t="shared" si="130"/>
        <v>0</v>
      </c>
      <c r="AJ397" s="543">
        <f t="shared" si="146"/>
        <v>0</v>
      </c>
      <c r="AK397" s="300">
        <f t="shared" si="147"/>
        <v>0</v>
      </c>
      <c r="AL397" s="543">
        <f t="shared" si="148"/>
        <v>0</v>
      </c>
      <c r="AM397" s="10">
        <f t="shared" si="149"/>
        <v>0</v>
      </c>
      <c r="AN397" s="4"/>
      <c r="AP397" s="437">
        <f t="shared" si="150"/>
        <v>0</v>
      </c>
    </row>
    <row r="398" spans="1:42" s="11" customFormat="1" hidden="1" x14ac:dyDescent="0.3">
      <c r="A398" s="775">
        <v>319</v>
      </c>
      <c r="B398" s="775">
        <f t="shared" si="131"/>
        <v>27</v>
      </c>
      <c r="C398" s="891">
        <f t="shared" si="154"/>
        <v>0.14489675614077413</v>
      </c>
      <c r="D398" s="891"/>
      <c r="E398" s="891">
        <f t="shared" si="154"/>
        <v>0.03</v>
      </c>
      <c r="F398" s="891">
        <f t="shared" si="124"/>
        <v>0.03</v>
      </c>
      <c r="G398" s="893">
        <f t="shared" si="133"/>
        <v>1.151056494563818E-8</v>
      </c>
      <c r="H398" s="436">
        <f t="shared" si="125"/>
        <v>0</v>
      </c>
      <c r="I398" s="302">
        <f t="shared" si="126"/>
        <v>0</v>
      </c>
      <c r="J398" s="301">
        <f t="shared" si="151"/>
        <v>2.9176084758041223E-11</v>
      </c>
      <c r="K398" s="301">
        <f t="shared" si="134"/>
        <v>2.9176084758041223E-11</v>
      </c>
      <c r="L398" s="10">
        <f t="shared" si="135"/>
        <v>2.9176084758041223E-11</v>
      </c>
      <c r="M398" s="302"/>
      <c r="N398" s="435">
        <f t="shared" si="136"/>
        <v>0</v>
      </c>
      <c r="O398" s="436">
        <f t="shared" si="127"/>
        <v>0</v>
      </c>
      <c r="P398" s="436">
        <f t="shared" si="137"/>
        <v>0</v>
      </c>
      <c r="R398" s="354">
        <f>+Hirdetmény!$AA$46</f>
        <v>0.13400000000000001</v>
      </c>
      <c r="S398" s="301">
        <f t="shared" si="138"/>
        <v>0</v>
      </c>
      <c r="T398" s="301">
        <f t="shared" si="128"/>
        <v>0</v>
      </c>
      <c r="U398" s="301">
        <f t="shared" si="139"/>
        <v>0</v>
      </c>
      <c r="V398" s="301">
        <f t="shared" si="140"/>
        <v>0</v>
      </c>
      <c r="W398" s="301">
        <f t="shared" si="141"/>
        <v>0</v>
      </c>
      <c r="AA398" s="12">
        <f>+paraméterek!$B$346</f>
        <v>6.4600000000000005E-2</v>
      </c>
      <c r="AB398" s="301">
        <f t="shared" si="142"/>
        <v>0</v>
      </c>
      <c r="AC398" s="301">
        <f t="shared" si="129"/>
        <v>0</v>
      </c>
      <c r="AD398" s="301">
        <f t="shared" si="143"/>
        <v>0</v>
      </c>
      <c r="AE398" s="301">
        <f t="shared" si="144"/>
        <v>0</v>
      </c>
      <c r="AF398" s="477">
        <f t="shared" si="145"/>
        <v>0</v>
      </c>
      <c r="AI398" s="543">
        <f t="shared" si="130"/>
        <v>0</v>
      </c>
      <c r="AJ398" s="543">
        <f t="shared" si="146"/>
        <v>0</v>
      </c>
      <c r="AK398" s="300">
        <f t="shared" si="147"/>
        <v>0</v>
      </c>
      <c r="AL398" s="543">
        <f t="shared" si="148"/>
        <v>0</v>
      </c>
      <c r="AM398" s="10">
        <f t="shared" si="149"/>
        <v>0</v>
      </c>
      <c r="AN398" s="4"/>
      <c r="AP398" s="437">
        <f t="shared" si="150"/>
        <v>0</v>
      </c>
    </row>
    <row r="399" spans="1:42" s="11" customFormat="1" hidden="1" x14ac:dyDescent="0.3">
      <c r="A399" s="775">
        <v>320</v>
      </c>
      <c r="B399" s="775">
        <f t="shared" si="131"/>
        <v>27</v>
      </c>
      <c r="C399" s="891">
        <f t="shared" si="154"/>
        <v>0.14489675614077413</v>
      </c>
      <c r="D399" s="891"/>
      <c r="E399" s="891">
        <f t="shared" si="154"/>
        <v>0.03</v>
      </c>
      <c r="F399" s="891">
        <f t="shared" si="124"/>
        <v>0.03</v>
      </c>
      <c r="G399" s="893">
        <f t="shared" si="133"/>
        <v>1.151056494563818E-8</v>
      </c>
      <c r="H399" s="436">
        <f t="shared" si="125"/>
        <v>0</v>
      </c>
      <c r="I399" s="302">
        <f t="shared" si="126"/>
        <v>0</v>
      </c>
      <c r="J399" s="301">
        <f t="shared" si="151"/>
        <v>2.9176084758041223E-11</v>
      </c>
      <c r="K399" s="301">
        <f t="shared" si="134"/>
        <v>2.9176084758041223E-11</v>
      </c>
      <c r="L399" s="10">
        <f t="shared" si="135"/>
        <v>2.9176084758041223E-11</v>
      </c>
      <c r="M399" s="302"/>
      <c r="N399" s="435">
        <f t="shared" si="136"/>
        <v>0</v>
      </c>
      <c r="O399" s="436">
        <f t="shared" si="127"/>
        <v>0</v>
      </c>
      <c r="P399" s="436">
        <f t="shared" si="137"/>
        <v>0</v>
      </c>
      <c r="R399" s="354">
        <f>+Hirdetmény!$AA$46</f>
        <v>0.13400000000000001</v>
      </c>
      <c r="S399" s="301">
        <f t="shared" si="138"/>
        <v>0</v>
      </c>
      <c r="T399" s="301">
        <f t="shared" si="128"/>
        <v>0</v>
      </c>
      <c r="U399" s="301">
        <f t="shared" si="139"/>
        <v>0</v>
      </c>
      <c r="V399" s="301">
        <f t="shared" si="140"/>
        <v>0</v>
      </c>
      <c r="W399" s="301">
        <f t="shared" si="141"/>
        <v>0</v>
      </c>
      <c r="AA399" s="12">
        <f>+paraméterek!$B$346</f>
        <v>6.4600000000000005E-2</v>
      </c>
      <c r="AB399" s="301">
        <f t="shared" si="142"/>
        <v>0</v>
      </c>
      <c r="AC399" s="301">
        <f t="shared" si="129"/>
        <v>0</v>
      </c>
      <c r="AD399" s="301">
        <f t="shared" si="143"/>
        <v>0</v>
      </c>
      <c r="AE399" s="301">
        <f t="shared" si="144"/>
        <v>0</v>
      </c>
      <c r="AF399" s="477">
        <f t="shared" si="145"/>
        <v>0</v>
      </c>
      <c r="AI399" s="543">
        <f t="shared" si="130"/>
        <v>0</v>
      </c>
      <c r="AJ399" s="543">
        <f t="shared" si="146"/>
        <v>0</v>
      </c>
      <c r="AK399" s="300">
        <f t="shared" si="147"/>
        <v>0</v>
      </c>
      <c r="AL399" s="543">
        <f t="shared" si="148"/>
        <v>0</v>
      </c>
      <c r="AM399" s="10">
        <f t="shared" si="149"/>
        <v>0</v>
      </c>
      <c r="AN399" s="4"/>
      <c r="AP399" s="437">
        <f t="shared" si="150"/>
        <v>0</v>
      </c>
    </row>
    <row r="400" spans="1:42" s="11" customFormat="1" hidden="1" x14ac:dyDescent="0.3">
      <c r="A400" s="775">
        <v>321</v>
      </c>
      <c r="B400" s="775">
        <f t="shared" si="131"/>
        <v>27</v>
      </c>
      <c r="C400" s="891">
        <f t="shared" si="154"/>
        <v>0.14489675614077413</v>
      </c>
      <c r="D400" s="891"/>
      <c r="E400" s="891">
        <f t="shared" si="154"/>
        <v>0.03</v>
      </c>
      <c r="F400" s="891">
        <f t="shared" ref="F400:F463" si="155">$F$7</f>
        <v>0.03</v>
      </c>
      <c r="G400" s="893">
        <f t="shared" si="133"/>
        <v>1.151056494563818E-8</v>
      </c>
      <c r="H400" s="436">
        <f t="shared" ref="H400:H463" si="156">IF(A400&lt;=$B$16,0,IF(A400&lt;=$B$10,PPMT(F400/360*(365/12),A400-$B$16,$B$10-$B$16,-$G$79),0))</f>
        <v>0</v>
      </c>
      <c r="I400" s="302">
        <f t="shared" ref="I400:I463" si="157">+IF(A400=$B$10,$C$47,0)</f>
        <v>0</v>
      </c>
      <c r="J400" s="301">
        <f t="shared" si="151"/>
        <v>2.9176084758041223E-11</v>
      </c>
      <c r="K400" s="301">
        <f t="shared" si="134"/>
        <v>2.9176084758041223E-11</v>
      </c>
      <c r="L400" s="10">
        <f t="shared" si="135"/>
        <v>2.9176084758041223E-11</v>
      </c>
      <c r="M400" s="302"/>
      <c r="N400" s="435">
        <f t="shared" si="136"/>
        <v>0</v>
      </c>
      <c r="O400" s="436">
        <f t="shared" ref="O400:O463" si="158">IF(A400&lt;=$B$10,$B$54,0)</f>
        <v>0</v>
      </c>
      <c r="P400" s="436">
        <f t="shared" si="137"/>
        <v>0</v>
      </c>
      <c r="R400" s="354">
        <f>+Hirdetmény!$AA$46</f>
        <v>0.13400000000000001</v>
      </c>
      <c r="S400" s="301">
        <f t="shared" si="138"/>
        <v>0</v>
      </c>
      <c r="T400" s="301">
        <f t="shared" ref="T400:T463" si="159">IF(A400&lt;=$B$10,IF(A400&gt;$B$16,PPMT(R400/360*(365/12),1,$B$10-A399,S399,$C$47*-1),0)*-1,0)</f>
        <v>0</v>
      </c>
      <c r="U400" s="301">
        <f t="shared" si="139"/>
        <v>0</v>
      </c>
      <c r="V400" s="301">
        <f t="shared" si="140"/>
        <v>0</v>
      </c>
      <c r="W400" s="301">
        <f t="shared" si="141"/>
        <v>0</v>
      </c>
      <c r="AA400" s="12">
        <f>+paraméterek!$B$346</f>
        <v>6.4600000000000005E-2</v>
      </c>
      <c r="AB400" s="301">
        <f t="shared" si="142"/>
        <v>0</v>
      </c>
      <c r="AC400" s="301">
        <f t="shared" ref="AC400:AC463" si="160">IF(A400&lt;=$B$10,IF(A400&gt;$B$16,PPMT(AA400/360*(365/12),1,$B$10-A399,AB399,$C$47*-1),0)*-1,0)</f>
        <v>0</v>
      </c>
      <c r="AD400" s="301">
        <f t="shared" si="143"/>
        <v>0</v>
      </c>
      <c r="AE400" s="301">
        <f t="shared" si="144"/>
        <v>0</v>
      </c>
      <c r="AF400" s="477">
        <f t="shared" si="145"/>
        <v>0</v>
      </c>
      <c r="AI400" s="543">
        <f t="shared" ref="AI400:AI463" si="161">IF(A400&lt;=24,0,IF(A400&lt;=$B$10,IF(A400&gt;$G$22,PPMT(E400/360*(365/12),1,$B$10-A399,AK399,$G$16*-1),0)*-1,0))</f>
        <v>0</v>
      </c>
      <c r="AJ400" s="543">
        <f t="shared" si="146"/>
        <v>0</v>
      </c>
      <c r="AK400" s="300">
        <f t="shared" si="147"/>
        <v>0</v>
      </c>
      <c r="AL400" s="543">
        <f t="shared" si="148"/>
        <v>0</v>
      </c>
      <c r="AM400" s="10">
        <f t="shared" si="149"/>
        <v>0</v>
      </c>
      <c r="AN400" s="4"/>
      <c r="AP400" s="437">
        <f t="shared" si="150"/>
        <v>0</v>
      </c>
    </row>
    <row r="401" spans="1:42" s="11" customFormat="1" hidden="1" x14ac:dyDescent="0.3">
      <c r="A401" s="775">
        <v>322</v>
      </c>
      <c r="B401" s="775">
        <f t="shared" ref="B401:B464" si="162">+ROUNDUP(A401/12,0)</f>
        <v>27</v>
      </c>
      <c r="C401" s="891">
        <f t="shared" ref="C401:E416" si="163">+C400</f>
        <v>0.14489675614077413</v>
      </c>
      <c r="D401" s="891"/>
      <c r="E401" s="891">
        <f t="shared" si="163"/>
        <v>0.03</v>
      </c>
      <c r="F401" s="891">
        <f t="shared" si="155"/>
        <v>0.03</v>
      </c>
      <c r="G401" s="893">
        <f t="shared" ref="G401:G464" si="164">+G400-H401-I401</f>
        <v>1.151056494563818E-8</v>
      </c>
      <c r="H401" s="436">
        <f t="shared" si="156"/>
        <v>0</v>
      </c>
      <c r="I401" s="302">
        <f t="shared" si="157"/>
        <v>0</v>
      </c>
      <c r="J401" s="301">
        <f t="shared" si="151"/>
        <v>2.9176084758041223E-11</v>
      </c>
      <c r="K401" s="301">
        <f t="shared" ref="K401:K464" si="165">+(H401+J401)+IF($B$15="nem",$B$58,IF(A401&lt;$B$16+1,$B$57,$B$58)+O401)+P401+I401</f>
        <v>2.9176084758041223E-11</v>
      </c>
      <c r="L401" s="10">
        <f t="shared" ref="L401:L464" si="166">H401+I401+J401</f>
        <v>2.9176084758041223E-11</v>
      </c>
      <c r="M401" s="302"/>
      <c r="N401" s="435">
        <f t="shared" ref="N401:N464" si="167">IF(A401&lt;=$B$10,PMT($F$7*365/360/12,$B$10,-$F$66)+O401+P401+$F$52)+IF($B$15="nem",$B$58,IF(A401&lt;$B$16+1,$B$57,$B$58))</f>
        <v>0</v>
      </c>
      <c r="O401" s="436">
        <f t="shared" si="158"/>
        <v>0</v>
      </c>
      <c r="P401" s="436">
        <f t="shared" ref="P401:P464" si="168">IF(A401&lt;=$B$10,IF($B$30="havi",$B$28,0)+IF($B$30="negyedéves",$B$28,0)+IF($B$30="féléves",$B$28,0)+IF($B$66="éves",$B$28,0),0)</f>
        <v>0</v>
      </c>
      <c r="R401" s="354">
        <f>+Hirdetmény!$AA$46</f>
        <v>0.13400000000000001</v>
      </c>
      <c r="S401" s="301">
        <f t="shared" ref="S401:S464" si="169">+S400-T401</f>
        <v>0</v>
      </c>
      <c r="T401" s="301">
        <f t="shared" si="159"/>
        <v>0</v>
      </c>
      <c r="U401" s="301">
        <f t="shared" ref="U401:U464" si="170">+S400*R401/360*(365/12)</f>
        <v>0</v>
      </c>
      <c r="V401" s="301">
        <f t="shared" ref="V401:V464" si="171">+T401+U401</f>
        <v>0</v>
      </c>
      <c r="W401" s="301">
        <f t="shared" ref="W401:W464" si="172">+V401+IF($B$15="nem",$B$58,IF(A401&lt;$B$16+1,$B$57,$B$58))+IF(A401&lt;=$B$10,$B$54+$F$52+P401,0)</f>
        <v>0</v>
      </c>
      <c r="AA401" s="12">
        <f>+paraméterek!$B$346</f>
        <v>6.4600000000000005E-2</v>
      </c>
      <c r="AB401" s="301">
        <f t="shared" ref="AB401:AB464" si="173">+AB400-AC401</f>
        <v>0</v>
      </c>
      <c r="AC401" s="301">
        <f t="shared" si="160"/>
        <v>0</v>
      </c>
      <c r="AD401" s="301">
        <f t="shared" ref="AD401:AD464" si="174">+AB400*AA401/360*(365/12)</f>
        <v>0</v>
      </c>
      <c r="AE401" s="301">
        <f t="shared" ref="AE401:AE464" si="175">+AC401+AD401</f>
        <v>0</v>
      </c>
      <c r="AF401" s="477">
        <f t="shared" ref="AF401:AF464" si="176">+AE401+IF($B$15="nem",$B$58,IF(A401&lt;$B$16+1,$B$57,$B$58)+IF(A401&lt;=$B$10,$B$54+$F$52+P401,0))</f>
        <v>0</v>
      </c>
      <c r="AI401" s="543">
        <f t="shared" si="161"/>
        <v>0</v>
      </c>
      <c r="AJ401" s="543">
        <f t="shared" ref="AJ401:AJ464" si="177">+AK400*E401/360*(365/12)</f>
        <v>0</v>
      </c>
      <c r="AK401" s="300">
        <f t="shared" ref="AK401:AK464" si="178">AK400-AI401</f>
        <v>0</v>
      </c>
      <c r="AL401" s="543">
        <f t="shared" ref="AL401:AL464" si="179">AI401+AJ401</f>
        <v>0</v>
      </c>
      <c r="AM401" s="10">
        <f t="shared" ref="AM401:AM464" si="180">AL401+IF($B$15="nem",$B$58,IF(A401&lt;$B$16+1,$B$57,$B$58)+IF(A401&lt;=$B$10,$B$54+$F$52+P401,0))</f>
        <v>0</v>
      </c>
      <c r="AN401" s="4"/>
      <c r="AP401" s="437">
        <f t="shared" ref="AP401:AP464" si="181">+V401+IF($B$15="nem",$B$58,IF(A401&lt;$B$16+1,$B$57,$B$58)+O401)+IF(A401&gt;$B$10,0,IF($B$28=0,$F$58,$B$28)+I401)</f>
        <v>0</v>
      </c>
    </row>
    <row r="402" spans="1:42" s="11" customFormat="1" hidden="1" x14ac:dyDescent="0.3">
      <c r="A402" s="775">
        <v>323</v>
      </c>
      <c r="B402" s="775">
        <f t="shared" si="162"/>
        <v>27</v>
      </c>
      <c r="C402" s="891">
        <f t="shared" si="163"/>
        <v>0.14489675614077413</v>
      </c>
      <c r="D402" s="891"/>
      <c r="E402" s="891">
        <f t="shared" si="163"/>
        <v>0.03</v>
      </c>
      <c r="F402" s="891">
        <f t="shared" si="155"/>
        <v>0.03</v>
      </c>
      <c r="G402" s="893">
        <f t="shared" si="164"/>
        <v>1.151056494563818E-8</v>
      </c>
      <c r="H402" s="436">
        <f t="shared" si="156"/>
        <v>0</v>
      </c>
      <c r="I402" s="302">
        <f t="shared" si="157"/>
        <v>0</v>
      </c>
      <c r="J402" s="301">
        <f t="shared" ref="J402:J465" si="182">+G401*F402/360*(365/12)</f>
        <v>2.9176084758041223E-11</v>
      </c>
      <c r="K402" s="301">
        <f t="shared" si="165"/>
        <v>2.9176084758041223E-11</v>
      </c>
      <c r="L402" s="10">
        <f t="shared" si="166"/>
        <v>2.9176084758041223E-11</v>
      </c>
      <c r="M402" s="302"/>
      <c r="N402" s="435">
        <f t="shared" si="167"/>
        <v>0</v>
      </c>
      <c r="O402" s="436">
        <f t="shared" si="158"/>
        <v>0</v>
      </c>
      <c r="P402" s="436">
        <f t="shared" si="168"/>
        <v>0</v>
      </c>
      <c r="R402" s="354">
        <f>+Hirdetmény!$AA$46</f>
        <v>0.13400000000000001</v>
      </c>
      <c r="S402" s="301">
        <f t="shared" si="169"/>
        <v>0</v>
      </c>
      <c r="T402" s="301">
        <f t="shared" si="159"/>
        <v>0</v>
      </c>
      <c r="U402" s="301">
        <f t="shared" si="170"/>
        <v>0</v>
      </c>
      <c r="V402" s="301">
        <f t="shared" si="171"/>
        <v>0</v>
      </c>
      <c r="W402" s="301">
        <f t="shared" si="172"/>
        <v>0</v>
      </c>
      <c r="AA402" s="12">
        <f>+paraméterek!$B$346</f>
        <v>6.4600000000000005E-2</v>
      </c>
      <c r="AB402" s="301">
        <f t="shared" si="173"/>
        <v>0</v>
      </c>
      <c r="AC402" s="301">
        <f t="shared" si="160"/>
        <v>0</v>
      </c>
      <c r="AD402" s="301">
        <f t="shared" si="174"/>
        <v>0</v>
      </c>
      <c r="AE402" s="301">
        <f t="shared" si="175"/>
        <v>0</v>
      </c>
      <c r="AF402" s="477">
        <f t="shared" si="176"/>
        <v>0</v>
      </c>
      <c r="AI402" s="543">
        <f t="shared" si="161"/>
        <v>0</v>
      </c>
      <c r="AJ402" s="543">
        <f t="shared" si="177"/>
        <v>0</v>
      </c>
      <c r="AK402" s="300">
        <f t="shared" si="178"/>
        <v>0</v>
      </c>
      <c r="AL402" s="543">
        <f t="shared" si="179"/>
        <v>0</v>
      </c>
      <c r="AM402" s="10">
        <f t="shared" si="180"/>
        <v>0</v>
      </c>
      <c r="AN402" s="4"/>
      <c r="AP402" s="437">
        <f t="shared" si="181"/>
        <v>0</v>
      </c>
    </row>
    <row r="403" spans="1:42" s="11" customFormat="1" hidden="1" x14ac:dyDescent="0.3">
      <c r="A403" s="775">
        <v>324</v>
      </c>
      <c r="B403" s="775">
        <f t="shared" si="162"/>
        <v>27</v>
      </c>
      <c r="C403" s="891">
        <f t="shared" si="163"/>
        <v>0.14489675614077413</v>
      </c>
      <c r="D403" s="891"/>
      <c r="E403" s="891">
        <f t="shared" si="163"/>
        <v>0.03</v>
      </c>
      <c r="F403" s="891">
        <f t="shared" si="155"/>
        <v>0.03</v>
      </c>
      <c r="G403" s="893">
        <f t="shared" si="164"/>
        <v>1.151056494563818E-8</v>
      </c>
      <c r="H403" s="436">
        <f t="shared" si="156"/>
        <v>0</v>
      </c>
      <c r="I403" s="302">
        <f t="shared" si="157"/>
        <v>0</v>
      </c>
      <c r="J403" s="301">
        <f t="shared" si="182"/>
        <v>2.9176084758041223E-11</v>
      </c>
      <c r="K403" s="301">
        <f t="shared" si="165"/>
        <v>2.9176084758041223E-11</v>
      </c>
      <c r="L403" s="10">
        <f t="shared" si="166"/>
        <v>2.9176084758041223E-11</v>
      </c>
      <c r="M403" s="302"/>
      <c r="N403" s="435">
        <f t="shared" si="167"/>
        <v>0</v>
      </c>
      <c r="O403" s="436">
        <f t="shared" si="158"/>
        <v>0</v>
      </c>
      <c r="P403" s="436">
        <f t="shared" si="168"/>
        <v>0</v>
      </c>
      <c r="R403" s="354">
        <f>+Hirdetmény!$AA$46</f>
        <v>0.13400000000000001</v>
      </c>
      <c r="S403" s="301">
        <f t="shared" si="169"/>
        <v>0</v>
      </c>
      <c r="T403" s="301">
        <f t="shared" si="159"/>
        <v>0</v>
      </c>
      <c r="U403" s="301">
        <f t="shared" si="170"/>
        <v>0</v>
      </c>
      <c r="V403" s="301">
        <f t="shared" si="171"/>
        <v>0</v>
      </c>
      <c r="W403" s="301">
        <f t="shared" si="172"/>
        <v>0</v>
      </c>
      <c r="AA403" s="12">
        <f>+paraméterek!$B$346</f>
        <v>6.4600000000000005E-2</v>
      </c>
      <c r="AB403" s="301">
        <f t="shared" si="173"/>
        <v>0</v>
      </c>
      <c r="AC403" s="301">
        <f t="shared" si="160"/>
        <v>0</v>
      </c>
      <c r="AD403" s="301">
        <f t="shared" si="174"/>
        <v>0</v>
      </c>
      <c r="AE403" s="301">
        <f t="shared" si="175"/>
        <v>0</v>
      </c>
      <c r="AF403" s="477">
        <f t="shared" si="176"/>
        <v>0</v>
      </c>
      <c r="AI403" s="543">
        <f t="shared" si="161"/>
        <v>0</v>
      </c>
      <c r="AJ403" s="543">
        <f t="shared" si="177"/>
        <v>0</v>
      </c>
      <c r="AK403" s="300">
        <f t="shared" si="178"/>
        <v>0</v>
      </c>
      <c r="AL403" s="543">
        <f t="shared" si="179"/>
        <v>0</v>
      </c>
      <c r="AM403" s="10">
        <f t="shared" si="180"/>
        <v>0</v>
      </c>
      <c r="AN403" s="4"/>
      <c r="AP403" s="437">
        <f t="shared" si="181"/>
        <v>0</v>
      </c>
    </row>
    <row r="404" spans="1:42" s="11" customFormat="1" hidden="1" x14ac:dyDescent="0.3">
      <c r="A404" s="775">
        <v>325</v>
      </c>
      <c r="B404" s="775">
        <f t="shared" si="162"/>
        <v>28</v>
      </c>
      <c r="C404" s="891">
        <f t="shared" si="163"/>
        <v>0.14489675614077413</v>
      </c>
      <c r="D404" s="891"/>
      <c r="E404" s="891">
        <f t="shared" si="163"/>
        <v>0.03</v>
      </c>
      <c r="F404" s="891">
        <f t="shared" si="155"/>
        <v>0.03</v>
      </c>
      <c r="G404" s="893">
        <f t="shared" si="164"/>
        <v>1.151056494563818E-8</v>
      </c>
      <c r="H404" s="436">
        <f t="shared" si="156"/>
        <v>0</v>
      </c>
      <c r="I404" s="302">
        <f t="shared" si="157"/>
        <v>0</v>
      </c>
      <c r="J404" s="301">
        <f t="shared" si="182"/>
        <v>2.9176084758041223E-11</v>
      </c>
      <c r="K404" s="301">
        <f t="shared" si="165"/>
        <v>2.9176084758041223E-11</v>
      </c>
      <c r="L404" s="10">
        <f t="shared" si="166"/>
        <v>2.9176084758041223E-11</v>
      </c>
      <c r="M404" s="302"/>
      <c r="N404" s="435">
        <f t="shared" si="167"/>
        <v>0</v>
      </c>
      <c r="O404" s="436">
        <f t="shared" si="158"/>
        <v>0</v>
      </c>
      <c r="P404" s="436">
        <f t="shared" si="168"/>
        <v>0</v>
      </c>
      <c r="R404" s="354">
        <f>+Hirdetmény!$AA$46</f>
        <v>0.13400000000000001</v>
      </c>
      <c r="S404" s="301">
        <f t="shared" si="169"/>
        <v>0</v>
      </c>
      <c r="T404" s="301">
        <f t="shared" si="159"/>
        <v>0</v>
      </c>
      <c r="U404" s="301">
        <f t="shared" si="170"/>
        <v>0</v>
      </c>
      <c r="V404" s="301">
        <f t="shared" si="171"/>
        <v>0</v>
      </c>
      <c r="W404" s="301">
        <f t="shared" si="172"/>
        <v>0</v>
      </c>
      <c r="AA404" s="12">
        <f>+paraméterek!$B$346</f>
        <v>6.4600000000000005E-2</v>
      </c>
      <c r="AB404" s="301">
        <f t="shared" si="173"/>
        <v>0</v>
      </c>
      <c r="AC404" s="301">
        <f t="shared" si="160"/>
        <v>0</v>
      </c>
      <c r="AD404" s="301">
        <f t="shared" si="174"/>
        <v>0</v>
      </c>
      <c r="AE404" s="301">
        <f t="shared" si="175"/>
        <v>0</v>
      </c>
      <c r="AF404" s="477">
        <f t="shared" si="176"/>
        <v>0</v>
      </c>
      <c r="AI404" s="543">
        <f t="shared" si="161"/>
        <v>0</v>
      </c>
      <c r="AJ404" s="543">
        <f t="shared" si="177"/>
        <v>0</v>
      </c>
      <c r="AK404" s="300">
        <f t="shared" si="178"/>
        <v>0</v>
      </c>
      <c r="AL404" s="543">
        <f t="shared" si="179"/>
        <v>0</v>
      </c>
      <c r="AM404" s="10">
        <f t="shared" si="180"/>
        <v>0</v>
      </c>
      <c r="AN404" s="4"/>
      <c r="AP404" s="437">
        <f t="shared" si="181"/>
        <v>0</v>
      </c>
    </row>
    <row r="405" spans="1:42" s="11" customFormat="1" hidden="1" x14ac:dyDescent="0.3">
      <c r="A405" s="775">
        <v>326</v>
      </c>
      <c r="B405" s="775">
        <f t="shared" si="162"/>
        <v>28</v>
      </c>
      <c r="C405" s="891">
        <f t="shared" si="163"/>
        <v>0.14489675614077413</v>
      </c>
      <c r="D405" s="891"/>
      <c r="E405" s="891">
        <f t="shared" si="163"/>
        <v>0.03</v>
      </c>
      <c r="F405" s="891">
        <f t="shared" si="155"/>
        <v>0.03</v>
      </c>
      <c r="G405" s="893">
        <f t="shared" si="164"/>
        <v>1.151056494563818E-8</v>
      </c>
      <c r="H405" s="436">
        <f t="shared" si="156"/>
        <v>0</v>
      </c>
      <c r="I405" s="302">
        <f t="shared" si="157"/>
        <v>0</v>
      </c>
      <c r="J405" s="301">
        <f t="shared" si="182"/>
        <v>2.9176084758041223E-11</v>
      </c>
      <c r="K405" s="301">
        <f t="shared" si="165"/>
        <v>2.9176084758041223E-11</v>
      </c>
      <c r="L405" s="10">
        <f t="shared" si="166"/>
        <v>2.9176084758041223E-11</v>
      </c>
      <c r="M405" s="302"/>
      <c r="N405" s="435">
        <f t="shared" si="167"/>
        <v>0</v>
      </c>
      <c r="O405" s="436">
        <f t="shared" si="158"/>
        <v>0</v>
      </c>
      <c r="P405" s="436">
        <f t="shared" si="168"/>
        <v>0</v>
      </c>
      <c r="R405" s="354">
        <f>+Hirdetmény!$AA$46</f>
        <v>0.13400000000000001</v>
      </c>
      <c r="S405" s="301">
        <f t="shared" si="169"/>
        <v>0</v>
      </c>
      <c r="T405" s="301">
        <f t="shared" si="159"/>
        <v>0</v>
      </c>
      <c r="U405" s="301">
        <f t="shared" si="170"/>
        <v>0</v>
      </c>
      <c r="V405" s="301">
        <f t="shared" si="171"/>
        <v>0</v>
      </c>
      <c r="W405" s="301">
        <f t="shared" si="172"/>
        <v>0</v>
      </c>
      <c r="AA405" s="12">
        <f>+paraméterek!$B$346</f>
        <v>6.4600000000000005E-2</v>
      </c>
      <c r="AB405" s="301">
        <f t="shared" si="173"/>
        <v>0</v>
      </c>
      <c r="AC405" s="301">
        <f t="shared" si="160"/>
        <v>0</v>
      </c>
      <c r="AD405" s="301">
        <f t="shared" si="174"/>
        <v>0</v>
      </c>
      <c r="AE405" s="301">
        <f t="shared" si="175"/>
        <v>0</v>
      </c>
      <c r="AF405" s="477">
        <f t="shared" si="176"/>
        <v>0</v>
      </c>
      <c r="AI405" s="543">
        <f t="shared" si="161"/>
        <v>0</v>
      </c>
      <c r="AJ405" s="543">
        <f t="shared" si="177"/>
        <v>0</v>
      </c>
      <c r="AK405" s="300">
        <f t="shared" si="178"/>
        <v>0</v>
      </c>
      <c r="AL405" s="543">
        <f t="shared" si="179"/>
        <v>0</v>
      </c>
      <c r="AM405" s="10">
        <f t="shared" si="180"/>
        <v>0</v>
      </c>
      <c r="AN405" s="4"/>
      <c r="AP405" s="437">
        <f t="shared" si="181"/>
        <v>0</v>
      </c>
    </row>
    <row r="406" spans="1:42" s="11" customFormat="1" hidden="1" x14ac:dyDescent="0.3">
      <c r="A406" s="775">
        <v>327</v>
      </c>
      <c r="B406" s="775">
        <f t="shared" si="162"/>
        <v>28</v>
      </c>
      <c r="C406" s="891">
        <f t="shared" si="163"/>
        <v>0.14489675614077413</v>
      </c>
      <c r="D406" s="891"/>
      <c r="E406" s="891">
        <f t="shared" si="163"/>
        <v>0.03</v>
      </c>
      <c r="F406" s="891">
        <f t="shared" si="155"/>
        <v>0.03</v>
      </c>
      <c r="G406" s="893">
        <f t="shared" si="164"/>
        <v>1.151056494563818E-8</v>
      </c>
      <c r="H406" s="436">
        <f t="shared" si="156"/>
        <v>0</v>
      </c>
      <c r="I406" s="302">
        <f t="shared" si="157"/>
        <v>0</v>
      </c>
      <c r="J406" s="301">
        <f t="shared" si="182"/>
        <v>2.9176084758041223E-11</v>
      </c>
      <c r="K406" s="301">
        <f t="shared" si="165"/>
        <v>2.9176084758041223E-11</v>
      </c>
      <c r="L406" s="10">
        <f t="shared" si="166"/>
        <v>2.9176084758041223E-11</v>
      </c>
      <c r="M406" s="302"/>
      <c r="N406" s="435">
        <f t="shared" si="167"/>
        <v>0</v>
      </c>
      <c r="O406" s="436">
        <f t="shared" si="158"/>
        <v>0</v>
      </c>
      <c r="P406" s="436">
        <f t="shared" si="168"/>
        <v>0</v>
      </c>
      <c r="R406" s="354">
        <f>+Hirdetmény!$AA$46</f>
        <v>0.13400000000000001</v>
      </c>
      <c r="S406" s="301">
        <f t="shared" si="169"/>
        <v>0</v>
      </c>
      <c r="T406" s="301">
        <f t="shared" si="159"/>
        <v>0</v>
      </c>
      <c r="U406" s="301">
        <f t="shared" si="170"/>
        <v>0</v>
      </c>
      <c r="V406" s="301">
        <f t="shared" si="171"/>
        <v>0</v>
      </c>
      <c r="W406" s="301">
        <f t="shared" si="172"/>
        <v>0</v>
      </c>
      <c r="AA406" s="12">
        <f>+paraméterek!$B$346</f>
        <v>6.4600000000000005E-2</v>
      </c>
      <c r="AB406" s="301">
        <f t="shared" si="173"/>
        <v>0</v>
      </c>
      <c r="AC406" s="301">
        <f t="shared" si="160"/>
        <v>0</v>
      </c>
      <c r="AD406" s="301">
        <f t="shared" si="174"/>
        <v>0</v>
      </c>
      <c r="AE406" s="301">
        <f t="shared" si="175"/>
        <v>0</v>
      </c>
      <c r="AF406" s="477">
        <f t="shared" si="176"/>
        <v>0</v>
      </c>
      <c r="AI406" s="543">
        <f t="shared" si="161"/>
        <v>0</v>
      </c>
      <c r="AJ406" s="543">
        <f t="shared" si="177"/>
        <v>0</v>
      </c>
      <c r="AK406" s="300">
        <f t="shared" si="178"/>
        <v>0</v>
      </c>
      <c r="AL406" s="543">
        <f t="shared" si="179"/>
        <v>0</v>
      </c>
      <c r="AM406" s="10">
        <f t="shared" si="180"/>
        <v>0</v>
      </c>
      <c r="AN406" s="4"/>
      <c r="AP406" s="437">
        <f t="shared" si="181"/>
        <v>0</v>
      </c>
    </row>
    <row r="407" spans="1:42" s="11" customFormat="1" hidden="1" x14ac:dyDescent="0.3">
      <c r="A407" s="775">
        <v>328</v>
      </c>
      <c r="B407" s="775">
        <f t="shared" si="162"/>
        <v>28</v>
      </c>
      <c r="C407" s="891">
        <f t="shared" si="163"/>
        <v>0.14489675614077413</v>
      </c>
      <c r="D407" s="891"/>
      <c r="E407" s="891">
        <f t="shared" si="163"/>
        <v>0.03</v>
      </c>
      <c r="F407" s="891">
        <f t="shared" si="155"/>
        <v>0.03</v>
      </c>
      <c r="G407" s="893">
        <f t="shared" si="164"/>
        <v>1.151056494563818E-8</v>
      </c>
      <c r="H407" s="436">
        <f t="shared" si="156"/>
        <v>0</v>
      </c>
      <c r="I407" s="302">
        <f t="shared" si="157"/>
        <v>0</v>
      </c>
      <c r="J407" s="301">
        <f t="shared" si="182"/>
        <v>2.9176084758041223E-11</v>
      </c>
      <c r="K407" s="301">
        <f t="shared" si="165"/>
        <v>2.9176084758041223E-11</v>
      </c>
      <c r="L407" s="10">
        <f t="shared" si="166"/>
        <v>2.9176084758041223E-11</v>
      </c>
      <c r="M407" s="302"/>
      <c r="N407" s="435">
        <f t="shared" si="167"/>
        <v>0</v>
      </c>
      <c r="O407" s="436">
        <f t="shared" si="158"/>
        <v>0</v>
      </c>
      <c r="P407" s="436">
        <f t="shared" si="168"/>
        <v>0</v>
      </c>
      <c r="R407" s="354">
        <f>+Hirdetmény!$AA$46</f>
        <v>0.13400000000000001</v>
      </c>
      <c r="S407" s="301">
        <f t="shared" si="169"/>
        <v>0</v>
      </c>
      <c r="T407" s="301">
        <f t="shared" si="159"/>
        <v>0</v>
      </c>
      <c r="U407" s="301">
        <f t="shared" si="170"/>
        <v>0</v>
      </c>
      <c r="V407" s="301">
        <f t="shared" si="171"/>
        <v>0</v>
      </c>
      <c r="W407" s="301">
        <f t="shared" si="172"/>
        <v>0</v>
      </c>
      <c r="AA407" s="12">
        <f>+paraméterek!$B$346</f>
        <v>6.4600000000000005E-2</v>
      </c>
      <c r="AB407" s="301">
        <f t="shared" si="173"/>
        <v>0</v>
      </c>
      <c r="AC407" s="301">
        <f t="shared" si="160"/>
        <v>0</v>
      </c>
      <c r="AD407" s="301">
        <f t="shared" si="174"/>
        <v>0</v>
      </c>
      <c r="AE407" s="301">
        <f t="shared" si="175"/>
        <v>0</v>
      </c>
      <c r="AF407" s="477">
        <f t="shared" si="176"/>
        <v>0</v>
      </c>
      <c r="AI407" s="543">
        <f t="shared" si="161"/>
        <v>0</v>
      </c>
      <c r="AJ407" s="543">
        <f t="shared" si="177"/>
        <v>0</v>
      </c>
      <c r="AK407" s="300">
        <f t="shared" si="178"/>
        <v>0</v>
      </c>
      <c r="AL407" s="543">
        <f t="shared" si="179"/>
        <v>0</v>
      </c>
      <c r="AM407" s="10">
        <f t="shared" si="180"/>
        <v>0</v>
      </c>
      <c r="AN407" s="4"/>
      <c r="AP407" s="437">
        <f t="shared" si="181"/>
        <v>0</v>
      </c>
    </row>
    <row r="408" spans="1:42" s="11" customFormat="1" hidden="1" x14ac:dyDescent="0.3">
      <c r="A408" s="775">
        <v>329</v>
      </c>
      <c r="B408" s="775">
        <f t="shared" si="162"/>
        <v>28</v>
      </c>
      <c r="C408" s="891">
        <f t="shared" si="163"/>
        <v>0.14489675614077413</v>
      </c>
      <c r="D408" s="891"/>
      <c r="E408" s="891">
        <f t="shared" si="163"/>
        <v>0.03</v>
      </c>
      <c r="F408" s="891">
        <f t="shared" si="155"/>
        <v>0.03</v>
      </c>
      <c r="G408" s="893">
        <f t="shared" si="164"/>
        <v>1.151056494563818E-8</v>
      </c>
      <c r="H408" s="436">
        <f t="shared" si="156"/>
        <v>0</v>
      </c>
      <c r="I408" s="302">
        <f t="shared" si="157"/>
        <v>0</v>
      </c>
      <c r="J408" s="301">
        <f t="shared" si="182"/>
        <v>2.9176084758041223E-11</v>
      </c>
      <c r="K408" s="301">
        <f t="shared" si="165"/>
        <v>2.9176084758041223E-11</v>
      </c>
      <c r="L408" s="10">
        <f t="shared" si="166"/>
        <v>2.9176084758041223E-11</v>
      </c>
      <c r="M408" s="302"/>
      <c r="N408" s="435">
        <f t="shared" si="167"/>
        <v>0</v>
      </c>
      <c r="O408" s="436">
        <f t="shared" si="158"/>
        <v>0</v>
      </c>
      <c r="P408" s="436">
        <f t="shared" si="168"/>
        <v>0</v>
      </c>
      <c r="R408" s="354">
        <f>+Hirdetmény!$AA$46</f>
        <v>0.13400000000000001</v>
      </c>
      <c r="S408" s="301">
        <f t="shared" si="169"/>
        <v>0</v>
      </c>
      <c r="T408" s="301">
        <f t="shared" si="159"/>
        <v>0</v>
      </c>
      <c r="U408" s="301">
        <f t="shared" si="170"/>
        <v>0</v>
      </c>
      <c r="V408" s="301">
        <f t="shared" si="171"/>
        <v>0</v>
      </c>
      <c r="W408" s="301">
        <f t="shared" si="172"/>
        <v>0</v>
      </c>
      <c r="AA408" s="12">
        <f>+paraméterek!$B$346</f>
        <v>6.4600000000000005E-2</v>
      </c>
      <c r="AB408" s="301">
        <f t="shared" si="173"/>
        <v>0</v>
      </c>
      <c r="AC408" s="301">
        <f t="shared" si="160"/>
        <v>0</v>
      </c>
      <c r="AD408" s="301">
        <f t="shared" si="174"/>
        <v>0</v>
      </c>
      <c r="AE408" s="301">
        <f t="shared" si="175"/>
        <v>0</v>
      </c>
      <c r="AF408" s="477">
        <f t="shared" si="176"/>
        <v>0</v>
      </c>
      <c r="AI408" s="543">
        <f t="shared" si="161"/>
        <v>0</v>
      </c>
      <c r="AJ408" s="543">
        <f t="shared" si="177"/>
        <v>0</v>
      </c>
      <c r="AK408" s="300">
        <f t="shared" si="178"/>
        <v>0</v>
      </c>
      <c r="AL408" s="543">
        <f t="shared" si="179"/>
        <v>0</v>
      </c>
      <c r="AM408" s="10">
        <f t="shared" si="180"/>
        <v>0</v>
      </c>
      <c r="AN408" s="4"/>
      <c r="AP408" s="437">
        <f t="shared" si="181"/>
        <v>0</v>
      </c>
    </row>
    <row r="409" spans="1:42" s="11" customFormat="1" hidden="1" x14ac:dyDescent="0.3">
      <c r="A409" s="775">
        <v>330</v>
      </c>
      <c r="B409" s="775">
        <f t="shared" si="162"/>
        <v>28</v>
      </c>
      <c r="C409" s="891">
        <f t="shared" si="163"/>
        <v>0.14489675614077413</v>
      </c>
      <c r="D409" s="891"/>
      <c r="E409" s="891">
        <f t="shared" si="163"/>
        <v>0.03</v>
      </c>
      <c r="F409" s="891">
        <f t="shared" si="155"/>
        <v>0.03</v>
      </c>
      <c r="G409" s="893">
        <f t="shared" si="164"/>
        <v>1.151056494563818E-8</v>
      </c>
      <c r="H409" s="436">
        <f t="shared" si="156"/>
        <v>0</v>
      </c>
      <c r="I409" s="302">
        <f t="shared" si="157"/>
        <v>0</v>
      </c>
      <c r="J409" s="301">
        <f t="shared" si="182"/>
        <v>2.9176084758041223E-11</v>
      </c>
      <c r="K409" s="301">
        <f t="shared" si="165"/>
        <v>2.9176084758041223E-11</v>
      </c>
      <c r="L409" s="10">
        <f t="shared" si="166"/>
        <v>2.9176084758041223E-11</v>
      </c>
      <c r="M409" s="302"/>
      <c r="N409" s="435">
        <f t="shared" si="167"/>
        <v>0</v>
      </c>
      <c r="O409" s="436">
        <f t="shared" si="158"/>
        <v>0</v>
      </c>
      <c r="P409" s="436">
        <f t="shared" si="168"/>
        <v>0</v>
      </c>
      <c r="R409" s="354">
        <f>+Hirdetmény!$AA$46</f>
        <v>0.13400000000000001</v>
      </c>
      <c r="S409" s="301">
        <f t="shared" si="169"/>
        <v>0</v>
      </c>
      <c r="T409" s="301">
        <f t="shared" si="159"/>
        <v>0</v>
      </c>
      <c r="U409" s="301">
        <f t="shared" si="170"/>
        <v>0</v>
      </c>
      <c r="V409" s="301">
        <f t="shared" si="171"/>
        <v>0</v>
      </c>
      <c r="W409" s="301">
        <f t="shared" si="172"/>
        <v>0</v>
      </c>
      <c r="AA409" s="12">
        <f>+paraméterek!$B$346</f>
        <v>6.4600000000000005E-2</v>
      </c>
      <c r="AB409" s="301">
        <f t="shared" si="173"/>
        <v>0</v>
      </c>
      <c r="AC409" s="301">
        <f t="shared" si="160"/>
        <v>0</v>
      </c>
      <c r="AD409" s="301">
        <f t="shared" si="174"/>
        <v>0</v>
      </c>
      <c r="AE409" s="301">
        <f t="shared" si="175"/>
        <v>0</v>
      </c>
      <c r="AF409" s="477">
        <f t="shared" si="176"/>
        <v>0</v>
      </c>
      <c r="AI409" s="543">
        <f t="shared" si="161"/>
        <v>0</v>
      </c>
      <c r="AJ409" s="543">
        <f t="shared" si="177"/>
        <v>0</v>
      </c>
      <c r="AK409" s="300">
        <f t="shared" si="178"/>
        <v>0</v>
      </c>
      <c r="AL409" s="543">
        <f t="shared" si="179"/>
        <v>0</v>
      </c>
      <c r="AM409" s="10">
        <f t="shared" si="180"/>
        <v>0</v>
      </c>
      <c r="AN409" s="4"/>
      <c r="AP409" s="437">
        <f t="shared" si="181"/>
        <v>0</v>
      </c>
    </row>
    <row r="410" spans="1:42" s="11" customFormat="1" hidden="1" x14ac:dyDescent="0.3">
      <c r="A410" s="775">
        <v>331</v>
      </c>
      <c r="B410" s="775">
        <f t="shared" si="162"/>
        <v>28</v>
      </c>
      <c r="C410" s="891">
        <f t="shared" si="163"/>
        <v>0.14489675614077413</v>
      </c>
      <c r="D410" s="891"/>
      <c r="E410" s="891">
        <f t="shared" si="163"/>
        <v>0.03</v>
      </c>
      <c r="F410" s="891">
        <f t="shared" si="155"/>
        <v>0.03</v>
      </c>
      <c r="G410" s="893">
        <f t="shared" si="164"/>
        <v>1.151056494563818E-8</v>
      </c>
      <c r="H410" s="436">
        <f t="shared" si="156"/>
        <v>0</v>
      </c>
      <c r="I410" s="302">
        <f t="shared" si="157"/>
        <v>0</v>
      </c>
      <c r="J410" s="301">
        <f t="shared" si="182"/>
        <v>2.9176084758041223E-11</v>
      </c>
      <c r="K410" s="301">
        <f t="shared" si="165"/>
        <v>2.9176084758041223E-11</v>
      </c>
      <c r="L410" s="10">
        <f t="shared" si="166"/>
        <v>2.9176084758041223E-11</v>
      </c>
      <c r="M410" s="302"/>
      <c r="N410" s="435">
        <f t="shared" si="167"/>
        <v>0</v>
      </c>
      <c r="O410" s="436">
        <f t="shared" si="158"/>
        <v>0</v>
      </c>
      <c r="P410" s="436">
        <f t="shared" si="168"/>
        <v>0</v>
      </c>
      <c r="R410" s="354">
        <f>+Hirdetmény!$AA$46</f>
        <v>0.13400000000000001</v>
      </c>
      <c r="S410" s="301">
        <f t="shared" si="169"/>
        <v>0</v>
      </c>
      <c r="T410" s="301">
        <f t="shared" si="159"/>
        <v>0</v>
      </c>
      <c r="U410" s="301">
        <f t="shared" si="170"/>
        <v>0</v>
      </c>
      <c r="V410" s="301">
        <f t="shared" si="171"/>
        <v>0</v>
      </c>
      <c r="W410" s="301">
        <f t="shared" si="172"/>
        <v>0</v>
      </c>
      <c r="AA410" s="12">
        <f>+paraméterek!$B$346</f>
        <v>6.4600000000000005E-2</v>
      </c>
      <c r="AB410" s="301">
        <f t="shared" si="173"/>
        <v>0</v>
      </c>
      <c r="AC410" s="301">
        <f t="shared" si="160"/>
        <v>0</v>
      </c>
      <c r="AD410" s="301">
        <f t="shared" si="174"/>
        <v>0</v>
      </c>
      <c r="AE410" s="301">
        <f t="shared" si="175"/>
        <v>0</v>
      </c>
      <c r="AF410" s="477">
        <f t="shared" si="176"/>
        <v>0</v>
      </c>
      <c r="AI410" s="543">
        <f t="shared" si="161"/>
        <v>0</v>
      </c>
      <c r="AJ410" s="543">
        <f t="shared" si="177"/>
        <v>0</v>
      </c>
      <c r="AK410" s="300">
        <f t="shared" si="178"/>
        <v>0</v>
      </c>
      <c r="AL410" s="543">
        <f t="shared" si="179"/>
        <v>0</v>
      </c>
      <c r="AM410" s="10">
        <f t="shared" si="180"/>
        <v>0</v>
      </c>
      <c r="AN410" s="4"/>
      <c r="AP410" s="437">
        <f t="shared" si="181"/>
        <v>0</v>
      </c>
    </row>
    <row r="411" spans="1:42" s="11" customFormat="1" hidden="1" x14ac:dyDescent="0.3">
      <c r="A411" s="775">
        <v>332</v>
      </c>
      <c r="B411" s="775">
        <f t="shared" si="162"/>
        <v>28</v>
      </c>
      <c r="C411" s="891">
        <f t="shared" si="163"/>
        <v>0.14489675614077413</v>
      </c>
      <c r="D411" s="891"/>
      <c r="E411" s="891">
        <f t="shared" si="163"/>
        <v>0.03</v>
      </c>
      <c r="F411" s="891">
        <f t="shared" si="155"/>
        <v>0.03</v>
      </c>
      <c r="G411" s="893">
        <f t="shared" si="164"/>
        <v>1.151056494563818E-8</v>
      </c>
      <c r="H411" s="436">
        <f t="shared" si="156"/>
        <v>0</v>
      </c>
      <c r="I411" s="302">
        <f t="shared" si="157"/>
        <v>0</v>
      </c>
      <c r="J411" s="301">
        <f t="shared" si="182"/>
        <v>2.9176084758041223E-11</v>
      </c>
      <c r="K411" s="301">
        <f t="shared" si="165"/>
        <v>2.9176084758041223E-11</v>
      </c>
      <c r="L411" s="10">
        <f t="shared" si="166"/>
        <v>2.9176084758041223E-11</v>
      </c>
      <c r="M411" s="302"/>
      <c r="N411" s="435">
        <f t="shared" si="167"/>
        <v>0</v>
      </c>
      <c r="O411" s="436">
        <f t="shared" si="158"/>
        <v>0</v>
      </c>
      <c r="P411" s="436">
        <f t="shared" si="168"/>
        <v>0</v>
      </c>
      <c r="R411" s="354">
        <f>+Hirdetmény!$AA$46</f>
        <v>0.13400000000000001</v>
      </c>
      <c r="S411" s="301">
        <f t="shared" si="169"/>
        <v>0</v>
      </c>
      <c r="T411" s="301">
        <f t="shared" si="159"/>
        <v>0</v>
      </c>
      <c r="U411" s="301">
        <f t="shared" si="170"/>
        <v>0</v>
      </c>
      <c r="V411" s="301">
        <f t="shared" si="171"/>
        <v>0</v>
      </c>
      <c r="W411" s="301">
        <f t="shared" si="172"/>
        <v>0</v>
      </c>
      <c r="AA411" s="12">
        <f>+paraméterek!$B$346</f>
        <v>6.4600000000000005E-2</v>
      </c>
      <c r="AB411" s="301">
        <f t="shared" si="173"/>
        <v>0</v>
      </c>
      <c r="AC411" s="301">
        <f t="shared" si="160"/>
        <v>0</v>
      </c>
      <c r="AD411" s="301">
        <f t="shared" si="174"/>
        <v>0</v>
      </c>
      <c r="AE411" s="301">
        <f t="shared" si="175"/>
        <v>0</v>
      </c>
      <c r="AF411" s="477">
        <f t="shared" si="176"/>
        <v>0</v>
      </c>
      <c r="AI411" s="543">
        <f t="shared" si="161"/>
        <v>0</v>
      </c>
      <c r="AJ411" s="543">
        <f t="shared" si="177"/>
        <v>0</v>
      </c>
      <c r="AK411" s="300">
        <f t="shared" si="178"/>
        <v>0</v>
      </c>
      <c r="AL411" s="543">
        <f t="shared" si="179"/>
        <v>0</v>
      </c>
      <c r="AM411" s="10">
        <f t="shared" si="180"/>
        <v>0</v>
      </c>
      <c r="AN411" s="4"/>
      <c r="AP411" s="437">
        <f t="shared" si="181"/>
        <v>0</v>
      </c>
    </row>
    <row r="412" spans="1:42" s="11" customFormat="1" hidden="1" x14ac:dyDescent="0.3">
      <c r="A412" s="775">
        <v>333</v>
      </c>
      <c r="B412" s="775">
        <f t="shared" si="162"/>
        <v>28</v>
      </c>
      <c r="C412" s="891">
        <f t="shared" si="163"/>
        <v>0.14489675614077413</v>
      </c>
      <c r="D412" s="891"/>
      <c r="E412" s="891">
        <f t="shared" si="163"/>
        <v>0.03</v>
      </c>
      <c r="F412" s="891">
        <f t="shared" si="155"/>
        <v>0.03</v>
      </c>
      <c r="G412" s="893">
        <f t="shared" si="164"/>
        <v>1.151056494563818E-8</v>
      </c>
      <c r="H412" s="436">
        <f t="shared" si="156"/>
        <v>0</v>
      </c>
      <c r="I412" s="302">
        <f t="shared" si="157"/>
        <v>0</v>
      </c>
      <c r="J412" s="301">
        <f t="shared" si="182"/>
        <v>2.9176084758041223E-11</v>
      </c>
      <c r="K412" s="301">
        <f t="shared" si="165"/>
        <v>2.9176084758041223E-11</v>
      </c>
      <c r="L412" s="10">
        <f t="shared" si="166"/>
        <v>2.9176084758041223E-11</v>
      </c>
      <c r="M412" s="302"/>
      <c r="N412" s="435">
        <f t="shared" si="167"/>
        <v>0</v>
      </c>
      <c r="O412" s="436">
        <f t="shared" si="158"/>
        <v>0</v>
      </c>
      <c r="P412" s="436">
        <f t="shared" si="168"/>
        <v>0</v>
      </c>
      <c r="R412" s="354">
        <f>+Hirdetmény!$AA$46</f>
        <v>0.13400000000000001</v>
      </c>
      <c r="S412" s="301">
        <f t="shared" si="169"/>
        <v>0</v>
      </c>
      <c r="T412" s="301">
        <f t="shared" si="159"/>
        <v>0</v>
      </c>
      <c r="U412" s="301">
        <f t="shared" si="170"/>
        <v>0</v>
      </c>
      <c r="V412" s="301">
        <f t="shared" si="171"/>
        <v>0</v>
      </c>
      <c r="W412" s="301">
        <f t="shared" si="172"/>
        <v>0</v>
      </c>
      <c r="AA412" s="12">
        <f>+paraméterek!$B$346</f>
        <v>6.4600000000000005E-2</v>
      </c>
      <c r="AB412" s="301">
        <f t="shared" si="173"/>
        <v>0</v>
      </c>
      <c r="AC412" s="301">
        <f t="shared" si="160"/>
        <v>0</v>
      </c>
      <c r="AD412" s="301">
        <f t="shared" si="174"/>
        <v>0</v>
      </c>
      <c r="AE412" s="301">
        <f t="shared" si="175"/>
        <v>0</v>
      </c>
      <c r="AF412" s="477">
        <f t="shared" si="176"/>
        <v>0</v>
      </c>
      <c r="AI412" s="543">
        <f t="shared" si="161"/>
        <v>0</v>
      </c>
      <c r="AJ412" s="543">
        <f t="shared" si="177"/>
        <v>0</v>
      </c>
      <c r="AK412" s="300">
        <f t="shared" si="178"/>
        <v>0</v>
      </c>
      <c r="AL412" s="543">
        <f t="shared" si="179"/>
        <v>0</v>
      </c>
      <c r="AM412" s="10">
        <f t="shared" si="180"/>
        <v>0</v>
      </c>
      <c r="AN412" s="4"/>
      <c r="AP412" s="437">
        <f t="shared" si="181"/>
        <v>0</v>
      </c>
    </row>
    <row r="413" spans="1:42" s="11" customFormat="1" hidden="1" x14ac:dyDescent="0.3">
      <c r="A413" s="775">
        <v>334</v>
      </c>
      <c r="B413" s="775">
        <f t="shared" si="162"/>
        <v>28</v>
      </c>
      <c r="C413" s="891">
        <f t="shared" si="163"/>
        <v>0.14489675614077413</v>
      </c>
      <c r="D413" s="891"/>
      <c r="E413" s="891">
        <f t="shared" si="163"/>
        <v>0.03</v>
      </c>
      <c r="F413" s="891">
        <f t="shared" si="155"/>
        <v>0.03</v>
      </c>
      <c r="G413" s="893">
        <f t="shared" si="164"/>
        <v>1.151056494563818E-8</v>
      </c>
      <c r="H413" s="436">
        <f t="shared" si="156"/>
        <v>0</v>
      </c>
      <c r="I413" s="302">
        <f t="shared" si="157"/>
        <v>0</v>
      </c>
      <c r="J413" s="301">
        <f t="shared" si="182"/>
        <v>2.9176084758041223E-11</v>
      </c>
      <c r="K413" s="301">
        <f t="shared" si="165"/>
        <v>2.9176084758041223E-11</v>
      </c>
      <c r="L413" s="10">
        <f t="shared" si="166"/>
        <v>2.9176084758041223E-11</v>
      </c>
      <c r="M413" s="302"/>
      <c r="N413" s="435">
        <f t="shared" si="167"/>
        <v>0</v>
      </c>
      <c r="O413" s="436">
        <f t="shared" si="158"/>
        <v>0</v>
      </c>
      <c r="P413" s="436">
        <f t="shared" si="168"/>
        <v>0</v>
      </c>
      <c r="R413" s="354">
        <f>+Hirdetmény!$AA$46</f>
        <v>0.13400000000000001</v>
      </c>
      <c r="S413" s="301">
        <f t="shared" si="169"/>
        <v>0</v>
      </c>
      <c r="T413" s="301">
        <f t="shared" si="159"/>
        <v>0</v>
      </c>
      <c r="U413" s="301">
        <f t="shared" si="170"/>
        <v>0</v>
      </c>
      <c r="V413" s="301">
        <f t="shared" si="171"/>
        <v>0</v>
      </c>
      <c r="W413" s="301">
        <f t="shared" si="172"/>
        <v>0</v>
      </c>
      <c r="AA413" s="12">
        <f>+paraméterek!$B$346</f>
        <v>6.4600000000000005E-2</v>
      </c>
      <c r="AB413" s="301">
        <f t="shared" si="173"/>
        <v>0</v>
      </c>
      <c r="AC413" s="301">
        <f t="shared" si="160"/>
        <v>0</v>
      </c>
      <c r="AD413" s="301">
        <f t="shared" si="174"/>
        <v>0</v>
      </c>
      <c r="AE413" s="301">
        <f t="shared" si="175"/>
        <v>0</v>
      </c>
      <c r="AF413" s="477">
        <f t="shared" si="176"/>
        <v>0</v>
      </c>
      <c r="AI413" s="543">
        <f t="shared" si="161"/>
        <v>0</v>
      </c>
      <c r="AJ413" s="543">
        <f t="shared" si="177"/>
        <v>0</v>
      </c>
      <c r="AK413" s="300">
        <f t="shared" si="178"/>
        <v>0</v>
      </c>
      <c r="AL413" s="543">
        <f t="shared" si="179"/>
        <v>0</v>
      </c>
      <c r="AM413" s="10">
        <f t="shared" si="180"/>
        <v>0</v>
      </c>
      <c r="AN413" s="4"/>
      <c r="AP413" s="437">
        <f t="shared" si="181"/>
        <v>0</v>
      </c>
    </row>
    <row r="414" spans="1:42" s="11" customFormat="1" hidden="1" x14ac:dyDescent="0.3">
      <c r="A414" s="775">
        <v>335</v>
      </c>
      <c r="B414" s="775">
        <f t="shared" si="162"/>
        <v>28</v>
      </c>
      <c r="C414" s="891">
        <f t="shared" si="163"/>
        <v>0.14489675614077413</v>
      </c>
      <c r="D414" s="891"/>
      <c r="E414" s="891">
        <f t="shared" si="163"/>
        <v>0.03</v>
      </c>
      <c r="F414" s="891">
        <f t="shared" si="155"/>
        <v>0.03</v>
      </c>
      <c r="G414" s="893">
        <f t="shared" si="164"/>
        <v>1.151056494563818E-8</v>
      </c>
      <c r="H414" s="436">
        <f t="shared" si="156"/>
        <v>0</v>
      </c>
      <c r="I414" s="302">
        <f t="shared" si="157"/>
        <v>0</v>
      </c>
      <c r="J414" s="301">
        <f t="shared" si="182"/>
        <v>2.9176084758041223E-11</v>
      </c>
      <c r="K414" s="301">
        <f t="shared" si="165"/>
        <v>2.9176084758041223E-11</v>
      </c>
      <c r="L414" s="10">
        <f t="shared" si="166"/>
        <v>2.9176084758041223E-11</v>
      </c>
      <c r="M414" s="302"/>
      <c r="N414" s="435">
        <f t="shared" si="167"/>
        <v>0</v>
      </c>
      <c r="O414" s="436">
        <f t="shared" si="158"/>
        <v>0</v>
      </c>
      <c r="P414" s="436">
        <f t="shared" si="168"/>
        <v>0</v>
      </c>
      <c r="R414" s="354">
        <f>+Hirdetmény!$AA$46</f>
        <v>0.13400000000000001</v>
      </c>
      <c r="S414" s="301">
        <f t="shared" si="169"/>
        <v>0</v>
      </c>
      <c r="T414" s="301">
        <f t="shared" si="159"/>
        <v>0</v>
      </c>
      <c r="U414" s="301">
        <f t="shared" si="170"/>
        <v>0</v>
      </c>
      <c r="V414" s="301">
        <f t="shared" si="171"/>
        <v>0</v>
      </c>
      <c r="W414" s="301">
        <f t="shared" si="172"/>
        <v>0</v>
      </c>
      <c r="AA414" s="12">
        <f>+paraméterek!$B$346</f>
        <v>6.4600000000000005E-2</v>
      </c>
      <c r="AB414" s="301">
        <f t="shared" si="173"/>
        <v>0</v>
      </c>
      <c r="AC414" s="301">
        <f t="shared" si="160"/>
        <v>0</v>
      </c>
      <c r="AD414" s="301">
        <f t="shared" si="174"/>
        <v>0</v>
      </c>
      <c r="AE414" s="301">
        <f t="shared" si="175"/>
        <v>0</v>
      </c>
      <c r="AF414" s="477">
        <f t="shared" si="176"/>
        <v>0</v>
      </c>
      <c r="AI414" s="543">
        <f t="shared" si="161"/>
        <v>0</v>
      </c>
      <c r="AJ414" s="543">
        <f t="shared" si="177"/>
        <v>0</v>
      </c>
      <c r="AK414" s="300">
        <f t="shared" si="178"/>
        <v>0</v>
      </c>
      <c r="AL414" s="543">
        <f t="shared" si="179"/>
        <v>0</v>
      </c>
      <c r="AM414" s="10">
        <f t="shared" si="180"/>
        <v>0</v>
      </c>
      <c r="AN414" s="4"/>
      <c r="AP414" s="437">
        <f t="shared" si="181"/>
        <v>0</v>
      </c>
    </row>
    <row r="415" spans="1:42" s="11" customFormat="1" hidden="1" x14ac:dyDescent="0.3">
      <c r="A415" s="775">
        <v>336</v>
      </c>
      <c r="B415" s="775">
        <f t="shared" si="162"/>
        <v>28</v>
      </c>
      <c r="C415" s="891">
        <f t="shared" si="163"/>
        <v>0.14489675614077413</v>
      </c>
      <c r="D415" s="891"/>
      <c r="E415" s="891">
        <f t="shared" si="163"/>
        <v>0.03</v>
      </c>
      <c r="F415" s="891">
        <f t="shared" si="155"/>
        <v>0.03</v>
      </c>
      <c r="G415" s="893">
        <f t="shared" si="164"/>
        <v>1.151056494563818E-8</v>
      </c>
      <c r="H415" s="436">
        <f t="shared" si="156"/>
        <v>0</v>
      </c>
      <c r="I415" s="302">
        <f t="shared" si="157"/>
        <v>0</v>
      </c>
      <c r="J415" s="301">
        <f t="shared" si="182"/>
        <v>2.9176084758041223E-11</v>
      </c>
      <c r="K415" s="301">
        <f t="shared" si="165"/>
        <v>2.9176084758041223E-11</v>
      </c>
      <c r="L415" s="10">
        <f t="shared" si="166"/>
        <v>2.9176084758041223E-11</v>
      </c>
      <c r="M415" s="302"/>
      <c r="N415" s="435">
        <f t="shared" si="167"/>
        <v>0</v>
      </c>
      <c r="O415" s="436">
        <f t="shared" si="158"/>
        <v>0</v>
      </c>
      <c r="P415" s="436">
        <f t="shared" si="168"/>
        <v>0</v>
      </c>
      <c r="R415" s="354">
        <f>+Hirdetmény!$AA$46</f>
        <v>0.13400000000000001</v>
      </c>
      <c r="S415" s="301">
        <f t="shared" si="169"/>
        <v>0</v>
      </c>
      <c r="T415" s="301">
        <f t="shared" si="159"/>
        <v>0</v>
      </c>
      <c r="U415" s="301">
        <f t="shared" si="170"/>
        <v>0</v>
      </c>
      <c r="V415" s="301">
        <f t="shared" si="171"/>
        <v>0</v>
      </c>
      <c r="W415" s="301">
        <f t="shared" si="172"/>
        <v>0</v>
      </c>
      <c r="AA415" s="12">
        <f>+paraméterek!$B$346</f>
        <v>6.4600000000000005E-2</v>
      </c>
      <c r="AB415" s="301">
        <f t="shared" si="173"/>
        <v>0</v>
      </c>
      <c r="AC415" s="301">
        <f t="shared" si="160"/>
        <v>0</v>
      </c>
      <c r="AD415" s="301">
        <f t="shared" si="174"/>
        <v>0</v>
      </c>
      <c r="AE415" s="301">
        <f t="shared" si="175"/>
        <v>0</v>
      </c>
      <c r="AF415" s="477">
        <f t="shared" si="176"/>
        <v>0</v>
      </c>
      <c r="AI415" s="543">
        <f t="shared" si="161"/>
        <v>0</v>
      </c>
      <c r="AJ415" s="543">
        <f t="shared" si="177"/>
        <v>0</v>
      </c>
      <c r="AK415" s="300">
        <f t="shared" si="178"/>
        <v>0</v>
      </c>
      <c r="AL415" s="543">
        <f t="shared" si="179"/>
        <v>0</v>
      </c>
      <c r="AM415" s="10">
        <f t="shared" si="180"/>
        <v>0</v>
      </c>
      <c r="AN415" s="4"/>
      <c r="AP415" s="437">
        <f t="shared" si="181"/>
        <v>0</v>
      </c>
    </row>
    <row r="416" spans="1:42" s="11" customFormat="1" hidden="1" x14ac:dyDescent="0.3">
      <c r="A416" s="775">
        <v>337</v>
      </c>
      <c r="B416" s="775">
        <f t="shared" si="162"/>
        <v>29</v>
      </c>
      <c r="C416" s="891">
        <f t="shared" si="163"/>
        <v>0.14489675614077413</v>
      </c>
      <c r="D416" s="891"/>
      <c r="E416" s="891">
        <f t="shared" si="163"/>
        <v>0.03</v>
      </c>
      <c r="F416" s="891">
        <f t="shared" si="155"/>
        <v>0.03</v>
      </c>
      <c r="G416" s="893">
        <f t="shared" si="164"/>
        <v>1.151056494563818E-8</v>
      </c>
      <c r="H416" s="436">
        <f t="shared" si="156"/>
        <v>0</v>
      </c>
      <c r="I416" s="302">
        <f t="shared" si="157"/>
        <v>0</v>
      </c>
      <c r="J416" s="301">
        <f t="shared" si="182"/>
        <v>2.9176084758041223E-11</v>
      </c>
      <c r="K416" s="301">
        <f t="shared" si="165"/>
        <v>2.9176084758041223E-11</v>
      </c>
      <c r="L416" s="10">
        <f t="shared" si="166"/>
        <v>2.9176084758041223E-11</v>
      </c>
      <c r="M416" s="302"/>
      <c r="N416" s="435">
        <f t="shared" si="167"/>
        <v>0</v>
      </c>
      <c r="O416" s="436">
        <f t="shared" si="158"/>
        <v>0</v>
      </c>
      <c r="P416" s="436">
        <f t="shared" si="168"/>
        <v>0</v>
      </c>
      <c r="R416" s="354">
        <f>+Hirdetmény!$AA$46</f>
        <v>0.13400000000000001</v>
      </c>
      <c r="S416" s="301">
        <f t="shared" si="169"/>
        <v>0</v>
      </c>
      <c r="T416" s="301">
        <f t="shared" si="159"/>
        <v>0</v>
      </c>
      <c r="U416" s="301">
        <f t="shared" si="170"/>
        <v>0</v>
      </c>
      <c r="V416" s="301">
        <f t="shared" si="171"/>
        <v>0</v>
      </c>
      <c r="W416" s="301">
        <f t="shared" si="172"/>
        <v>0</v>
      </c>
      <c r="AA416" s="12">
        <f>+paraméterek!$B$346</f>
        <v>6.4600000000000005E-2</v>
      </c>
      <c r="AB416" s="301">
        <f t="shared" si="173"/>
        <v>0</v>
      </c>
      <c r="AC416" s="301">
        <f t="shared" si="160"/>
        <v>0</v>
      </c>
      <c r="AD416" s="301">
        <f t="shared" si="174"/>
        <v>0</v>
      </c>
      <c r="AE416" s="301">
        <f t="shared" si="175"/>
        <v>0</v>
      </c>
      <c r="AF416" s="477">
        <f t="shared" si="176"/>
        <v>0</v>
      </c>
      <c r="AI416" s="543">
        <f t="shared" si="161"/>
        <v>0</v>
      </c>
      <c r="AJ416" s="543">
        <f t="shared" si="177"/>
        <v>0</v>
      </c>
      <c r="AK416" s="300">
        <f t="shared" si="178"/>
        <v>0</v>
      </c>
      <c r="AL416" s="543">
        <f t="shared" si="179"/>
        <v>0</v>
      </c>
      <c r="AM416" s="10">
        <f t="shared" si="180"/>
        <v>0</v>
      </c>
      <c r="AN416" s="4"/>
      <c r="AP416" s="437">
        <f t="shared" si="181"/>
        <v>0</v>
      </c>
    </row>
    <row r="417" spans="1:42" s="11" customFormat="1" hidden="1" x14ac:dyDescent="0.3">
      <c r="A417" s="775">
        <v>338</v>
      </c>
      <c r="B417" s="775">
        <f t="shared" si="162"/>
        <v>29</v>
      </c>
      <c r="C417" s="891">
        <f t="shared" ref="C417:E432" si="183">+C416</f>
        <v>0.14489675614077413</v>
      </c>
      <c r="D417" s="891"/>
      <c r="E417" s="891">
        <f t="shared" si="183"/>
        <v>0.03</v>
      </c>
      <c r="F417" s="891">
        <f t="shared" si="155"/>
        <v>0.03</v>
      </c>
      <c r="G417" s="893">
        <f t="shared" si="164"/>
        <v>1.151056494563818E-8</v>
      </c>
      <c r="H417" s="436">
        <f t="shared" si="156"/>
        <v>0</v>
      </c>
      <c r="I417" s="302">
        <f t="shared" si="157"/>
        <v>0</v>
      </c>
      <c r="J417" s="301">
        <f t="shared" si="182"/>
        <v>2.9176084758041223E-11</v>
      </c>
      <c r="K417" s="301">
        <f t="shared" si="165"/>
        <v>2.9176084758041223E-11</v>
      </c>
      <c r="L417" s="10">
        <f t="shared" si="166"/>
        <v>2.9176084758041223E-11</v>
      </c>
      <c r="M417" s="302"/>
      <c r="N417" s="435">
        <f t="shared" si="167"/>
        <v>0</v>
      </c>
      <c r="O417" s="436">
        <f t="shared" si="158"/>
        <v>0</v>
      </c>
      <c r="P417" s="436">
        <f t="shared" si="168"/>
        <v>0</v>
      </c>
      <c r="R417" s="354">
        <f>+Hirdetmény!$AA$46</f>
        <v>0.13400000000000001</v>
      </c>
      <c r="S417" s="301">
        <f t="shared" si="169"/>
        <v>0</v>
      </c>
      <c r="T417" s="301">
        <f t="shared" si="159"/>
        <v>0</v>
      </c>
      <c r="U417" s="301">
        <f t="shared" si="170"/>
        <v>0</v>
      </c>
      <c r="V417" s="301">
        <f t="shared" si="171"/>
        <v>0</v>
      </c>
      <c r="W417" s="301">
        <f t="shared" si="172"/>
        <v>0</v>
      </c>
      <c r="AA417" s="12">
        <f>+paraméterek!$B$346</f>
        <v>6.4600000000000005E-2</v>
      </c>
      <c r="AB417" s="301">
        <f t="shared" si="173"/>
        <v>0</v>
      </c>
      <c r="AC417" s="301">
        <f t="shared" si="160"/>
        <v>0</v>
      </c>
      <c r="AD417" s="301">
        <f t="shared" si="174"/>
        <v>0</v>
      </c>
      <c r="AE417" s="301">
        <f t="shared" si="175"/>
        <v>0</v>
      </c>
      <c r="AF417" s="477">
        <f t="shared" si="176"/>
        <v>0</v>
      </c>
      <c r="AI417" s="543">
        <f t="shared" si="161"/>
        <v>0</v>
      </c>
      <c r="AJ417" s="543">
        <f t="shared" si="177"/>
        <v>0</v>
      </c>
      <c r="AK417" s="300">
        <f t="shared" si="178"/>
        <v>0</v>
      </c>
      <c r="AL417" s="543">
        <f t="shared" si="179"/>
        <v>0</v>
      </c>
      <c r="AM417" s="10">
        <f t="shared" si="180"/>
        <v>0</v>
      </c>
      <c r="AN417" s="4"/>
      <c r="AP417" s="437">
        <f t="shared" si="181"/>
        <v>0</v>
      </c>
    </row>
    <row r="418" spans="1:42" s="11" customFormat="1" hidden="1" x14ac:dyDescent="0.3">
      <c r="A418" s="775">
        <v>339</v>
      </c>
      <c r="B418" s="775">
        <f t="shared" si="162"/>
        <v>29</v>
      </c>
      <c r="C418" s="891">
        <f t="shared" si="183"/>
        <v>0.14489675614077413</v>
      </c>
      <c r="D418" s="891"/>
      <c r="E418" s="891">
        <f t="shared" si="183"/>
        <v>0.03</v>
      </c>
      <c r="F418" s="891">
        <f t="shared" si="155"/>
        <v>0.03</v>
      </c>
      <c r="G418" s="893">
        <f t="shared" si="164"/>
        <v>1.151056494563818E-8</v>
      </c>
      <c r="H418" s="436">
        <f t="shared" si="156"/>
        <v>0</v>
      </c>
      <c r="I418" s="302">
        <f t="shared" si="157"/>
        <v>0</v>
      </c>
      <c r="J418" s="301">
        <f t="shared" si="182"/>
        <v>2.9176084758041223E-11</v>
      </c>
      <c r="K418" s="301">
        <f t="shared" si="165"/>
        <v>2.9176084758041223E-11</v>
      </c>
      <c r="L418" s="10">
        <f t="shared" si="166"/>
        <v>2.9176084758041223E-11</v>
      </c>
      <c r="M418" s="302"/>
      <c r="N418" s="435">
        <f t="shared" si="167"/>
        <v>0</v>
      </c>
      <c r="O418" s="436">
        <f t="shared" si="158"/>
        <v>0</v>
      </c>
      <c r="P418" s="436">
        <f t="shared" si="168"/>
        <v>0</v>
      </c>
      <c r="R418" s="354">
        <f>+Hirdetmény!$AA$46</f>
        <v>0.13400000000000001</v>
      </c>
      <c r="S418" s="301">
        <f t="shared" si="169"/>
        <v>0</v>
      </c>
      <c r="T418" s="301">
        <f t="shared" si="159"/>
        <v>0</v>
      </c>
      <c r="U418" s="301">
        <f t="shared" si="170"/>
        <v>0</v>
      </c>
      <c r="V418" s="301">
        <f t="shared" si="171"/>
        <v>0</v>
      </c>
      <c r="W418" s="301">
        <f t="shared" si="172"/>
        <v>0</v>
      </c>
      <c r="AA418" s="12">
        <f>+paraméterek!$B$346</f>
        <v>6.4600000000000005E-2</v>
      </c>
      <c r="AB418" s="301">
        <f t="shared" si="173"/>
        <v>0</v>
      </c>
      <c r="AC418" s="301">
        <f t="shared" si="160"/>
        <v>0</v>
      </c>
      <c r="AD418" s="301">
        <f t="shared" si="174"/>
        <v>0</v>
      </c>
      <c r="AE418" s="301">
        <f t="shared" si="175"/>
        <v>0</v>
      </c>
      <c r="AF418" s="477">
        <f t="shared" si="176"/>
        <v>0</v>
      </c>
      <c r="AI418" s="543">
        <f t="shared" si="161"/>
        <v>0</v>
      </c>
      <c r="AJ418" s="543">
        <f t="shared" si="177"/>
        <v>0</v>
      </c>
      <c r="AK418" s="300">
        <f t="shared" si="178"/>
        <v>0</v>
      </c>
      <c r="AL418" s="543">
        <f t="shared" si="179"/>
        <v>0</v>
      </c>
      <c r="AM418" s="10">
        <f t="shared" si="180"/>
        <v>0</v>
      </c>
      <c r="AN418" s="4"/>
      <c r="AP418" s="437">
        <f t="shared" si="181"/>
        <v>0</v>
      </c>
    </row>
    <row r="419" spans="1:42" s="11" customFormat="1" hidden="1" x14ac:dyDescent="0.3">
      <c r="A419" s="775">
        <v>340</v>
      </c>
      <c r="B419" s="775">
        <f t="shared" si="162"/>
        <v>29</v>
      </c>
      <c r="C419" s="891">
        <f t="shared" si="183"/>
        <v>0.14489675614077413</v>
      </c>
      <c r="D419" s="891"/>
      <c r="E419" s="891">
        <f t="shared" si="183"/>
        <v>0.03</v>
      </c>
      <c r="F419" s="891">
        <f t="shared" si="155"/>
        <v>0.03</v>
      </c>
      <c r="G419" s="893">
        <f t="shared" si="164"/>
        <v>1.151056494563818E-8</v>
      </c>
      <c r="H419" s="436">
        <f t="shared" si="156"/>
        <v>0</v>
      </c>
      <c r="I419" s="302">
        <f t="shared" si="157"/>
        <v>0</v>
      </c>
      <c r="J419" s="301">
        <f t="shared" si="182"/>
        <v>2.9176084758041223E-11</v>
      </c>
      <c r="K419" s="301">
        <f t="shared" si="165"/>
        <v>2.9176084758041223E-11</v>
      </c>
      <c r="L419" s="10">
        <f t="shared" si="166"/>
        <v>2.9176084758041223E-11</v>
      </c>
      <c r="M419" s="302"/>
      <c r="N419" s="435">
        <f t="shared" si="167"/>
        <v>0</v>
      </c>
      <c r="O419" s="436">
        <f t="shared" si="158"/>
        <v>0</v>
      </c>
      <c r="P419" s="436">
        <f t="shared" si="168"/>
        <v>0</v>
      </c>
      <c r="R419" s="354">
        <f>+Hirdetmény!$AA$46</f>
        <v>0.13400000000000001</v>
      </c>
      <c r="S419" s="301">
        <f t="shared" si="169"/>
        <v>0</v>
      </c>
      <c r="T419" s="301">
        <f t="shared" si="159"/>
        <v>0</v>
      </c>
      <c r="U419" s="301">
        <f t="shared" si="170"/>
        <v>0</v>
      </c>
      <c r="V419" s="301">
        <f t="shared" si="171"/>
        <v>0</v>
      </c>
      <c r="W419" s="301">
        <f t="shared" si="172"/>
        <v>0</v>
      </c>
      <c r="AA419" s="12">
        <f>+paraméterek!$B$346</f>
        <v>6.4600000000000005E-2</v>
      </c>
      <c r="AB419" s="301">
        <f t="shared" si="173"/>
        <v>0</v>
      </c>
      <c r="AC419" s="301">
        <f t="shared" si="160"/>
        <v>0</v>
      </c>
      <c r="AD419" s="301">
        <f t="shared" si="174"/>
        <v>0</v>
      </c>
      <c r="AE419" s="301">
        <f t="shared" si="175"/>
        <v>0</v>
      </c>
      <c r="AF419" s="477">
        <f t="shared" si="176"/>
        <v>0</v>
      </c>
      <c r="AI419" s="543">
        <f t="shared" si="161"/>
        <v>0</v>
      </c>
      <c r="AJ419" s="543">
        <f t="shared" si="177"/>
        <v>0</v>
      </c>
      <c r="AK419" s="300">
        <f t="shared" si="178"/>
        <v>0</v>
      </c>
      <c r="AL419" s="543">
        <f t="shared" si="179"/>
        <v>0</v>
      </c>
      <c r="AM419" s="10">
        <f t="shared" si="180"/>
        <v>0</v>
      </c>
      <c r="AN419" s="4"/>
      <c r="AP419" s="437">
        <f t="shared" si="181"/>
        <v>0</v>
      </c>
    </row>
    <row r="420" spans="1:42" s="11" customFormat="1" hidden="1" x14ac:dyDescent="0.3">
      <c r="A420" s="775">
        <v>341</v>
      </c>
      <c r="B420" s="775">
        <f t="shared" si="162"/>
        <v>29</v>
      </c>
      <c r="C420" s="891">
        <f t="shared" si="183"/>
        <v>0.14489675614077413</v>
      </c>
      <c r="D420" s="891"/>
      <c r="E420" s="891">
        <f t="shared" si="183"/>
        <v>0.03</v>
      </c>
      <c r="F420" s="891">
        <f t="shared" si="155"/>
        <v>0.03</v>
      </c>
      <c r="G420" s="893">
        <f t="shared" si="164"/>
        <v>1.151056494563818E-8</v>
      </c>
      <c r="H420" s="436">
        <f t="shared" si="156"/>
        <v>0</v>
      </c>
      <c r="I420" s="302">
        <f t="shared" si="157"/>
        <v>0</v>
      </c>
      <c r="J420" s="301">
        <f t="shared" si="182"/>
        <v>2.9176084758041223E-11</v>
      </c>
      <c r="K420" s="301">
        <f t="shared" si="165"/>
        <v>2.9176084758041223E-11</v>
      </c>
      <c r="L420" s="10">
        <f t="shared" si="166"/>
        <v>2.9176084758041223E-11</v>
      </c>
      <c r="M420" s="302"/>
      <c r="N420" s="435">
        <f t="shared" si="167"/>
        <v>0</v>
      </c>
      <c r="O420" s="436">
        <f t="shared" si="158"/>
        <v>0</v>
      </c>
      <c r="P420" s="436">
        <f t="shared" si="168"/>
        <v>0</v>
      </c>
      <c r="R420" s="354">
        <f>+Hirdetmény!$AA$46</f>
        <v>0.13400000000000001</v>
      </c>
      <c r="S420" s="301">
        <f t="shared" si="169"/>
        <v>0</v>
      </c>
      <c r="T420" s="301">
        <f t="shared" si="159"/>
        <v>0</v>
      </c>
      <c r="U420" s="301">
        <f t="shared" si="170"/>
        <v>0</v>
      </c>
      <c r="V420" s="301">
        <f t="shared" si="171"/>
        <v>0</v>
      </c>
      <c r="W420" s="301">
        <f t="shared" si="172"/>
        <v>0</v>
      </c>
      <c r="AA420" s="12">
        <f>+paraméterek!$B$346</f>
        <v>6.4600000000000005E-2</v>
      </c>
      <c r="AB420" s="301">
        <f t="shared" si="173"/>
        <v>0</v>
      </c>
      <c r="AC420" s="301">
        <f t="shared" si="160"/>
        <v>0</v>
      </c>
      <c r="AD420" s="301">
        <f t="shared" si="174"/>
        <v>0</v>
      </c>
      <c r="AE420" s="301">
        <f t="shared" si="175"/>
        <v>0</v>
      </c>
      <c r="AF420" s="477">
        <f t="shared" si="176"/>
        <v>0</v>
      </c>
      <c r="AI420" s="543">
        <f t="shared" si="161"/>
        <v>0</v>
      </c>
      <c r="AJ420" s="543">
        <f t="shared" si="177"/>
        <v>0</v>
      </c>
      <c r="AK420" s="300">
        <f t="shared" si="178"/>
        <v>0</v>
      </c>
      <c r="AL420" s="543">
        <f t="shared" si="179"/>
        <v>0</v>
      </c>
      <c r="AM420" s="10">
        <f t="shared" si="180"/>
        <v>0</v>
      </c>
      <c r="AN420" s="4"/>
      <c r="AP420" s="437">
        <f t="shared" si="181"/>
        <v>0</v>
      </c>
    </row>
    <row r="421" spans="1:42" s="11" customFormat="1" hidden="1" x14ac:dyDescent="0.3">
      <c r="A421" s="775">
        <v>342</v>
      </c>
      <c r="B421" s="775">
        <f t="shared" si="162"/>
        <v>29</v>
      </c>
      <c r="C421" s="891">
        <f t="shared" si="183"/>
        <v>0.14489675614077413</v>
      </c>
      <c r="D421" s="891"/>
      <c r="E421" s="891">
        <f t="shared" si="183"/>
        <v>0.03</v>
      </c>
      <c r="F421" s="891">
        <f t="shared" si="155"/>
        <v>0.03</v>
      </c>
      <c r="G421" s="893">
        <f t="shared" si="164"/>
        <v>1.151056494563818E-8</v>
      </c>
      <c r="H421" s="436">
        <f t="shared" si="156"/>
        <v>0</v>
      </c>
      <c r="I421" s="302">
        <f t="shared" si="157"/>
        <v>0</v>
      </c>
      <c r="J421" s="301">
        <f t="shared" si="182"/>
        <v>2.9176084758041223E-11</v>
      </c>
      <c r="K421" s="301">
        <f t="shared" si="165"/>
        <v>2.9176084758041223E-11</v>
      </c>
      <c r="L421" s="10">
        <f t="shared" si="166"/>
        <v>2.9176084758041223E-11</v>
      </c>
      <c r="M421" s="302"/>
      <c r="N421" s="435">
        <f t="shared" si="167"/>
        <v>0</v>
      </c>
      <c r="O421" s="436">
        <f t="shared" si="158"/>
        <v>0</v>
      </c>
      <c r="P421" s="436">
        <f t="shared" si="168"/>
        <v>0</v>
      </c>
      <c r="R421" s="354">
        <f>+Hirdetmény!$AA$46</f>
        <v>0.13400000000000001</v>
      </c>
      <c r="S421" s="301">
        <f t="shared" si="169"/>
        <v>0</v>
      </c>
      <c r="T421" s="301">
        <f t="shared" si="159"/>
        <v>0</v>
      </c>
      <c r="U421" s="301">
        <f t="shared" si="170"/>
        <v>0</v>
      </c>
      <c r="V421" s="301">
        <f t="shared" si="171"/>
        <v>0</v>
      </c>
      <c r="W421" s="301">
        <f t="shared" si="172"/>
        <v>0</v>
      </c>
      <c r="AA421" s="12">
        <f>+paraméterek!$B$346</f>
        <v>6.4600000000000005E-2</v>
      </c>
      <c r="AB421" s="301">
        <f t="shared" si="173"/>
        <v>0</v>
      </c>
      <c r="AC421" s="301">
        <f t="shared" si="160"/>
        <v>0</v>
      </c>
      <c r="AD421" s="301">
        <f t="shared" si="174"/>
        <v>0</v>
      </c>
      <c r="AE421" s="301">
        <f t="shared" si="175"/>
        <v>0</v>
      </c>
      <c r="AF421" s="477">
        <f t="shared" si="176"/>
        <v>0</v>
      </c>
      <c r="AI421" s="543">
        <f t="shared" si="161"/>
        <v>0</v>
      </c>
      <c r="AJ421" s="543">
        <f t="shared" si="177"/>
        <v>0</v>
      </c>
      <c r="AK421" s="300">
        <f t="shared" si="178"/>
        <v>0</v>
      </c>
      <c r="AL421" s="543">
        <f t="shared" si="179"/>
        <v>0</v>
      </c>
      <c r="AM421" s="10">
        <f t="shared" si="180"/>
        <v>0</v>
      </c>
      <c r="AN421" s="4"/>
      <c r="AP421" s="437">
        <f t="shared" si="181"/>
        <v>0</v>
      </c>
    </row>
    <row r="422" spans="1:42" s="11" customFormat="1" hidden="1" x14ac:dyDescent="0.3">
      <c r="A422" s="775">
        <v>343</v>
      </c>
      <c r="B422" s="775">
        <f t="shared" si="162"/>
        <v>29</v>
      </c>
      <c r="C422" s="891">
        <f t="shared" si="183"/>
        <v>0.14489675614077413</v>
      </c>
      <c r="D422" s="891"/>
      <c r="E422" s="891">
        <f t="shared" si="183"/>
        <v>0.03</v>
      </c>
      <c r="F422" s="891">
        <f t="shared" si="155"/>
        <v>0.03</v>
      </c>
      <c r="G422" s="893">
        <f t="shared" si="164"/>
        <v>1.151056494563818E-8</v>
      </c>
      <c r="H422" s="436">
        <f t="shared" si="156"/>
        <v>0</v>
      </c>
      <c r="I422" s="302">
        <f t="shared" si="157"/>
        <v>0</v>
      </c>
      <c r="J422" s="301">
        <f t="shared" si="182"/>
        <v>2.9176084758041223E-11</v>
      </c>
      <c r="K422" s="301">
        <f t="shared" si="165"/>
        <v>2.9176084758041223E-11</v>
      </c>
      <c r="L422" s="10">
        <f t="shared" si="166"/>
        <v>2.9176084758041223E-11</v>
      </c>
      <c r="M422" s="302"/>
      <c r="N422" s="435">
        <f t="shared" si="167"/>
        <v>0</v>
      </c>
      <c r="O422" s="436">
        <f t="shared" si="158"/>
        <v>0</v>
      </c>
      <c r="P422" s="436">
        <f t="shared" si="168"/>
        <v>0</v>
      </c>
      <c r="R422" s="354">
        <f>+Hirdetmény!$AA$46</f>
        <v>0.13400000000000001</v>
      </c>
      <c r="S422" s="301">
        <f t="shared" si="169"/>
        <v>0</v>
      </c>
      <c r="T422" s="301">
        <f t="shared" si="159"/>
        <v>0</v>
      </c>
      <c r="U422" s="301">
        <f t="shared" si="170"/>
        <v>0</v>
      </c>
      <c r="V422" s="301">
        <f t="shared" si="171"/>
        <v>0</v>
      </c>
      <c r="W422" s="301">
        <f t="shared" si="172"/>
        <v>0</v>
      </c>
      <c r="AA422" s="12">
        <f>+paraméterek!$B$346</f>
        <v>6.4600000000000005E-2</v>
      </c>
      <c r="AB422" s="301">
        <f t="shared" si="173"/>
        <v>0</v>
      </c>
      <c r="AC422" s="301">
        <f t="shared" si="160"/>
        <v>0</v>
      </c>
      <c r="AD422" s="301">
        <f t="shared" si="174"/>
        <v>0</v>
      </c>
      <c r="AE422" s="301">
        <f t="shared" si="175"/>
        <v>0</v>
      </c>
      <c r="AF422" s="477">
        <f t="shared" si="176"/>
        <v>0</v>
      </c>
      <c r="AI422" s="543">
        <f t="shared" si="161"/>
        <v>0</v>
      </c>
      <c r="AJ422" s="543">
        <f t="shared" si="177"/>
        <v>0</v>
      </c>
      <c r="AK422" s="300">
        <f t="shared" si="178"/>
        <v>0</v>
      </c>
      <c r="AL422" s="543">
        <f t="shared" si="179"/>
        <v>0</v>
      </c>
      <c r="AM422" s="10">
        <f t="shared" si="180"/>
        <v>0</v>
      </c>
      <c r="AN422" s="4"/>
      <c r="AP422" s="437">
        <f t="shared" si="181"/>
        <v>0</v>
      </c>
    </row>
    <row r="423" spans="1:42" s="11" customFormat="1" hidden="1" x14ac:dyDescent="0.3">
      <c r="A423" s="775">
        <v>344</v>
      </c>
      <c r="B423" s="775">
        <f t="shared" si="162"/>
        <v>29</v>
      </c>
      <c r="C423" s="891">
        <f t="shared" si="183"/>
        <v>0.14489675614077413</v>
      </c>
      <c r="D423" s="891"/>
      <c r="E423" s="891">
        <f t="shared" si="183"/>
        <v>0.03</v>
      </c>
      <c r="F423" s="891">
        <f t="shared" si="155"/>
        <v>0.03</v>
      </c>
      <c r="G423" s="893">
        <f t="shared" si="164"/>
        <v>1.151056494563818E-8</v>
      </c>
      <c r="H423" s="436">
        <f t="shared" si="156"/>
        <v>0</v>
      </c>
      <c r="I423" s="302">
        <f t="shared" si="157"/>
        <v>0</v>
      </c>
      <c r="J423" s="301">
        <f t="shared" si="182"/>
        <v>2.9176084758041223E-11</v>
      </c>
      <c r="K423" s="301">
        <f t="shared" si="165"/>
        <v>2.9176084758041223E-11</v>
      </c>
      <c r="L423" s="10">
        <f t="shared" si="166"/>
        <v>2.9176084758041223E-11</v>
      </c>
      <c r="M423" s="302"/>
      <c r="N423" s="435">
        <f t="shared" si="167"/>
        <v>0</v>
      </c>
      <c r="O423" s="436">
        <f t="shared" si="158"/>
        <v>0</v>
      </c>
      <c r="P423" s="436">
        <f t="shared" si="168"/>
        <v>0</v>
      </c>
      <c r="R423" s="354">
        <f>+Hirdetmény!$AA$46</f>
        <v>0.13400000000000001</v>
      </c>
      <c r="S423" s="301">
        <f t="shared" si="169"/>
        <v>0</v>
      </c>
      <c r="T423" s="301">
        <f t="shared" si="159"/>
        <v>0</v>
      </c>
      <c r="U423" s="301">
        <f t="shared" si="170"/>
        <v>0</v>
      </c>
      <c r="V423" s="301">
        <f t="shared" si="171"/>
        <v>0</v>
      </c>
      <c r="W423" s="301">
        <f t="shared" si="172"/>
        <v>0</v>
      </c>
      <c r="AA423" s="12">
        <f>+paraméterek!$B$346</f>
        <v>6.4600000000000005E-2</v>
      </c>
      <c r="AB423" s="301">
        <f t="shared" si="173"/>
        <v>0</v>
      </c>
      <c r="AC423" s="301">
        <f t="shared" si="160"/>
        <v>0</v>
      </c>
      <c r="AD423" s="301">
        <f t="shared" si="174"/>
        <v>0</v>
      </c>
      <c r="AE423" s="301">
        <f t="shared" si="175"/>
        <v>0</v>
      </c>
      <c r="AF423" s="477">
        <f t="shared" si="176"/>
        <v>0</v>
      </c>
      <c r="AI423" s="543">
        <f t="shared" si="161"/>
        <v>0</v>
      </c>
      <c r="AJ423" s="543">
        <f t="shared" si="177"/>
        <v>0</v>
      </c>
      <c r="AK423" s="300">
        <f t="shared" si="178"/>
        <v>0</v>
      </c>
      <c r="AL423" s="543">
        <f t="shared" si="179"/>
        <v>0</v>
      </c>
      <c r="AM423" s="10">
        <f t="shared" si="180"/>
        <v>0</v>
      </c>
      <c r="AN423" s="4"/>
      <c r="AP423" s="437">
        <f t="shared" si="181"/>
        <v>0</v>
      </c>
    </row>
    <row r="424" spans="1:42" s="11" customFormat="1" hidden="1" x14ac:dyDescent="0.3">
      <c r="A424" s="775">
        <v>345</v>
      </c>
      <c r="B424" s="775">
        <f t="shared" si="162"/>
        <v>29</v>
      </c>
      <c r="C424" s="891">
        <f t="shared" si="183"/>
        <v>0.14489675614077413</v>
      </c>
      <c r="D424" s="891"/>
      <c r="E424" s="891">
        <f t="shared" si="183"/>
        <v>0.03</v>
      </c>
      <c r="F424" s="891">
        <f t="shared" si="155"/>
        <v>0.03</v>
      </c>
      <c r="G424" s="893">
        <f t="shared" si="164"/>
        <v>1.151056494563818E-8</v>
      </c>
      <c r="H424" s="436">
        <f t="shared" si="156"/>
        <v>0</v>
      </c>
      <c r="I424" s="302">
        <f t="shared" si="157"/>
        <v>0</v>
      </c>
      <c r="J424" s="301">
        <f t="shared" si="182"/>
        <v>2.9176084758041223E-11</v>
      </c>
      <c r="K424" s="301">
        <f t="shared" si="165"/>
        <v>2.9176084758041223E-11</v>
      </c>
      <c r="L424" s="10">
        <f t="shared" si="166"/>
        <v>2.9176084758041223E-11</v>
      </c>
      <c r="M424" s="302"/>
      <c r="N424" s="435">
        <f t="shared" si="167"/>
        <v>0</v>
      </c>
      <c r="O424" s="436">
        <f t="shared" si="158"/>
        <v>0</v>
      </c>
      <c r="P424" s="436">
        <f t="shared" si="168"/>
        <v>0</v>
      </c>
      <c r="R424" s="354">
        <f>+Hirdetmény!$AA$46</f>
        <v>0.13400000000000001</v>
      </c>
      <c r="S424" s="301">
        <f t="shared" si="169"/>
        <v>0</v>
      </c>
      <c r="T424" s="301">
        <f t="shared" si="159"/>
        <v>0</v>
      </c>
      <c r="U424" s="301">
        <f t="shared" si="170"/>
        <v>0</v>
      </c>
      <c r="V424" s="301">
        <f t="shared" si="171"/>
        <v>0</v>
      </c>
      <c r="W424" s="301">
        <f t="shared" si="172"/>
        <v>0</v>
      </c>
      <c r="AA424" s="12">
        <f>+paraméterek!$B$346</f>
        <v>6.4600000000000005E-2</v>
      </c>
      <c r="AB424" s="301">
        <f t="shared" si="173"/>
        <v>0</v>
      </c>
      <c r="AC424" s="301">
        <f t="shared" si="160"/>
        <v>0</v>
      </c>
      <c r="AD424" s="301">
        <f t="shared" si="174"/>
        <v>0</v>
      </c>
      <c r="AE424" s="301">
        <f t="shared" si="175"/>
        <v>0</v>
      </c>
      <c r="AF424" s="477">
        <f t="shared" si="176"/>
        <v>0</v>
      </c>
      <c r="AI424" s="543">
        <f t="shared" si="161"/>
        <v>0</v>
      </c>
      <c r="AJ424" s="543">
        <f t="shared" si="177"/>
        <v>0</v>
      </c>
      <c r="AK424" s="300">
        <f t="shared" si="178"/>
        <v>0</v>
      </c>
      <c r="AL424" s="543">
        <f t="shared" si="179"/>
        <v>0</v>
      </c>
      <c r="AM424" s="10">
        <f t="shared" si="180"/>
        <v>0</v>
      </c>
      <c r="AN424" s="4"/>
      <c r="AP424" s="437">
        <f t="shared" si="181"/>
        <v>0</v>
      </c>
    </row>
    <row r="425" spans="1:42" s="11" customFormat="1" hidden="1" x14ac:dyDescent="0.3">
      <c r="A425" s="775">
        <v>346</v>
      </c>
      <c r="B425" s="775">
        <f t="shared" si="162"/>
        <v>29</v>
      </c>
      <c r="C425" s="891">
        <f t="shared" si="183"/>
        <v>0.14489675614077413</v>
      </c>
      <c r="D425" s="891"/>
      <c r="E425" s="891">
        <f t="shared" si="183"/>
        <v>0.03</v>
      </c>
      <c r="F425" s="891">
        <f t="shared" si="155"/>
        <v>0.03</v>
      </c>
      <c r="G425" s="893">
        <f t="shared" si="164"/>
        <v>1.151056494563818E-8</v>
      </c>
      <c r="H425" s="436">
        <f t="shared" si="156"/>
        <v>0</v>
      </c>
      <c r="I425" s="302">
        <f t="shared" si="157"/>
        <v>0</v>
      </c>
      <c r="J425" s="301">
        <f t="shared" si="182"/>
        <v>2.9176084758041223E-11</v>
      </c>
      <c r="K425" s="301">
        <f t="shared" si="165"/>
        <v>2.9176084758041223E-11</v>
      </c>
      <c r="L425" s="10">
        <f t="shared" si="166"/>
        <v>2.9176084758041223E-11</v>
      </c>
      <c r="M425" s="302"/>
      <c r="N425" s="435">
        <f t="shared" si="167"/>
        <v>0</v>
      </c>
      <c r="O425" s="436">
        <f t="shared" si="158"/>
        <v>0</v>
      </c>
      <c r="P425" s="436">
        <f t="shared" si="168"/>
        <v>0</v>
      </c>
      <c r="R425" s="354">
        <f>+Hirdetmény!$AA$46</f>
        <v>0.13400000000000001</v>
      </c>
      <c r="S425" s="301">
        <f t="shared" si="169"/>
        <v>0</v>
      </c>
      <c r="T425" s="301">
        <f t="shared" si="159"/>
        <v>0</v>
      </c>
      <c r="U425" s="301">
        <f t="shared" si="170"/>
        <v>0</v>
      </c>
      <c r="V425" s="301">
        <f t="shared" si="171"/>
        <v>0</v>
      </c>
      <c r="W425" s="301">
        <f t="shared" si="172"/>
        <v>0</v>
      </c>
      <c r="AA425" s="12">
        <f>+paraméterek!$B$346</f>
        <v>6.4600000000000005E-2</v>
      </c>
      <c r="AB425" s="301">
        <f t="shared" si="173"/>
        <v>0</v>
      </c>
      <c r="AC425" s="301">
        <f t="shared" si="160"/>
        <v>0</v>
      </c>
      <c r="AD425" s="301">
        <f t="shared" si="174"/>
        <v>0</v>
      </c>
      <c r="AE425" s="301">
        <f t="shared" si="175"/>
        <v>0</v>
      </c>
      <c r="AF425" s="477">
        <f t="shared" si="176"/>
        <v>0</v>
      </c>
      <c r="AI425" s="543">
        <f t="shared" si="161"/>
        <v>0</v>
      </c>
      <c r="AJ425" s="543">
        <f t="shared" si="177"/>
        <v>0</v>
      </c>
      <c r="AK425" s="300">
        <f t="shared" si="178"/>
        <v>0</v>
      </c>
      <c r="AL425" s="543">
        <f t="shared" si="179"/>
        <v>0</v>
      </c>
      <c r="AM425" s="10">
        <f t="shared" si="180"/>
        <v>0</v>
      </c>
      <c r="AN425" s="4"/>
      <c r="AP425" s="437">
        <f t="shared" si="181"/>
        <v>0</v>
      </c>
    </row>
    <row r="426" spans="1:42" s="11" customFormat="1" hidden="1" x14ac:dyDescent="0.3">
      <c r="A426" s="775">
        <v>347</v>
      </c>
      <c r="B426" s="775">
        <f t="shared" si="162"/>
        <v>29</v>
      </c>
      <c r="C426" s="891">
        <f t="shared" si="183"/>
        <v>0.14489675614077413</v>
      </c>
      <c r="D426" s="891"/>
      <c r="E426" s="891">
        <f t="shared" si="183"/>
        <v>0.03</v>
      </c>
      <c r="F426" s="891">
        <f t="shared" si="155"/>
        <v>0.03</v>
      </c>
      <c r="G426" s="893">
        <f t="shared" si="164"/>
        <v>1.151056494563818E-8</v>
      </c>
      <c r="H426" s="436">
        <f t="shared" si="156"/>
        <v>0</v>
      </c>
      <c r="I426" s="302">
        <f t="shared" si="157"/>
        <v>0</v>
      </c>
      <c r="J426" s="301">
        <f t="shared" si="182"/>
        <v>2.9176084758041223E-11</v>
      </c>
      <c r="K426" s="301">
        <f t="shared" si="165"/>
        <v>2.9176084758041223E-11</v>
      </c>
      <c r="L426" s="10">
        <f t="shared" si="166"/>
        <v>2.9176084758041223E-11</v>
      </c>
      <c r="M426" s="302"/>
      <c r="N426" s="435">
        <f t="shared" si="167"/>
        <v>0</v>
      </c>
      <c r="O426" s="436">
        <f t="shared" si="158"/>
        <v>0</v>
      </c>
      <c r="P426" s="436">
        <f t="shared" si="168"/>
        <v>0</v>
      </c>
      <c r="R426" s="354">
        <f>+Hirdetmény!$AA$46</f>
        <v>0.13400000000000001</v>
      </c>
      <c r="S426" s="301">
        <f t="shared" si="169"/>
        <v>0</v>
      </c>
      <c r="T426" s="301">
        <f t="shared" si="159"/>
        <v>0</v>
      </c>
      <c r="U426" s="301">
        <f t="shared" si="170"/>
        <v>0</v>
      </c>
      <c r="V426" s="301">
        <f t="shared" si="171"/>
        <v>0</v>
      </c>
      <c r="W426" s="301">
        <f t="shared" si="172"/>
        <v>0</v>
      </c>
      <c r="AA426" s="12">
        <f>+paraméterek!$B$346</f>
        <v>6.4600000000000005E-2</v>
      </c>
      <c r="AB426" s="301">
        <f t="shared" si="173"/>
        <v>0</v>
      </c>
      <c r="AC426" s="301">
        <f t="shared" si="160"/>
        <v>0</v>
      </c>
      <c r="AD426" s="301">
        <f t="shared" si="174"/>
        <v>0</v>
      </c>
      <c r="AE426" s="301">
        <f t="shared" si="175"/>
        <v>0</v>
      </c>
      <c r="AF426" s="477">
        <f t="shared" si="176"/>
        <v>0</v>
      </c>
      <c r="AI426" s="543">
        <f t="shared" si="161"/>
        <v>0</v>
      </c>
      <c r="AJ426" s="543">
        <f t="shared" si="177"/>
        <v>0</v>
      </c>
      <c r="AK426" s="300">
        <f t="shared" si="178"/>
        <v>0</v>
      </c>
      <c r="AL426" s="543">
        <f t="shared" si="179"/>
        <v>0</v>
      </c>
      <c r="AM426" s="10">
        <f t="shared" si="180"/>
        <v>0</v>
      </c>
      <c r="AN426" s="4"/>
      <c r="AP426" s="437">
        <f t="shared" si="181"/>
        <v>0</v>
      </c>
    </row>
    <row r="427" spans="1:42" s="11" customFormat="1" hidden="1" x14ac:dyDescent="0.3">
      <c r="A427" s="775">
        <v>348</v>
      </c>
      <c r="B427" s="775">
        <f t="shared" si="162"/>
        <v>29</v>
      </c>
      <c r="C427" s="891">
        <f t="shared" si="183"/>
        <v>0.14489675614077413</v>
      </c>
      <c r="D427" s="891"/>
      <c r="E427" s="891">
        <f t="shared" si="183"/>
        <v>0.03</v>
      </c>
      <c r="F427" s="891">
        <f t="shared" si="155"/>
        <v>0.03</v>
      </c>
      <c r="G427" s="893">
        <f t="shared" si="164"/>
        <v>1.151056494563818E-8</v>
      </c>
      <c r="H427" s="436">
        <f t="shared" si="156"/>
        <v>0</v>
      </c>
      <c r="I427" s="302">
        <f t="shared" si="157"/>
        <v>0</v>
      </c>
      <c r="J427" s="301">
        <f t="shared" si="182"/>
        <v>2.9176084758041223E-11</v>
      </c>
      <c r="K427" s="301">
        <f t="shared" si="165"/>
        <v>2.9176084758041223E-11</v>
      </c>
      <c r="L427" s="10">
        <f t="shared" si="166"/>
        <v>2.9176084758041223E-11</v>
      </c>
      <c r="M427" s="302"/>
      <c r="N427" s="435">
        <f t="shared" si="167"/>
        <v>0</v>
      </c>
      <c r="O427" s="436">
        <f t="shared" si="158"/>
        <v>0</v>
      </c>
      <c r="P427" s="436">
        <f t="shared" si="168"/>
        <v>0</v>
      </c>
      <c r="R427" s="354">
        <f>+Hirdetmény!$AA$46</f>
        <v>0.13400000000000001</v>
      </c>
      <c r="S427" s="301">
        <f t="shared" si="169"/>
        <v>0</v>
      </c>
      <c r="T427" s="301">
        <f t="shared" si="159"/>
        <v>0</v>
      </c>
      <c r="U427" s="301">
        <f t="shared" si="170"/>
        <v>0</v>
      </c>
      <c r="V427" s="301">
        <f t="shared" si="171"/>
        <v>0</v>
      </c>
      <c r="W427" s="301">
        <f t="shared" si="172"/>
        <v>0</v>
      </c>
      <c r="AA427" s="12">
        <f>+paraméterek!$B$346</f>
        <v>6.4600000000000005E-2</v>
      </c>
      <c r="AB427" s="301">
        <f t="shared" si="173"/>
        <v>0</v>
      </c>
      <c r="AC427" s="301">
        <f t="shared" si="160"/>
        <v>0</v>
      </c>
      <c r="AD427" s="301">
        <f t="shared" si="174"/>
        <v>0</v>
      </c>
      <c r="AE427" s="301">
        <f t="shared" si="175"/>
        <v>0</v>
      </c>
      <c r="AF427" s="477">
        <f t="shared" si="176"/>
        <v>0</v>
      </c>
      <c r="AI427" s="543">
        <f t="shared" si="161"/>
        <v>0</v>
      </c>
      <c r="AJ427" s="543">
        <f t="shared" si="177"/>
        <v>0</v>
      </c>
      <c r="AK427" s="300">
        <f t="shared" si="178"/>
        <v>0</v>
      </c>
      <c r="AL427" s="543">
        <f t="shared" si="179"/>
        <v>0</v>
      </c>
      <c r="AM427" s="10">
        <f t="shared" si="180"/>
        <v>0</v>
      </c>
      <c r="AN427" s="4"/>
      <c r="AP427" s="437">
        <f t="shared" si="181"/>
        <v>0</v>
      </c>
    </row>
    <row r="428" spans="1:42" s="11" customFormat="1" hidden="1" x14ac:dyDescent="0.3">
      <c r="A428" s="775">
        <v>349</v>
      </c>
      <c r="B428" s="775">
        <f t="shared" si="162"/>
        <v>30</v>
      </c>
      <c r="C428" s="891">
        <f t="shared" si="183"/>
        <v>0.14489675614077413</v>
      </c>
      <c r="D428" s="891"/>
      <c r="E428" s="891">
        <f t="shared" si="183"/>
        <v>0.03</v>
      </c>
      <c r="F428" s="891">
        <f t="shared" si="155"/>
        <v>0.03</v>
      </c>
      <c r="G428" s="893">
        <f t="shared" si="164"/>
        <v>1.151056494563818E-8</v>
      </c>
      <c r="H428" s="436">
        <f t="shared" si="156"/>
        <v>0</v>
      </c>
      <c r="I428" s="302">
        <f t="shared" si="157"/>
        <v>0</v>
      </c>
      <c r="J428" s="301">
        <f t="shared" si="182"/>
        <v>2.9176084758041223E-11</v>
      </c>
      <c r="K428" s="301">
        <f t="shared" si="165"/>
        <v>2.9176084758041223E-11</v>
      </c>
      <c r="L428" s="10">
        <f t="shared" si="166"/>
        <v>2.9176084758041223E-11</v>
      </c>
      <c r="M428" s="302"/>
      <c r="N428" s="435">
        <f t="shared" si="167"/>
        <v>0</v>
      </c>
      <c r="O428" s="436">
        <f t="shared" si="158"/>
        <v>0</v>
      </c>
      <c r="P428" s="436">
        <f t="shared" si="168"/>
        <v>0</v>
      </c>
      <c r="R428" s="354">
        <f>+Hirdetmény!$AA$46</f>
        <v>0.13400000000000001</v>
      </c>
      <c r="S428" s="301">
        <f t="shared" si="169"/>
        <v>0</v>
      </c>
      <c r="T428" s="301">
        <f t="shared" si="159"/>
        <v>0</v>
      </c>
      <c r="U428" s="301">
        <f t="shared" si="170"/>
        <v>0</v>
      </c>
      <c r="V428" s="301">
        <f t="shared" si="171"/>
        <v>0</v>
      </c>
      <c r="W428" s="301">
        <f t="shared" si="172"/>
        <v>0</v>
      </c>
      <c r="AA428" s="12">
        <f>+paraméterek!$B$346</f>
        <v>6.4600000000000005E-2</v>
      </c>
      <c r="AB428" s="301">
        <f t="shared" si="173"/>
        <v>0</v>
      </c>
      <c r="AC428" s="301">
        <f t="shared" si="160"/>
        <v>0</v>
      </c>
      <c r="AD428" s="301">
        <f t="shared" si="174"/>
        <v>0</v>
      </c>
      <c r="AE428" s="301">
        <f t="shared" si="175"/>
        <v>0</v>
      </c>
      <c r="AF428" s="477">
        <f t="shared" si="176"/>
        <v>0</v>
      </c>
      <c r="AI428" s="543">
        <f t="shared" si="161"/>
        <v>0</v>
      </c>
      <c r="AJ428" s="543">
        <f t="shared" si="177"/>
        <v>0</v>
      </c>
      <c r="AK428" s="300">
        <f t="shared" si="178"/>
        <v>0</v>
      </c>
      <c r="AL428" s="543">
        <f t="shared" si="179"/>
        <v>0</v>
      </c>
      <c r="AM428" s="10">
        <f t="shared" si="180"/>
        <v>0</v>
      </c>
      <c r="AN428" s="4"/>
      <c r="AP428" s="437">
        <f t="shared" si="181"/>
        <v>0</v>
      </c>
    </row>
    <row r="429" spans="1:42" s="11" customFormat="1" hidden="1" x14ac:dyDescent="0.3">
      <c r="A429" s="775">
        <v>350</v>
      </c>
      <c r="B429" s="775">
        <f t="shared" si="162"/>
        <v>30</v>
      </c>
      <c r="C429" s="891">
        <f t="shared" si="183"/>
        <v>0.14489675614077413</v>
      </c>
      <c r="D429" s="891"/>
      <c r="E429" s="891">
        <f t="shared" si="183"/>
        <v>0.03</v>
      </c>
      <c r="F429" s="891">
        <f t="shared" si="155"/>
        <v>0.03</v>
      </c>
      <c r="G429" s="893">
        <f t="shared" si="164"/>
        <v>1.151056494563818E-8</v>
      </c>
      <c r="H429" s="436">
        <f t="shared" si="156"/>
        <v>0</v>
      </c>
      <c r="I429" s="302">
        <f t="shared" si="157"/>
        <v>0</v>
      </c>
      <c r="J429" s="301">
        <f t="shared" si="182"/>
        <v>2.9176084758041223E-11</v>
      </c>
      <c r="K429" s="301">
        <f t="shared" si="165"/>
        <v>2.9176084758041223E-11</v>
      </c>
      <c r="L429" s="10">
        <f t="shared" si="166"/>
        <v>2.9176084758041223E-11</v>
      </c>
      <c r="M429" s="302"/>
      <c r="N429" s="435">
        <f t="shared" si="167"/>
        <v>0</v>
      </c>
      <c r="O429" s="436">
        <f t="shared" si="158"/>
        <v>0</v>
      </c>
      <c r="P429" s="436">
        <f t="shared" si="168"/>
        <v>0</v>
      </c>
      <c r="R429" s="354">
        <f>+Hirdetmény!$AA$46</f>
        <v>0.13400000000000001</v>
      </c>
      <c r="S429" s="301">
        <f t="shared" si="169"/>
        <v>0</v>
      </c>
      <c r="T429" s="301">
        <f t="shared" si="159"/>
        <v>0</v>
      </c>
      <c r="U429" s="301">
        <f t="shared" si="170"/>
        <v>0</v>
      </c>
      <c r="V429" s="301">
        <f t="shared" si="171"/>
        <v>0</v>
      </c>
      <c r="W429" s="301">
        <f t="shared" si="172"/>
        <v>0</v>
      </c>
      <c r="AA429" s="12">
        <f>+paraméterek!$B$346</f>
        <v>6.4600000000000005E-2</v>
      </c>
      <c r="AB429" s="301">
        <f t="shared" si="173"/>
        <v>0</v>
      </c>
      <c r="AC429" s="301">
        <f t="shared" si="160"/>
        <v>0</v>
      </c>
      <c r="AD429" s="301">
        <f t="shared" si="174"/>
        <v>0</v>
      </c>
      <c r="AE429" s="301">
        <f t="shared" si="175"/>
        <v>0</v>
      </c>
      <c r="AF429" s="477">
        <f t="shared" si="176"/>
        <v>0</v>
      </c>
      <c r="AI429" s="543">
        <f t="shared" si="161"/>
        <v>0</v>
      </c>
      <c r="AJ429" s="543">
        <f t="shared" si="177"/>
        <v>0</v>
      </c>
      <c r="AK429" s="300">
        <f t="shared" si="178"/>
        <v>0</v>
      </c>
      <c r="AL429" s="543">
        <f t="shared" si="179"/>
        <v>0</v>
      </c>
      <c r="AM429" s="10">
        <f t="shared" si="180"/>
        <v>0</v>
      </c>
      <c r="AN429" s="4"/>
      <c r="AP429" s="437">
        <f t="shared" si="181"/>
        <v>0</v>
      </c>
    </row>
    <row r="430" spans="1:42" s="11" customFormat="1" hidden="1" x14ac:dyDescent="0.3">
      <c r="A430" s="775">
        <v>351</v>
      </c>
      <c r="B430" s="775">
        <f t="shared" si="162"/>
        <v>30</v>
      </c>
      <c r="C430" s="891">
        <f t="shared" si="183"/>
        <v>0.14489675614077413</v>
      </c>
      <c r="D430" s="891"/>
      <c r="E430" s="891">
        <f t="shared" si="183"/>
        <v>0.03</v>
      </c>
      <c r="F430" s="891">
        <f t="shared" si="155"/>
        <v>0.03</v>
      </c>
      <c r="G430" s="893">
        <f t="shared" si="164"/>
        <v>1.151056494563818E-8</v>
      </c>
      <c r="H430" s="436">
        <f t="shared" si="156"/>
        <v>0</v>
      </c>
      <c r="I430" s="302">
        <f t="shared" si="157"/>
        <v>0</v>
      </c>
      <c r="J430" s="301">
        <f t="shared" si="182"/>
        <v>2.9176084758041223E-11</v>
      </c>
      <c r="K430" s="301">
        <f t="shared" si="165"/>
        <v>2.9176084758041223E-11</v>
      </c>
      <c r="L430" s="10">
        <f t="shared" si="166"/>
        <v>2.9176084758041223E-11</v>
      </c>
      <c r="M430" s="302"/>
      <c r="N430" s="435">
        <f t="shared" si="167"/>
        <v>0</v>
      </c>
      <c r="O430" s="436">
        <f t="shared" si="158"/>
        <v>0</v>
      </c>
      <c r="P430" s="436">
        <f t="shared" si="168"/>
        <v>0</v>
      </c>
      <c r="R430" s="354">
        <f>+Hirdetmény!$AA$46</f>
        <v>0.13400000000000001</v>
      </c>
      <c r="S430" s="301">
        <f t="shared" si="169"/>
        <v>0</v>
      </c>
      <c r="T430" s="301">
        <f t="shared" si="159"/>
        <v>0</v>
      </c>
      <c r="U430" s="301">
        <f t="shared" si="170"/>
        <v>0</v>
      </c>
      <c r="V430" s="301">
        <f t="shared" si="171"/>
        <v>0</v>
      </c>
      <c r="W430" s="301">
        <f t="shared" si="172"/>
        <v>0</v>
      </c>
      <c r="AA430" s="12">
        <f>+paraméterek!$B$346</f>
        <v>6.4600000000000005E-2</v>
      </c>
      <c r="AB430" s="301">
        <f t="shared" si="173"/>
        <v>0</v>
      </c>
      <c r="AC430" s="301">
        <f t="shared" si="160"/>
        <v>0</v>
      </c>
      <c r="AD430" s="301">
        <f t="shared" si="174"/>
        <v>0</v>
      </c>
      <c r="AE430" s="301">
        <f t="shared" si="175"/>
        <v>0</v>
      </c>
      <c r="AF430" s="477">
        <f t="shared" si="176"/>
        <v>0</v>
      </c>
      <c r="AI430" s="543">
        <f t="shared" si="161"/>
        <v>0</v>
      </c>
      <c r="AJ430" s="543">
        <f t="shared" si="177"/>
        <v>0</v>
      </c>
      <c r="AK430" s="300">
        <f t="shared" si="178"/>
        <v>0</v>
      </c>
      <c r="AL430" s="543">
        <f t="shared" si="179"/>
        <v>0</v>
      </c>
      <c r="AM430" s="10">
        <f t="shared" si="180"/>
        <v>0</v>
      </c>
      <c r="AN430" s="4"/>
      <c r="AP430" s="437">
        <f t="shared" si="181"/>
        <v>0</v>
      </c>
    </row>
    <row r="431" spans="1:42" s="11" customFormat="1" hidden="1" x14ac:dyDescent="0.3">
      <c r="A431" s="775">
        <v>352</v>
      </c>
      <c r="B431" s="775">
        <f t="shared" si="162"/>
        <v>30</v>
      </c>
      <c r="C431" s="891">
        <f t="shared" si="183"/>
        <v>0.14489675614077413</v>
      </c>
      <c r="D431" s="891"/>
      <c r="E431" s="891">
        <f t="shared" si="183"/>
        <v>0.03</v>
      </c>
      <c r="F431" s="891">
        <f t="shared" si="155"/>
        <v>0.03</v>
      </c>
      <c r="G431" s="893">
        <f t="shared" si="164"/>
        <v>1.151056494563818E-8</v>
      </c>
      <c r="H431" s="436">
        <f t="shared" si="156"/>
        <v>0</v>
      </c>
      <c r="I431" s="302">
        <f t="shared" si="157"/>
        <v>0</v>
      </c>
      <c r="J431" s="301">
        <f t="shared" si="182"/>
        <v>2.9176084758041223E-11</v>
      </c>
      <c r="K431" s="301">
        <f t="shared" si="165"/>
        <v>2.9176084758041223E-11</v>
      </c>
      <c r="L431" s="10">
        <f t="shared" si="166"/>
        <v>2.9176084758041223E-11</v>
      </c>
      <c r="M431" s="302"/>
      <c r="N431" s="435">
        <f t="shared" si="167"/>
        <v>0</v>
      </c>
      <c r="O431" s="436">
        <f t="shared" si="158"/>
        <v>0</v>
      </c>
      <c r="P431" s="436">
        <f t="shared" si="168"/>
        <v>0</v>
      </c>
      <c r="R431" s="354">
        <f>+Hirdetmény!$AA$46</f>
        <v>0.13400000000000001</v>
      </c>
      <c r="S431" s="301">
        <f t="shared" si="169"/>
        <v>0</v>
      </c>
      <c r="T431" s="301">
        <f t="shared" si="159"/>
        <v>0</v>
      </c>
      <c r="U431" s="301">
        <f t="shared" si="170"/>
        <v>0</v>
      </c>
      <c r="V431" s="301">
        <f t="shared" si="171"/>
        <v>0</v>
      </c>
      <c r="W431" s="301">
        <f t="shared" si="172"/>
        <v>0</v>
      </c>
      <c r="AA431" s="12">
        <f>+paraméterek!$B$346</f>
        <v>6.4600000000000005E-2</v>
      </c>
      <c r="AB431" s="301">
        <f t="shared" si="173"/>
        <v>0</v>
      </c>
      <c r="AC431" s="301">
        <f t="shared" si="160"/>
        <v>0</v>
      </c>
      <c r="AD431" s="301">
        <f t="shared" si="174"/>
        <v>0</v>
      </c>
      <c r="AE431" s="301">
        <f t="shared" si="175"/>
        <v>0</v>
      </c>
      <c r="AF431" s="477">
        <f t="shared" si="176"/>
        <v>0</v>
      </c>
      <c r="AI431" s="543">
        <f t="shared" si="161"/>
        <v>0</v>
      </c>
      <c r="AJ431" s="543">
        <f t="shared" si="177"/>
        <v>0</v>
      </c>
      <c r="AK431" s="300">
        <f t="shared" si="178"/>
        <v>0</v>
      </c>
      <c r="AL431" s="543">
        <f t="shared" si="179"/>
        <v>0</v>
      </c>
      <c r="AM431" s="10">
        <f t="shared" si="180"/>
        <v>0</v>
      </c>
      <c r="AN431" s="4"/>
      <c r="AP431" s="437">
        <f t="shared" si="181"/>
        <v>0</v>
      </c>
    </row>
    <row r="432" spans="1:42" s="11" customFormat="1" hidden="1" x14ac:dyDescent="0.3">
      <c r="A432" s="775">
        <v>353</v>
      </c>
      <c r="B432" s="775">
        <f t="shared" si="162"/>
        <v>30</v>
      </c>
      <c r="C432" s="891">
        <f t="shared" si="183"/>
        <v>0.14489675614077413</v>
      </c>
      <c r="D432" s="891"/>
      <c r="E432" s="891">
        <f t="shared" si="183"/>
        <v>0.03</v>
      </c>
      <c r="F432" s="891">
        <f t="shared" si="155"/>
        <v>0.03</v>
      </c>
      <c r="G432" s="893">
        <f t="shared" si="164"/>
        <v>1.151056494563818E-8</v>
      </c>
      <c r="H432" s="436">
        <f t="shared" si="156"/>
        <v>0</v>
      </c>
      <c r="I432" s="302">
        <f t="shared" si="157"/>
        <v>0</v>
      </c>
      <c r="J432" s="301">
        <f t="shared" si="182"/>
        <v>2.9176084758041223E-11</v>
      </c>
      <c r="K432" s="301">
        <f t="shared" si="165"/>
        <v>2.9176084758041223E-11</v>
      </c>
      <c r="L432" s="10">
        <f t="shared" si="166"/>
        <v>2.9176084758041223E-11</v>
      </c>
      <c r="M432" s="302"/>
      <c r="N432" s="435">
        <f t="shared" si="167"/>
        <v>0</v>
      </c>
      <c r="O432" s="436">
        <f t="shared" si="158"/>
        <v>0</v>
      </c>
      <c r="P432" s="436">
        <f t="shared" si="168"/>
        <v>0</v>
      </c>
      <c r="R432" s="354">
        <f>+Hirdetmény!$AA$46</f>
        <v>0.13400000000000001</v>
      </c>
      <c r="S432" s="301">
        <f t="shared" si="169"/>
        <v>0</v>
      </c>
      <c r="T432" s="301">
        <f t="shared" si="159"/>
        <v>0</v>
      </c>
      <c r="U432" s="301">
        <f t="shared" si="170"/>
        <v>0</v>
      </c>
      <c r="V432" s="301">
        <f t="shared" si="171"/>
        <v>0</v>
      </c>
      <c r="W432" s="301">
        <f t="shared" si="172"/>
        <v>0</v>
      </c>
      <c r="AA432" s="12">
        <f>+paraméterek!$B$346</f>
        <v>6.4600000000000005E-2</v>
      </c>
      <c r="AB432" s="301">
        <f t="shared" si="173"/>
        <v>0</v>
      </c>
      <c r="AC432" s="301">
        <f t="shared" si="160"/>
        <v>0</v>
      </c>
      <c r="AD432" s="301">
        <f t="shared" si="174"/>
        <v>0</v>
      </c>
      <c r="AE432" s="301">
        <f t="shared" si="175"/>
        <v>0</v>
      </c>
      <c r="AF432" s="477">
        <f t="shared" si="176"/>
        <v>0</v>
      </c>
      <c r="AI432" s="543">
        <f t="shared" si="161"/>
        <v>0</v>
      </c>
      <c r="AJ432" s="543">
        <f t="shared" si="177"/>
        <v>0</v>
      </c>
      <c r="AK432" s="300">
        <f t="shared" si="178"/>
        <v>0</v>
      </c>
      <c r="AL432" s="543">
        <f t="shared" si="179"/>
        <v>0</v>
      </c>
      <c r="AM432" s="10">
        <f t="shared" si="180"/>
        <v>0</v>
      </c>
      <c r="AN432" s="4"/>
      <c r="AP432" s="437">
        <f t="shared" si="181"/>
        <v>0</v>
      </c>
    </row>
    <row r="433" spans="1:42" s="11" customFormat="1" hidden="1" x14ac:dyDescent="0.3">
      <c r="A433" s="775">
        <v>354</v>
      </c>
      <c r="B433" s="775">
        <f t="shared" si="162"/>
        <v>30</v>
      </c>
      <c r="C433" s="891">
        <f t="shared" ref="C433:E448" si="184">+C432</f>
        <v>0.14489675614077413</v>
      </c>
      <c r="D433" s="891"/>
      <c r="E433" s="891">
        <f t="shared" si="184"/>
        <v>0.03</v>
      </c>
      <c r="F433" s="891">
        <f t="shared" si="155"/>
        <v>0.03</v>
      </c>
      <c r="G433" s="893">
        <f t="shared" si="164"/>
        <v>1.151056494563818E-8</v>
      </c>
      <c r="H433" s="436">
        <f t="shared" si="156"/>
        <v>0</v>
      </c>
      <c r="I433" s="302">
        <f t="shared" si="157"/>
        <v>0</v>
      </c>
      <c r="J433" s="301">
        <f t="shared" si="182"/>
        <v>2.9176084758041223E-11</v>
      </c>
      <c r="K433" s="301">
        <f t="shared" si="165"/>
        <v>2.9176084758041223E-11</v>
      </c>
      <c r="L433" s="10">
        <f t="shared" si="166"/>
        <v>2.9176084758041223E-11</v>
      </c>
      <c r="M433" s="302"/>
      <c r="N433" s="435">
        <f t="shared" si="167"/>
        <v>0</v>
      </c>
      <c r="O433" s="436">
        <f t="shared" si="158"/>
        <v>0</v>
      </c>
      <c r="P433" s="436">
        <f t="shared" si="168"/>
        <v>0</v>
      </c>
      <c r="R433" s="354">
        <f>+Hirdetmény!$AA$46</f>
        <v>0.13400000000000001</v>
      </c>
      <c r="S433" s="301">
        <f t="shared" si="169"/>
        <v>0</v>
      </c>
      <c r="T433" s="301">
        <f t="shared" si="159"/>
        <v>0</v>
      </c>
      <c r="U433" s="301">
        <f t="shared" si="170"/>
        <v>0</v>
      </c>
      <c r="V433" s="301">
        <f t="shared" si="171"/>
        <v>0</v>
      </c>
      <c r="W433" s="301">
        <f t="shared" si="172"/>
        <v>0</v>
      </c>
      <c r="AA433" s="12">
        <f>+paraméterek!$B$346</f>
        <v>6.4600000000000005E-2</v>
      </c>
      <c r="AB433" s="301">
        <f t="shared" si="173"/>
        <v>0</v>
      </c>
      <c r="AC433" s="301">
        <f t="shared" si="160"/>
        <v>0</v>
      </c>
      <c r="AD433" s="301">
        <f t="shared" si="174"/>
        <v>0</v>
      </c>
      <c r="AE433" s="301">
        <f t="shared" si="175"/>
        <v>0</v>
      </c>
      <c r="AF433" s="477">
        <f t="shared" si="176"/>
        <v>0</v>
      </c>
      <c r="AI433" s="543">
        <f t="shared" si="161"/>
        <v>0</v>
      </c>
      <c r="AJ433" s="543">
        <f t="shared" si="177"/>
        <v>0</v>
      </c>
      <c r="AK433" s="300">
        <f t="shared" si="178"/>
        <v>0</v>
      </c>
      <c r="AL433" s="543">
        <f t="shared" si="179"/>
        <v>0</v>
      </c>
      <c r="AM433" s="10">
        <f t="shared" si="180"/>
        <v>0</v>
      </c>
      <c r="AN433" s="4"/>
      <c r="AP433" s="437">
        <f t="shared" si="181"/>
        <v>0</v>
      </c>
    </row>
    <row r="434" spans="1:42" s="11" customFormat="1" hidden="1" x14ac:dyDescent="0.3">
      <c r="A434" s="775">
        <v>355</v>
      </c>
      <c r="B434" s="775">
        <f t="shared" si="162"/>
        <v>30</v>
      </c>
      <c r="C434" s="891">
        <f t="shared" si="184"/>
        <v>0.14489675614077413</v>
      </c>
      <c r="D434" s="891"/>
      <c r="E434" s="891">
        <f t="shared" si="184"/>
        <v>0.03</v>
      </c>
      <c r="F434" s="891">
        <f t="shared" si="155"/>
        <v>0.03</v>
      </c>
      <c r="G434" s="893">
        <f t="shared" si="164"/>
        <v>1.151056494563818E-8</v>
      </c>
      <c r="H434" s="436">
        <f t="shared" si="156"/>
        <v>0</v>
      </c>
      <c r="I434" s="302">
        <f t="shared" si="157"/>
        <v>0</v>
      </c>
      <c r="J434" s="301">
        <f t="shared" si="182"/>
        <v>2.9176084758041223E-11</v>
      </c>
      <c r="K434" s="301">
        <f t="shared" si="165"/>
        <v>2.9176084758041223E-11</v>
      </c>
      <c r="L434" s="10">
        <f t="shared" si="166"/>
        <v>2.9176084758041223E-11</v>
      </c>
      <c r="M434" s="302"/>
      <c r="N434" s="435">
        <f t="shared" si="167"/>
        <v>0</v>
      </c>
      <c r="O434" s="436">
        <f t="shared" si="158"/>
        <v>0</v>
      </c>
      <c r="P434" s="436">
        <f t="shared" si="168"/>
        <v>0</v>
      </c>
      <c r="R434" s="354">
        <f>+Hirdetmény!$AA$46</f>
        <v>0.13400000000000001</v>
      </c>
      <c r="S434" s="301">
        <f t="shared" si="169"/>
        <v>0</v>
      </c>
      <c r="T434" s="301">
        <f t="shared" si="159"/>
        <v>0</v>
      </c>
      <c r="U434" s="301">
        <f t="shared" si="170"/>
        <v>0</v>
      </c>
      <c r="V434" s="301">
        <f t="shared" si="171"/>
        <v>0</v>
      </c>
      <c r="W434" s="301">
        <f t="shared" si="172"/>
        <v>0</v>
      </c>
      <c r="AA434" s="12">
        <f>+paraméterek!$B$346</f>
        <v>6.4600000000000005E-2</v>
      </c>
      <c r="AB434" s="301">
        <f t="shared" si="173"/>
        <v>0</v>
      </c>
      <c r="AC434" s="301">
        <f t="shared" si="160"/>
        <v>0</v>
      </c>
      <c r="AD434" s="301">
        <f t="shared" si="174"/>
        <v>0</v>
      </c>
      <c r="AE434" s="301">
        <f t="shared" si="175"/>
        <v>0</v>
      </c>
      <c r="AF434" s="477">
        <f t="shared" si="176"/>
        <v>0</v>
      </c>
      <c r="AI434" s="543">
        <f t="shared" si="161"/>
        <v>0</v>
      </c>
      <c r="AJ434" s="543">
        <f t="shared" si="177"/>
        <v>0</v>
      </c>
      <c r="AK434" s="300">
        <f t="shared" si="178"/>
        <v>0</v>
      </c>
      <c r="AL434" s="543">
        <f t="shared" si="179"/>
        <v>0</v>
      </c>
      <c r="AM434" s="10">
        <f t="shared" si="180"/>
        <v>0</v>
      </c>
      <c r="AN434" s="4"/>
      <c r="AP434" s="437">
        <f t="shared" si="181"/>
        <v>0</v>
      </c>
    </row>
    <row r="435" spans="1:42" s="11" customFormat="1" hidden="1" x14ac:dyDescent="0.3">
      <c r="A435" s="775">
        <v>356</v>
      </c>
      <c r="B435" s="775">
        <f t="shared" si="162"/>
        <v>30</v>
      </c>
      <c r="C435" s="891">
        <f t="shared" si="184"/>
        <v>0.14489675614077413</v>
      </c>
      <c r="D435" s="891"/>
      <c r="E435" s="891">
        <f t="shared" si="184"/>
        <v>0.03</v>
      </c>
      <c r="F435" s="891">
        <f t="shared" si="155"/>
        <v>0.03</v>
      </c>
      <c r="G435" s="893">
        <f t="shared" si="164"/>
        <v>1.151056494563818E-8</v>
      </c>
      <c r="H435" s="436">
        <f t="shared" si="156"/>
        <v>0</v>
      </c>
      <c r="I435" s="302">
        <f t="shared" si="157"/>
        <v>0</v>
      </c>
      <c r="J435" s="301">
        <f t="shared" si="182"/>
        <v>2.9176084758041223E-11</v>
      </c>
      <c r="K435" s="301">
        <f t="shared" si="165"/>
        <v>2.9176084758041223E-11</v>
      </c>
      <c r="L435" s="10">
        <f t="shared" si="166"/>
        <v>2.9176084758041223E-11</v>
      </c>
      <c r="M435" s="302"/>
      <c r="N435" s="435">
        <f t="shared" si="167"/>
        <v>0</v>
      </c>
      <c r="O435" s="436">
        <f t="shared" si="158"/>
        <v>0</v>
      </c>
      <c r="P435" s="436">
        <f t="shared" si="168"/>
        <v>0</v>
      </c>
      <c r="R435" s="354">
        <f>+Hirdetmény!$AA$46</f>
        <v>0.13400000000000001</v>
      </c>
      <c r="S435" s="301">
        <f t="shared" si="169"/>
        <v>0</v>
      </c>
      <c r="T435" s="301">
        <f t="shared" si="159"/>
        <v>0</v>
      </c>
      <c r="U435" s="301">
        <f t="shared" si="170"/>
        <v>0</v>
      </c>
      <c r="V435" s="301">
        <f t="shared" si="171"/>
        <v>0</v>
      </c>
      <c r="W435" s="301">
        <f t="shared" si="172"/>
        <v>0</v>
      </c>
      <c r="AA435" s="12">
        <f>+paraméterek!$B$346</f>
        <v>6.4600000000000005E-2</v>
      </c>
      <c r="AB435" s="301">
        <f t="shared" si="173"/>
        <v>0</v>
      </c>
      <c r="AC435" s="301">
        <f t="shared" si="160"/>
        <v>0</v>
      </c>
      <c r="AD435" s="301">
        <f t="shared" si="174"/>
        <v>0</v>
      </c>
      <c r="AE435" s="301">
        <f t="shared" si="175"/>
        <v>0</v>
      </c>
      <c r="AF435" s="477">
        <f t="shared" si="176"/>
        <v>0</v>
      </c>
      <c r="AI435" s="543">
        <f t="shared" si="161"/>
        <v>0</v>
      </c>
      <c r="AJ435" s="543">
        <f t="shared" si="177"/>
        <v>0</v>
      </c>
      <c r="AK435" s="300">
        <f t="shared" si="178"/>
        <v>0</v>
      </c>
      <c r="AL435" s="543">
        <f t="shared" si="179"/>
        <v>0</v>
      </c>
      <c r="AM435" s="10">
        <f t="shared" si="180"/>
        <v>0</v>
      </c>
      <c r="AN435" s="4"/>
      <c r="AP435" s="437">
        <f t="shared" si="181"/>
        <v>0</v>
      </c>
    </row>
    <row r="436" spans="1:42" s="11" customFormat="1" hidden="1" x14ac:dyDescent="0.3">
      <c r="A436" s="775">
        <v>357</v>
      </c>
      <c r="B436" s="775">
        <f t="shared" si="162"/>
        <v>30</v>
      </c>
      <c r="C436" s="891">
        <f t="shared" si="184"/>
        <v>0.14489675614077413</v>
      </c>
      <c r="D436" s="891"/>
      <c r="E436" s="891">
        <f t="shared" si="184"/>
        <v>0.03</v>
      </c>
      <c r="F436" s="891">
        <f t="shared" si="155"/>
        <v>0.03</v>
      </c>
      <c r="G436" s="893">
        <f t="shared" si="164"/>
        <v>1.151056494563818E-8</v>
      </c>
      <c r="H436" s="436">
        <f t="shared" si="156"/>
        <v>0</v>
      </c>
      <c r="I436" s="302">
        <f t="shared" si="157"/>
        <v>0</v>
      </c>
      <c r="J436" s="301">
        <f t="shared" si="182"/>
        <v>2.9176084758041223E-11</v>
      </c>
      <c r="K436" s="301">
        <f t="shared" si="165"/>
        <v>2.9176084758041223E-11</v>
      </c>
      <c r="L436" s="10">
        <f t="shared" si="166"/>
        <v>2.9176084758041223E-11</v>
      </c>
      <c r="M436" s="302"/>
      <c r="N436" s="435">
        <f t="shared" si="167"/>
        <v>0</v>
      </c>
      <c r="O436" s="436">
        <f t="shared" si="158"/>
        <v>0</v>
      </c>
      <c r="P436" s="436">
        <f t="shared" si="168"/>
        <v>0</v>
      </c>
      <c r="R436" s="354">
        <f>+Hirdetmény!$AA$46</f>
        <v>0.13400000000000001</v>
      </c>
      <c r="S436" s="301">
        <f t="shared" si="169"/>
        <v>0</v>
      </c>
      <c r="T436" s="301">
        <f t="shared" si="159"/>
        <v>0</v>
      </c>
      <c r="U436" s="301">
        <f t="shared" si="170"/>
        <v>0</v>
      </c>
      <c r="V436" s="301">
        <f t="shared" si="171"/>
        <v>0</v>
      </c>
      <c r="W436" s="301">
        <f t="shared" si="172"/>
        <v>0</v>
      </c>
      <c r="AA436" s="12">
        <f>+paraméterek!$B$346</f>
        <v>6.4600000000000005E-2</v>
      </c>
      <c r="AB436" s="301">
        <f t="shared" si="173"/>
        <v>0</v>
      </c>
      <c r="AC436" s="301">
        <f t="shared" si="160"/>
        <v>0</v>
      </c>
      <c r="AD436" s="301">
        <f t="shared" si="174"/>
        <v>0</v>
      </c>
      <c r="AE436" s="301">
        <f t="shared" si="175"/>
        <v>0</v>
      </c>
      <c r="AF436" s="477">
        <f t="shared" si="176"/>
        <v>0</v>
      </c>
      <c r="AI436" s="543">
        <f t="shared" si="161"/>
        <v>0</v>
      </c>
      <c r="AJ436" s="543">
        <f t="shared" si="177"/>
        <v>0</v>
      </c>
      <c r="AK436" s="300">
        <f t="shared" si="178"/>
        <v>0</v>
      </c>
      <c r="AL436" s="543">
        <f t="shared" si="179"/>
        <v>0</v>
      </c>
      <c r="AM436" s="10">
        <f t="shared" si="180"/>
        <v>0</v>
      </c>
      <c r="AN436" s="4"/>
      <c r="AP436" s="437">
        <f t="shared" si="181"/>
        <v>0</v>
      </c>
    </row>
    <row r="437" spans="1:42" s="11" customFormat="1" hidden="1" x14ac:dyDescent="0.3">
      <c r="A437" s="775">
        <v>358</v>
      </c>
      <c r="B437" s="775">
        <f t="shared" si="162"/>
        <v>30</v>
      </c>
      <c r="C437" s="891">
        <f t="shared" si="184"/>
        <v>0.14489675614077413</v>
      </c>
      <c r="D437" s="891"/>
      <c r="E437" s="891">
        <f t="shared" si="184"/>
        <v>0.03</v>
      </c>
      <c r="F437" s="891">
        <f t="shared" si="155"/>
        <v>0.03</v>
      </c>
      <c r="G437" s="893">
        <f t="shared" si="164"/>
        <v>1.151056494563818E-8</v>
      </c>
      <c r="H437" s="436">
        <f t="shared" si="156"/>
        <v>0</v>
      </c>
      <c r="I437" s="302">
        <f t="shared" si="157"/>
        <v>0</v>
      </c>
      <c r="J437" s="301">
        <f t="shared" si="182"/>
        <v>2.9176084758041223E-11</v>
      </c>
      <c r="K437" s="301">
        <f t="shared" si="165"/>
        <v>2.9176084758041223E-11</v>
      </c>
      <c r="L437" s="10">
        <f t="shared" si="166"/>
        <v>2.9176084758041223E-11</v>
      </c>
      <c r="M437" s="302"/>
      <c r="N437" s="435">
        <f t="shared" si="167"/>
        <v>0</v>
      </c>
      <c r="O437" s="436">
        <f t="shared" si="158"/>
        <v>0</v>
      </c>
      <c r="P437" s="436">
        <f t="shared" si="168"/>
        <v>0</v>
      </c>
      <c r="R437" s="354">
        <f>+Hirdetmény!$AA$46</f>
        <v>0.13400000000000001</v>
      </c>
      <c r="S437" s="301">
        <f t="shared" si="169"/>
        <v>0</v>
      </c>
      <c r="T437" s="301">
        <f t="shared" si="159"/>
        <v>0</v>
      </c>
      <c r="U437" s="301">
        <f t="shared" si="170"/>
        <v>0</v>
      </c>
      <c r="V437" s="301">
        <f t="shared" si="171"/>
        <v>0</v>
      </c>
      <c r="W437" s="301">
        <f t="shared" si="172"/>
        <v>0</v>
      </c>
      <c r="AA437" s="12">
        <f>+paraméterek!$B$346</f>
        <v>6.4600000000000005E-2</v>
      </c>
      <c r="AB437" s="301">
        <f t="shared" si="173"/>
        <v>0</v>
      </c>
      <c r="AC437" s="301">
        <f t="shared" si="160"/>
        <v>0</v>
      </c>
      <c r="AD437" s="301">
        <f t="shared" si="174"/>
        <v>0</v>
      </c>
      <c r="AE437" s="301">
        <f t="shared" si="175"/>
        <v>0</v>
      </c>
      <c r="AF437" s="477">
        <f t="shared" si="176"/>
        <v>0</v>
      </c>
      <c r="AI437" s="543">
        <f t="shared" si="161"/>
        <v>0</v>
      </c>
      <c r="AJ437" s="543">
        <f t="shared" si="177"/>
        <v>0</v>
      </c>
      <c r="AK437" s="300">
        <f t="shared" si="178"/>
        <v>0</v>
      </c>
      <c r="AL437" s="543">
        <f t="shared" si="179"/>
        <v>0</v>
      </c>
      <c r="AM437" s="10">
        <f t="shared" si="180"/>
        <v>0</v>
      </c>
      <c r="AN437" s="4"/>
      <c r="AP437" s="437">
        <f t="shared" si="181"/>
        <v>0</v>
      </c>
    </row>
    <row r="438" spans="1:42" s="11" customFormat="1" hidden="1" x14ac:dyDescent="0.3">
      <c r="A438" s="775">
        <v>359</v>
      </c>
      <c r="B438" s="775">
        <f t="shared" si="162"/>
        <v>30</v>
      </c>
      <c r="C438" s="891">
        <f t="shared" si="184"/>
        <v>0.14489675614077413</v>
      </c>
      <c r="D438" s="891"/>
      <c r="E438" s="891">
        <f t="shared" si="184"/>
        <v>0.03</v>
      </c>
      <c r="F438" s="891">
        <f t="shared" si="155"/>
        <v>0.03</v>
      </c>
      <c r="G438" s="893">
        <f t="shared" si="164"/>
        <v>1.151056494563818E-8</v>
      </c>
      <c r="H438" s="436">
        <f t="shared" si="156"/>
        <v>0</v>
      </c>
      <c r="I438" s="302">
        <f t="shared" si="157"/>
        <v>0</v>
      </c>
      <c r="J438" s="301">
        <f t="shared" si="182"/>
        <v>2.9176084758041223E-11</v>
      </c>
      <c r="K438" s="301">
        <f t="shared" si="165"/>
        <v>2.9176084758041223E-11</v>
      </c>
      <c r="L438" s="10">
        <f t="shared" si="166"/>
        <v>2.9176084758041223E-11</v>
      </c>
      <c r="M438" s="302"/>
      <c r="N438" s="435">
        <f t="shared" si="167"/>
        <v>0</v>
      </c>
      <c r="O438" s="436">
        <f t="shared" si="158"/>
        <v>0</v>
      </c>
      <c r="P438" s="436">
        <f t="shared" si="168"/>
        <v>0</v>
      </c>
      <c r="R438" s="354">
        <f>+Hirdetmény!$AA$46</f>
        <v>0.13400000000000001</v>
      </c>
      <c r="S438" s="301">
        <f t="shared" si="169"/>
        <v>0</v>
      </c>
      <c r="T438" s="301">
        <f t="shared" si="159"/>
        <v>0</v>
      </c>
      <c r="U438" s="301">
        <f t="shared" si="170"/>
        <v>0</v>
      </c>
      <c r="V438" s="301">
        <f t="shared" si="171"/>
        <v>0</v>
      </c>
      <c r="W438" s="301">
        <f t="shared" si="172"/>
        <v>0</v>
      </c>
      <c r="AA438" s="12">
        <f>+paraméterek!$B$346</f>
        <v>6.4600000000000005E-2</v>
      </c>
      <c r="AB438" s="301">
        <f t="shared" si="173"/>
        <v>0</v>
      </c>
      <c r="AC438" s="301">
        <f t="shared" si="160"/>
        <v>0</v>
      </c>
      <c r="AD438" s="301">
        <f t="shared" si="174"/>
        <v>0</v>
      </c>
      <c r="AE438" s="301">
        <f t="shared" si="175"/>
        <v>0</v>
      </c>
      <c r="AF438" s="477">
        <f t="shared" si="176"/>
        <v>0</v>
      </c>
      <c r="AI438" s="543">
        <f t="shared" si="161"/>
        <v>0</v>
      </c>
      <c r="AJ438" s="543">
        <f t="shared" si="177"/>
        <v>0</v>
      </c>
      <c r="AK438" s="300">
        <f t="shared" si="178"/>
        <v>0</v>
      </c>
      <c r="AL438" s="543">
        <f t="shared" si="179"/>
        <v>0</v>
      </c>
      <c r="AM438" s="10">
        <f t="shared" si="180"/>
        <v>0</v>
      </c>
      <c r="AN438" s="4"/>
      <c r="AP438" s="437">
        <f t="shared" si="181"/>
        <v>0</v>
      </c>
    </row>
    <row r="439" spans="1:42" s="11" customFormat="1" hidden="1" x14ac:dyDescent="0.3">
      <c r="A439" s="775">
        <v>360</v>
      </c>
      <c r="B439" s="775">
        <f t="shared" si="162"/>
        <v>30</v>
      </c>
      <c r="C439" s="891">
        <f t="shared" si="184"/>
        <v>0.14489675614077413</v>
      </c>
      <c r="D439" s="891"/>
      <c r="E439" s="891">
        <f t="shared" si="184"/>
        <v>0.03</v>
      </c>
      <c r="F439" s="891">
        <f t="shared" si="155"/>
        <v>0.03</v>
      </c>
      <c r="G439" s="893">
        <f t="shared" si="164"/>
        <v>1.151056494563818E-8</v>
      </c>
      <c r="H439" s="436">
        <f t="shared" si="156"/>
        <v>0</v>
      </c>
      <c r="I439" s="302">
        <f t="shared" si="157"/>
        <v>0</v>
      </c>
      <c r="J439" s="301">
        <f t="shared" si="182"/>
        <v>2.9176084758041223E-11</v>
      </c>
      <c r="K439" s="301">
        <f t="shared" si="165"/>
        <v>2.9176084758041223E-11</v>
      </c>
      <c r="L439" s="10">
        <f t="shared" si="166"/>
        <v>2.9176084758041223E-11</v>
      </c>
      <c r="M439" s="302"/>
      <c r="N439" s="435">
        <f t="shared" si="167"/>
        <v>0</v>
      </c>
      <c r="O439" s="436">
        <f t="shared" si="158"/>
        <v>0</v>
      </c>
      <c r="P439" s="436">
        <f t="shared" si="168"/>
        <v>0</v>
      </c>
      <c r="R439" s="354">
        <f>+Hirdetmény!$AA$46</f>
        <v>0.13400000000000001</v>
      </c>
      <c r="S439" s="301">
        <f t="shared" si="169"/>
        <v>0</v>
      </c>
      <c r="T439" s="301">
        <f t="shared" si="159"/>
        <v>0</v>
      </c>
      <c r="U439" s="301">
        <f t="shared" si="170"/>
        <v>0</v>
      </c>
      <c r="V439" s="301">
        <f t="shared" si="171"/>
        <v>0</v>
      </c>
      <c r="W439" s="301">
        <f t="shared" si="172"/>
        <v>0</v>
      </c>
      <c r="AA439" s="12">
        <f>+paraméterek!$B$346</f>
        <v>6.4600000000000005E-2</v>
      </c>
      <c r="AB439" s="301">
        <f t="shared" si="173"/>
        <v>0</v>
      </c>
      <c r="AC439" s="301">
        <f t="shared" si="160"/>
        <v>0</v>
      </c>
      <c r="AD439" s="301">
        <f t="shared" si="174"/>
        <v>0</v>
      </c>
      <c r="AE439" s="301">
        <f t="shared" si="175"/>
        <v>0</v>
      </c>
      <c r="AF439" s="477">
        <f t="shared" si="176"/>
        <v>0</v>
      </c>
      <c r="AI439" s="543">
        <f t="shared" si="161"/>
        <v>0</v>
      </c>
      <c r="AJ439" s="543">
        <f t="shared" si="177"/>
        <v>0</v>
      </c>
      <c r="AK439" s="300">
        <f t="shared" si="178"/>
        <v>0</v>
      </c>
      <c r="AL439" s="543">
        <f t="shared" si="179"/>
        <v>0</v>
      </c>
      <c r="AM439" s="10">
        <f t="shared" si="180"/>
        <v>0</v>
      </c>
      <c r="AN439" s="4"/>
      <c r="AP439" s="437">
        <f t="shared" si="181"/>
        <v>0</v>
      </c>
    </row>
    <row r="440" spans="1:42" s="11" customFormat="1" hidden="1" x14ac:dyDescent="0.3">
      <c r="A440" s="775">
        <v>361</v>
      </c>
      <c r="B440" s="775">
        <f t="shared" si="162"/>
        <v>31</v>
      </c>
      <c r="C440" s="891">
        <f t="shared" si="184"/>
        <v>0.14489675614077413</v>
      </c>
      <c r="D440" s="891"/>
      <c r="E440" s="891">
        <f t="shared" si="184"/>
        <v>0.03</v>
      </c>
      <c r="F440" s="891">
        <f t="shared" si="155"/>
        <v>0.03</v>
      </c>
      <c r="G440" s="893">
        <f t="shared" si="164"/>
        <v>1.151056494563818E-8</v>
      </c>
      <c r="H440" s="436">
        <f t="shared" si="156"/>
        <v>0</v>
      </c>
      <c r="I440" s="302">
        <f t="shared" si="157"/>
        <v>0</v>
      </c>
      <c r="J440" s="301">
        <f t="shared" si="182"/>
        <v>2.9176084758041223E-11</v>
      </c>
      <c r="K440" s="301">
        <f t="shared" si="165"/>
        <v>2.9176084758041223E-11</v>
      </c>
      <c r="L440" s="10">
        <f t="shared" si="166"/>
        <v>2.9176084758041223E-11</v>
      </c>
      <c r="M440" s="302"/>
      <c r="N440" s="435">
        <f t="shared" si="167"/>
        <v>0</v>
      </c>
      <c r="O440" s="436">
        <f t="shared" si="158"/>
        <v>0</v>
      </c>
      <c r="P440" s="436">
        <f t="shared" si="168"/>
        <v>0</v>
      </c>
      <c r="R440" s="354">
        <f>+Hirdetmény!$AA$46</f>
        <v>0.13400000000000001</v>
      </c>
      <c r="S440" s="301">
        <f t="shared" si="169"/>
        <v>0</v>
      </c>
      <c r="T440" s="301">
        <f t="shared" si="159"/>
        <v>0</v>
      </c>
      <c r="U440" s="301">
        <f t="shared" si="170"/>
        <v>0</v>
      </c>
      <c r="V440" s="301">
        <f t="shared" si="171"/>
        <v>0</v>
      </c>
      <c r="W440" s="301">
        <f t="shared" si="172"/>
        <v>0</v>
      </c>
      <c r="AA440" s="12">
        <f>+paraméterek!$B$346</f>
        <v>6.4600000000000005E-2</v>
      </c>
      <c r="AB440" s="301">
        <f t="shared" si="173"/>
        <v>0</v>
      </c>
      <c r="AC440" s="301">
        <f t="shared" si="160"/>
        <v>0</v>
      </c>
      <c r="AD440" s="301">
        <f t="shared" si="174"/>
        <v>0</v>
      </c>
      <c r="AE440" s="301">
        <f t="shared" si="175"/>
        <v>0</v>
      </c>
      <c r="AF440" s="477">
        <f t="shared" si="176"/>
        <v>0</v>
      </c>
      <c r="AI440" s="543">
        <f t="shared" si="161"/>
        <v>0</v>
      </c>
      <c r="AJ440" s="543">
        <f t="shared" si="177"/>
        <v>0</v>
      </c>
      <c r="AK440" s="300">
        <f t="shared" si="178"/>
        <v>0</v>
      </c>
      <c r="AL440" s="543">
        <f t="shared" si="179"/>
        <v>0</v>
      </c>
      <c r="AM440" s="10">
        <f t="shared" si="180"/>
        <v>0</v>
      </c>
      <c r="AN440" s="4"/>
      <c r="AP440" s="437">
        <f t="shared" si="181"/>
        <v>0</v>
      </c>
    </row>
    <row r="441" spans="1:42" s="11" customFormat="1" hidden="1" x14ac:dyDescent="0.3">
      <c r="A441" s="775">
        <v>362</v>
      </c>
      <c r="B441" s="775">
        <f t="shared" si="162"/>
        <v>31</v>
      </c>
      <c r="C441" s="891">
        <f t="shared" si="184"/>
        <v>0.14489675614077413</v>
      </c>
      <c r="D441" s="891"/>
      <c r="E441" s="891">
        <f t="shared" si="184"/>
        <v>0.03</v>
      </c>
      <c r="F441" s="891">
        <f t="shared" si="155"/>
        <v>0.03</v>
      </c>
      <c r="G441" s="893">
        <f t="shared" si="164"/>
        <v>1.151056494563818E-8</v>
      </c>
      <c r="H441" s="436">
        <f t="shared" si="156"/>
        <v>0</v>
      </c>
      <c r="I441" s="302">
        <f t="shared" si="157"/>
        <v>0</v>
      </c>
      <c r="J441" s="301">
        <f t="shared" si="182"/>
        <v>2.9176084758041223E-11</v>
      </c>
      <c r="K441" s="301">
        <f t="shared" si="165"/>
        <v>2.9176084758041223E-11</v>
      </c>
      <c r="L441" s="10">
        <f t="shared" si="166"/>
        <v>2.9176084758041223E-11</v>
      </c>
      <c r="M441" s="302"/>
      <c r="N441" s="435">
        <f t="shared" si="167"/>
        <v>0</v>
      </c>
      <c r="O441" s="436">
        <f t="shared" si="158"/>
        <v>0</v>
      </c>
      <c r="P441" s="436">
        <f t="shared" si="168"/>
        <v>0</v>
      </c>
      <c r="R441" s="354">
        <f>+Hirdetmény!$AA$46</f>
        <v>0.13400000000000001</v>
      </c>
      <c r="S441" s="301">
        <f t="shared" si="169"/>
        <v>0</v>
      </c>
      <c r="T441" s="301">
        <f t="shared" si="159"/>
        <v>0</v>
      </c>
      <c r="U441" s="301">
        <f t="shared" si="170"/>
        <v>0</v>
      </c>
      <c r="V441" s="301">
        <f t="shared" si="171"/>
        <v>0</v>
      </c>
      <c r="W441" s="301">
        <f t="shared" si="172"/>
        <v>0</v>
      </c>
      <c r="AA441" s="12">
        <f>+paraméterek!$B$346</f>
        <v>6.4600000000000005E-2</v>
      </c>
      <c r="AB441" s="301">
        <f t="shared" si="173"/>
        <v>0</v>
      </c>
      <c r="AC441" s="301">
        <f t="shared" si="160"/>
        <v>0</v>
      </c>
      <c r="AD441" s="301">
        <f t="shared" si="174"/>
        <v>0</v>
      </c>
      <c r="AE441" s="301">
        <f t="shared" si="175"/>
        <v>0</v>
      </c>
      <c r="AF441" s="477">
        <f t="shared" si="176"/>
        <v>0</v>
      </c>
      <c r="AI441" s="543">
        <f t="shared" si="161"/>
        <v>0</v>
      </c>
      <c r="AJ441" s="543">
        <f t="shared" si="177"/>
        <v>0</v>
      </c>
      <c r="AK441" s="300">
        <f t="shared" si="178"/>
        <v>0</v>
      </c>
      <c r="AL441" s="543">
        <f t="shared" si="179"/>
        <v>0</v>
      </c>
      <c r="AM441" s="10">
        <f t="shared" si="180"/>
        <v>0</v>
      </c>
      <c r="AN441" s="4"/>
      <c r="AP441" s="437">
        <f t="shared" si="181"/>
        <v>0</v>
      </c>
    </row>
    <row r="442" spans="1:42" s="11" customFormat="1" hidden="1" x14ac:dyDescent="0.3">
      <c r="A442" s="775">
        <v>363</v>
      </c>
      <c r="B442" s="775">
        <f t="shared" si="162"/>
        <v>31</v>
      </c>
      <c r="C442" s="891">
        <f t="shared" si="184"/>
        <v>0.14489675614077413</v>
      </c>
      <c r="D442" s="891"/>
      <c r="E442" s="891">
        <f t="shared" si="184"/>
        <v>0.03</v>
      </c>
      <c r="F442" s="891">
        <f t="shared" si="155"/>
        <v>0.03</v>
      </c>
      <c r="G442" s="893">
        <f t="shared" si="164"/>
        <v>1.151056494563818E-8</v>
      </c>
      <c r="H442" s="436">
        <f t="shared" si="156"/>
        <v>0</v>
      </c>
      <c r="I442" s="302">
        <f t="shared" si="157"/>
        <v>0</v>
      </c>
      <c r="J442" s="301">
        <f t="shared" si="182"/>
        <v>2.9176084758041223E-11</v>
      </c>
      <c r="K442" s="301">
        <f t="shared" si="165"/>
        <v>2.9176084758041223E-11</v>
      </c>
      <c r="L442" s="10">
        <f t="shared" si="166"/>
        <v>2.9176084758041223E-11</v>
      </c>
      <c r="M442" s="302"/>
      <c r="N442" s="435">
        <f t="shared" si="167"/>
        <v>0</v>
      </c>
      <c r="O442" s="436">
        <f t="shared" si="158"/>
        <v>0</v>
      </c>
      <c r="P442" s="436">
        <f t="shared" si="168"/>
        <v>0</v>
      </c>
      <c r="R442" s="354">
        <f>+Hirdetmény!$AA$46</f>
        <v>0.13400000000000001</v>
      </c>
      <c r="S442" s="301">
        <f t="shared" si="169"/>
        <v>0</v>
      </c>
      <c r="T442" s="301">
        <f t="shared" si="159"/>
        <v>0</v>
      </c>
      <c r="U442" s="301">
        <f t="shared" si="170"/>
        <v>0</v>
      </c>
      <c r="V442" s="301">
        <f t="shared" si="171"/>
        <v>0</v>
      </c>
      <c r="W442" s="301">
        <f t="shared" si="172"/>
        <v>0</v>
      </c>
      <c r="AA442" s="12">
        <f>+paraméterek!$B$346</f>
        <v>6.4600000000000005E-2</v>
      </c>
      <c r="AB442" s="301">
        <f t="shared" si="173"/>
        <v>0</v>
      </c>
      <c r="AC442" s="301">
        <f t="shared" si="160"/>
        <v>0</v>
      </c>
      <c r="AD442" s="301">
        <f t="shared" si="174"/>
        <v>0</v>
      </c>
      <c r="AE442" s="301">
        <f t="shared" si="175"/>
        <v>0</v>
      </c>
      <c r="AF442" s="477">
        <f t="shared" si="176"/>
        <v>0</v>
      </c>
      <c r="AI442" s="543">
        <f t="shared" si="161"/>
        <v>0</v>
      </c>
      <c r="AJ442" s="543">
        <f t="shared" si="177"/>
        <v>0</v>
      </c>
      <c r="AK442" s="300">
        <f t="shared" si="178"/>
        <v>0</v>
      </c>
      <c r="AL442" s="543">
        <f t="shared" si="179"/>
        <v>0</v>
      </c>
      <c r="AM442" s="10">
        <f t="shared" si="180"/>
        <v>0</v>
      </c>
      <c r="AN442" s="4"/>
      <c r="AP442" s="437">
        <f t="shared" si="181"/>
        <v>0</v>
      </c>
    </row>
    <row r="443" spans="1:42" s="11" customFormat="1" hidden="1" x14ac:dyDescent="0.3">
      <c r="A443" s="775">
        <v>364</v>
      </c>
      <c r="B443" s="775">
        <f t="shared" si="162"/>
        <v>31</v>
      </c>
      <c r="C443" s="891">
        <f t="shared" si="184"/>
        <v>0.14489675614077413</v>
      </c>
      <c r="D443" s="891"/>
      <c r="E443" s="891">
        <f t="shared" si="184"/>
        <v>0.03</v>
      </c>
      <c r="F443" s="891">
        <f t="shared" si="155"/>
        <v>0.03</v>
      </c>
      <c r="G443" s="893">
        <f t="shared" si="164"/>
        <v>1.151056494563818E-8</v>
      </c>
      <c r="H443" s="436">
        <f t="shared" si="156"/>
        <v>0</v>
      </c>
      <c r="I443" s="302">
        <f t="shared" si="157"/>
        <v>0</v>
      </c>
      <c r="J443" s="301">
        <f t="shared" si="182"/>
        <v>2.9176084758041223E-11</v>
      </c>
      <c r="K443" s="301">
        <f t="shared" si="165"/>
        <v>2.9176084758041223E-11</v>
      </c>
      <c r="L443" s="10">
        <f t="shared" si="166"/>
        <v>2.9176084758041223E-11</v>
      </c>
      <c r="M443" s="302"/>
      <c r="N443" s="435">
        <f t="shared" si="167"/>
        <v>0</v>
      </c>
      <c r="O443" s="436">
        <f t="shared" si="158"/>
        <v>0</v>
      </c>
      <c r="P443" s="436">
        <f t="shared" si="168"/>
        <v>0</v>
      </c>
      <c r="R443" s="354">
        <f>+Hirdetmény!$AA$46</f>
        <v>0.13400000000000001</v>
      </c>
      <c r="S443" s="301">
        <f t="shared" si="169"/>
        <v>0</v>
      </c>
      <c r="T443" s="301">
        <f t="shared" si="159"/>
        <v>0</v>
      </c>
      <c r="U443" s="301">
        <f t="shared" si="170"/>
        <v>0</v>
      </c>
      <c r="V443" s="301">
        <f t="shared" si="171"/>
        <v>0</v>
      </c>
      <c r="W443" s="301">
        <f t="shared" si="172"/>
        <v>0</v>
      </c>
      <c r="AA443" s="12">
        <f>+paraméterek!$B$346</f>
        <v>6.4600000000000005E-2</v>
      </c>
      <c r="AB443" s="301">
        <f t="shared" si="173"/>
        <v>0</v>
      </c>
      <c r="AC443" s="301">
        <f t="shared" si="160"/>
        <v>0</v>
      </c>
      <c r="AD443" s="301">
        <f t="shared" si="174"/>
        <v>0</v>
      </c>
      <c r="AE443" s="301">
        <f t="shared" si="175"/>
        <v>0</v>
      </c>
      <c r="AF443" s="477">
        <f t="shared" si="176"/>
        <v>0</v>
      </c>
      <c r="AI443" s="543">
        <f t="shared" si="161"/>
        <v>0</v>
      </c>
      <c r="AJ443" s="543">
        <f t="shared" si="177"/>
        <v>0</v>
      </c>
      <c r="AK443" s="300">
        <f t="shared" si="178"/>
        <v>0</v>
      </c>
      <c r="AL443" s="543">
        <f t="shared" si="179"/>
        <v>0</v>
      </c>
      <c r="AM443" s="10">
        <f t="shared" si="180"/>
        <v>0</v>
      </c>
      <c r="AN443" s="4"/>
      <c r="AP443" s="437">
        <f t="shared" si="181"/>
        <v>0</v>
      </c>
    </row>
    <row r="444" spans="1:42" s="11" customFormat="1" hidden="1" x14ac:dyDescent="0.3">
      <c r="A444" s="775">
        <v>365</v>
      </c>
      <c r="B444" s="775">
        <f t="shared" si="162"/>
        <v>31</v>
      </c>
      <c r="C444" s="891">
        <f t="shared" si="184"/>
        <v>0.14489675614077413</v>
      </c>
      <c r="D444" s="891"/>
      <c r="E444" s="891">
        <f t="shared" si="184"/>
        <v>0.03</v>
      </c>
      <c r="F444" s="891">
        <f t="shared" si="155"/>
        <v>0.03</v>
      </c>
      <c r="G444" s="893">
        <f t="shared" si="164"/>
        <v>1.151056494563818E-8</v>
      </c>
      <c r="H444" s="436">
        <f t="shared" si="156"/>
        <v>0</v>
      </c>
      <c r="I444" s="302">
        <f t="shared" si="157"/>
        <v>0</v>
      </c>
      <c r="J444" s="301">
        <f t="shared" si="182"/>
        <v>2.9176084758041223E-11</v>
      </c>
      <c r="K444" s="301">
        <f t="shared" si="165"/>
        <v>2.9176084758041223E-11</v>
      </c>
      <c r="L444" s="10">
        <f t="shared" si="166"/>
        <v>2.9176084758041223E-11</v>
      </c>
      <c r="M444" s="302"/>
      <c r="N444" s="435">
        <f t="shared" si="167"/>
        <v>0</v>
      </c>
      <c r="O444" s="436">
        <f t="shared" si="158"/>
        <v>0</v>
      </c>
      <c r="P444" s="436">
        <f t="shared" si="168"/>
        <v>0</v>
      </c>
      <c r="R444" s="354">
        <f>+Hirdetmény!$AA$46</f>
        <v>0.13400000000000001</v>
      </c>
      <c r="S444" s="301">
        <f t="shared" si="169"/>
        <v>0</v>
      </c>
      <c r="T444" s="301">
        <f t="shared" si="159"/>
        <v>0</v>
      </c>
      <c r="U444" s="301">
        <f t="shared" si="170"/>
        <v>0</v>
      </c>
      <c r="V444" s="301">
        <f t="shared" si="171"/>
        <v>0</v>
      </c>
      <c r="W444" s="301">
        <f t="shared" si="172"/>
        <v>0</v>
      </c>
      <c r="AA444" s="12">
        <f>+paraméterek!$B$346</f>
        <v>6.4600000000000005E-2</v>
      </c>
      <c r="AB444" s="301">
        <f t="shared" si="173"/>
        <v>0</v>
      </c>
      <c r="AC444" s="301">
        <f t="shared" si="160"/>
        <v>0</v>
      </c>
      <c r="AD444" s="301">
        <f t="shared" si="174"/>
        <v>0</v>
      </c>
      <c r="AE444" s="301">
        <f t="shared" si="175"/>
        <v>0</v>
      </c>
      <c r="AF444" s="477">
        <f t="shared" si="176"/>
        <v>0</v>
      </c>
      <c r="AI444" s="543">
        <f t="shared" si="161"/>
        <v>0</v>
      </c>
      <c r="AJ444" s="543">
        <f t="shared" si="177"/>
        <v>0</v>
      </c>
      <c r="AK444" s="300">
        <f t="shared" si="178"/>
        <v>0</v>
      </c>
      <c r="AL444" s="543">
        <f t="shared" si="179"/>
        <v>0</v>
      </c>
      <c r="AM444" s="10">
        <f t="shared" si="180"/>
        <v>0</v>
      </c>
      <c r="AN444" s="4"/>
      <c r="AP444" s="437">
        <f t="shared" si="181"/>
        <v>0</v>
      </c>
    </row>
    <row r="445" spans="1:42" s="11" customFormat="1" hidden="1" x14ac:dyDescent="0.3">
      <c r="A445" s="775">
        <v>366</v>
      </c>
      <c r="B445" s="775">
        <f t="shared" si="162"/>
        <v>31</v>
      </c>
      <c r="C445" s="891">
        <f t="shared" si="184"/>
        <v>0.14489675614077413</v>
      </c>
      <c r="D445" s="891"/>
      <c r="E445" s="891">
        <f t="shared" si="184"/>
        <v>0.03</v>
      </c>
      <c r="F445" s="891">
        <f t="shared" si="155"/>
        <v>0.03</v>
      </c>
      <c r="G445" s="893">
        <f t="shared" si="164"/>
        <v>1.151056494563818E-8</v>
      </c>
      <c r="H445" s="436">
        <f t="shared" si="156"/>
        <v>0</v>
      </c>
      <c r="I445" s="302">
        <f t="shared" si="157"/>
        <v>0</v>
      </c>
      <c r="J445" s="301">
        <f t="shared" si="182"/>
        <v>2.9176084758041223E-11</v>
      </c>
      <c r="K445" s="301">
        <f t="shared" si="165"/>
        <v>2.9176084758041223E-11</v>
      </c>
      <c r="L445" s="10">
        <f t="shared" si="166"/>
        <v>2.9176084758041223E-11</v>
      </c>
      <c r="M445" s="302"/>
      <c r="N445" s="435">
        <f t="shared" si="167"/>
        <v>0</v>
      </c>
      <c r="O445" s="436">
        <f t="shared" si="158"/>
        <v>0</v>
      </c>
      <c r="P445" s="436">
        <f t="shared" si="168"/>
        <v>0</v>
      </c>
      <c r="R445" s="354">
        <f>+Hirdetmény!$AA$46</f>
        <v>0.13400000000000001</v>
      </c>
      <c r="S445" s="301">
        <f t="shared" si="169"/>
        <v>0</v>
      </c>
      <c r="T445" s="301">
        <f t="shared" si="159"/>
        <v>0</v>
      </c>
      <c r="U445" s="301">
        <f t="shared" si="170"/>
        <v>0</v>
      </c>
      <c r="V445" s="301">
        <f t="shared" si="171"/>
        <v>0</v>
      </c>
      <c r="W445" s="301">
        <f t="shared" si="172"/>
        <v>0</v>
      </c>
      <c r="AA445" s="12">
        <f>+paraméterek!$B$346</f>
        <v>6.4600000000000005E-2</v>
      </c>
      <c r="AB445" s="301">
        <f t="shared" si="173"/>
        <v>0</v>
      </c>
      <c r="AC445" s="301">
        <f t="shared" si="160"/>
        <v>0</v>
      </c>
      <c r="AD445" s="301">
        <f t="shared" si="174"/>
        <v>0</v>
      </c>
      <c r="AE445" s="301">
        <f t="shared" si="175"/>
        <v>0</v>
      </c>
      <c r="AF445" s="477">
        <f t="shared" si="176"/>
        <v>0</v>
      </c>
      <c r="AI445" s="543">
        <f t="shared" si="161"/>
        <v>0</v>
      </c>
      <c r="AJ445" s="543">
        <f t="shared" si="177"/>
        <v>0</v>
      </c>
      <c r="AK445" s="300">
        <f t="shared" si="178"/>
        <v>0</v>
      </c>
      <c r="AL445" s="543">
        <f t="shared" si="179"/>
        <v>0</v>
      </c>
      <c r="AM445" s="10">
        <f t="shared" si="180"/>
        <v>0</v>
      </c>
      <c r="AN445" s="4"/>
      <c r="AP445" s="437">
        <f t="shared" si="181"/>
        <v>0</v>
      </c>
    </row>
    <row r="446" spans="1:42" s="11" customFormat="1" hidden="1" x14ac:dyDescent="0.3">
      <c r="A446" s="775">
        <v>367</v>
      </c>
      <c r="B446" s="775">
        <f t="shared" si="162"/>
        <v>31</v>
      </c>
      <c r="C446" s="891">
        <f t="shared" si="184"/>
        <v>0.14489675614077413</v>
      </c>
      <c r="D446" s="891"/>
      <c r="E446" s="891">
        <f t="shared" si="184"/>
        <v>0.03</v>
      </c>
      <c r="F446" s="891">
        <f t="shared" si="155"/>
        <v>0.03</v>
      </c>
      <c r="G446" s="893">
        <f t="shared" si="164"/>
        <v>1.151056494563818E-8</v>
      </c>
      <c r="H446" s="436">
        <f t="shared" si="156"/>
        <v>0</v>
      </c>
      <c r="I446" s="302">
        <f t="shared" si="157"/>
        <v>0</v>
      </c>
      <c r="J446" s="301">
        <f t="shared" si="182"/>
        <v>2.9176084758041223E-11</v>
      </c>
      <c r="K446" s="301">
        <f t="shared" si="165"/>
        <v>2.9176084758041223E-11</v>
      </c>
      <c r="L446" s="10">
        <f t="shared" si="166"/>
        <v>2.9176084758041223E-11</v>
      </c>
      <c r="M446" s="302"/>
      <c r="N446" s="435">
        <f t="shared" si="167"/>
        <v>0</v>
      </c>
      <c r="O446" s="436">
        <f t="shared" si="158"/>
        <v>0</v>
      </c>
      <c r="P446" s="436">
        <f t="shared" si="168"/>
        <v>0</v>
      </c>
      <c r="R446" s="354">
        <f>+Hirdetmény!$AA$46</f>
        <v>0.13400000000000001</v>
      </c>
      <c r="S446" s="301">
        <f t="shared" si="169"/>
        <v>0</v>
      </c>
      <c r="T446" s="301">
        <f t="shared" si="159"/>
        <v>0</v>
      </c>
      <c r="U446" s="301">
        <f t="shared" si="170"/>
        <v>0</v>
      </c>
      <c r="V446" s="301">
        <f t="shared" si="171"/>
        <v>0</v>
      </c>
      <c r="W446" s="301">
        <f t="shared" si="172"/>
        <v>0</v>
      </c>
      <c r="AA446" s="12">
        <f>+paraméterek!$B$346</f>
        <v>6.4600000000000005E-2</v>
      </c>
      <c r="AB446" s="301">
        <f t="shared" si="173"/>
        <v>0</v>
      </c>
      <c r="AC446" s="301">
        <f t="shared" si="160"/>
        <v>0</v>
      </c>
      <c r="AD446" s="301">
        <f t="shared" si="174"/>
        <v>0</v>
      </c>
      <c r="AE446" s="301">
        <f t="shared" si="175"/>
        <v>0</v>
      </c>
      <c r="AF446" s="477">
        <f t="shared" si="176"/>
        <v>0</v>
      </c>
      <c r="AI446" s="543">
        <f t="shared" si="161"/>
        <v>0</v>
      </c>
      <c r="AJ446" s="543">
        <f t="shared" si="177"/>
        <v>0</v>
      </c>
      <c r="AK446" s="300">
        <f t="shared" si="178"/>
        <v>0</v>
      </c>
      <c r="AL446" s="543">
        <f t="shared" si="179"/>
        <v>0</v>
      </c>
      <c r="AM446" s="10">
        <f t="shared" si="180"/>
        <v>0</v>
      </c>
      <c r="AN446" s="4"/>
      <c r="AP446" s="437">
        <f t="shared" si="181"/>
        <v>0</v>
      </c>
    </row>
    <row r="447" spans="1:42" s="11" customFormat="1" hidden="1" x14ac:dyDescent="0.3">
      <c r="A447" s="775">
        <v>368</v>
      </c>
      <c r="B447" s="775">
        <f t="shared" si="162"/>
        <v>31</v>
      </c>
      <c r="C447" s="891">
        <f t="shared" si="184"/>
        <v>0.14489675614077413</v>
      </c>
      <c r="D447" s="891"/>
      <c r="E447" s="891">
        <f t="shared" si="184"/>
        <v>0.03</v>
      </c>
      <c r="F447" s="891">
        <f t="shared" si="155"/>
        <v>0.03</v>
      </c>
      <c r="G447" s="893">
        <f t="shared" si="164"/>
        <v>1.151056494563818E-8</v>
      </c>
      <c r="H447" s="436">
        <f t="shared" si="156"/>
        <v>0</v>
      </c>
      <c r="I447" s="302">
        <f t="shared" si="157"/>
        <v>0</v>
      </c>
      <c r="J447" s="301">
        <f t="shared" si="182"/>
        <v>2.9176084758041223E-11</v>
      </c>
      <c r="K447" s="301">
        <f t="shared" si="165"/>
        <v>2.9176084758041223E-11</v>
      </c>
      <c r="L447" s="10">
        <f t="shared" si="166"/>
        <v>2.9176084758041223E-11</v>
      </c>
      <c r="M447" s="302"/>
      <c r="N447" s="435">
        <f t="shared" si="167"/>
        <v>0</v>
      </c>
      <c r="O447" s="436">
        <f t="shared" si="158"/>
        <v>0</v>
      </c>
      <c r="P447" s="436">
        <f t="shared" si="168"/>
        <v>0</v>
      </c>
      <c r="R447" s="354">
        <f>+Hirdetmény!$AA$46</f>
        <v>0.13400000000000001</v>
      </c>
      <c r="S447" s="301">
        <f t="shared" si="169"/>
        <v>0</v>
      </c>
      <c r="T447" s="301">
        <f t="shared" si="159"/>
        <v>0</v>
      </c>
      <c r="U447" s="301">
        <f t="shared" si="170"/>
        <v>0</v>
      </c>
      <c r="V447" s="301">
        <f t="shared" si="171"/>
        <v>0</v>
      </c>
      <c r="W447" s="301">
        <f t="shared" si="172"/>
        <v>0</v>
      </c>
      <c r="AA447" s="12">
        <f>+paraméterek!$B$346</f>
        <v>6.4600000000000005E-2</v>
      </c>
      <c r="AB447" s="301">
        <f t="shared" si="173"/>
        <v>0</v>
      </c>
      <c r="AC447" s="301">
        <f t="shared" si="160"/>
        <v>0</v>
      </c>
      <c r="AD447" s="301">
        <f t="shared" si="174"/>
        <v>0</v>
      </c>
      <c r="AE447" s="301">
        <f t="shared" si="175"/>
        <v>0</v>
      </c>
      <c r="AF447" s="477">
        <f t="shared" si="176"/>
        <v>0</v>
      </c>
      <c r="AI447" s="543">
        <f t="shared" si="161"/>
        <v>0</v>
      </c>
      <c r="AJ447" s="543">
        <f t="shared" si="177"/>
        <v>0</v>
      </c>
      <c r="AK447" s="300">
        <f t="shared" si="178"/>
        <v>0</v>
      </c>
      <c r="AL447" s="543">
        <f t="shared" si="179"/>
        <v>0</v>
      </c>
      <c r="AM447" s="10">
        <f t="shared" si="180"/>
        <v>0</v>
      </c>
      <c r="AN447" s="4"/>
      <c r="AP447" s="437">
        <f t="shared" si="181"/>
        <v>0</v>
      </c>
    </row>
    <row r="448" spans="1:42" s="11" customFormat="1" hidden="1" x14ac:dyDescent="0.3">
      <c r="A448" s="775">
        <v>369</v>
      </c>
      <c r="B448" s="775">
        <f t="shared" si="162"/>
        <v>31</v>
      </c>
      <c r="C448" s="891">
        <f t="shared" si="184"/>
        <v>0.14489675614077413</v>
      </c>
      <c r="D448" s="891"/>
      <c r="E448" s="891">
        <f t="shared" si="184"/>
        <v>0.03</v>
      </c>
      <c r="F448" s="891">
        <f t="shared" si="155"/>
        <v>0.03</v>
      </c>
      <c r="G448" s="893">
        <f t="shared" si="164"/>
        <v>1.151056494563818E-8</v>
      </c>
      <c r="H448" s="436">
        <f t="shared" si="156"/>
        <v>0</v>
      </c>
      <c r="I448" s="302">
        <f t="shared" si="157"/>
        <v>0</v>
      </c>
      <c r="J448" s="301">
        <f t="shared" si="182"/>
        <v>2.9176084758041223E-11</v>
      </c>
      <c r="K448" s="301">
        <f t="shared" si="165"/>
        <v>2.9176084758041223E-11</v>
      </c>
      <c r="L448" s="10">
        <f t="shared" si="166"/>
        <v>2.9176084758041223E-11</v>
      </c>
      <c r="M448" s="302"/>
      <c r="N448" s="435">
        <f t="shared" si="167"/>
        <v>0</v>
      </c>
      <c r="O448" s="436">
        <f t="shared" si="158"/>
        <v>0</v>
      </c>
      <c r="P448" s="436">
        <f t="shared" si="168"/>
        <v>0</v>
      </c>
      <c r="R448" s="354">
        <f>+Hirdetmény!$AA$46</f>
        <v>0.13400000000000001</v>
      </c>
      <c r="S448" s="301">
        <f t="shared" si="169"/>
        <v>0</v>
      </c>
      <c r="T448" s="301">
        <f t="shared" si="159"/>
        <v>0</v>
      </c>
      <c r="U448" s="301">
        <f t="shared" si="170"/>
        <v>0</v>
      </c>
      <c r="V448" s="301">
        <f t="shared" si="171"/>
        <v>0</v>
      </c>
      <c r="W448" s="301">
        <f t="shared" si="172"/>
        <v>0</v>
      </c>
      <c r="AA448" s="12">
        <f>+paraméterek!$B$346</f>
        <v>6.4600000000000005E-2</v>
      </c>
      <c r="AB448" s="301">
        <f t="shared" si="173"/>
        <v>0</v>
      </c>
      <c r="AC448" s="301">
        <f t="shared" si="160"/>
        <v>0</v>
      </c>
      <c r="AD448" s="301">
        <f t="shared" si="174"/>
        <v>0</v>
      </c>
      <c r="AE448" s="301">
        <f t="shared" si="175"/>
        <v>0</v>
      </c>
      <c r="AF448" s="477">
        <f t="shared" si="176"/>
        <v>0</v>
      </c>
      <c r="AI448" s="543">
        <f t="shared" si="161"/>
        <v>0</v>
      </c>
      <c r="AJ448" s="543">
        <f t="shared" si="177"/>
        <v>0</v>
      </c>
      <c r="AK448" s="300">
        <f t="shared" si="178"/>
        <v>0</v>
      </c>
      <c r="AL448" s="543">
        <f t="shared" si="179"/>
        <v>0</v>
      </c>
      <c r="AM448" s="10">
        <f t="shared" si="180"/>
        <v>0</v>
      </c>
      <c r="AN448" s="4"/>
      <c r="AP448" s="437">
        <f t="shared" si="181"/>
        <v>0</v>
      </c>
    </row>
    <row r="449" spans="1:42" s="11" customFormat="1" hidden="1" x14ac:dyDescent="0.3">
      <c r="A449" s="775">
        <v>370</v>
      </c>
      <c r="B449" s="775">
        <f t="shared" si="162"/>
        <v>31</v>
      </c>
      <c r="C449" s="891">
        <f t="shared" ref="C449:E464" si="185">+C448</f>
        <v>0.14489675614077413</v>
      </c>
      <c r="D449" s="891"/>
      <c r="E449" s="891">
        <f t="shared" si="185"/>
        <v>0.03</v>
      </c>
      <c r="F449" s="891">
        <f t="shared" si="155"/>
        <v>0.03</v>
      </c>
      <c r="G449" s="893">
        <f t="shared" si="164"/>
        <v>1.151056494563818E-8</v>
      </c>
      <c r="H449" s="436">
        <f t="shared" si="156"/>
        <v>0</v>
      </c>
      <c r="I449" s="302">
        <f t="shared" si="157"/>
        <v>0</v>
      </c>
      <c r="J449" s="301">
        <f t="shared" si="182"/>
        <v>2.9176084758041223E-11</v>
      </c>
      <c r="K449" s="301">
        <f t="shared" si="165"/>
        <v>2.9176084758041223E-11</v>
      </c>
      <c r="L449" s="10">
        <f t="shared" si="166"/>
        <v>2.9176084758041223E-11</v>
      </c>
      <c r="M449" s="302"/>
      <c r="N449" s="435">
        <f t="shared" si="167"/>
        <v>0</v>
      </c>
      <c r="O449" s="436">
        <f t="shared" si="158"/>
        <v>0</v>
      </c>
      <c r="P449" s="436">
        <f t="shared" si="168"/>
        <v>0</v>
      </c>
      <c r="R449" s="354">
        <f>+Hirdetmény!$AA$46</f>
        <v>0.13400000000000001</v>
      </c>
      <c r="S449" s="301">
        <f t="shared" si="169"/>
        <v>0</v>
      </c>
      <c r="T449" s="301">
        <f t="shared" si="159"/>
        <v>0</v>
      </c>
      <c r="U449" s="301">
        <f t="shared" si="170"/>
        <v>0</v>
      </c>
      <c r="V449" s="301">
        <f t="shared" si="171"/>
        <v>0</v>
      </c>
      <c r="W449" s="301">
        <f t="shared" si="172"/>
        <v>0</v>
      </c>
      <c r="AA449" s="12">
        <f>+paraméterek!$B$346</f>
        <v>6.4600000000000005E-2</v>
      </c>
      <c r="AB449" s="301">
        <f t="shared" si="173"/>
        <v>0</v>
      </c>
      <c r="AC449" s="301">
        <f t="shared" si="160"/>
        <v>0</v>
      </c>
      <c r="AD449" s="301">
        <f t="shared" si="174"/>
        <v>0</v>
      </c>
      <c r="AE449" s="301">
        <f t="shared" si="175"/>
        <v>0</v>
      </c>
      <c r="AF449" s="477">
        <f t="shared" si="176"/>
        <v>0</v>
      </c>
      <c r="AI449" s="543">
        <f t="shared" si="161"/>
        <v>0</v>
      </c>
      <c r="AJ449" s="543">
        <f t="shared" si="177"/>
        <v>0</v>
      </c>
      <c r="AK449" s="300">
        <f t="shared" si="178"/>
        <v>0</v>
      </c>
      <c r="AL449" s="543">
        <f t="shared" si="179"/>
        <v>0</v>
      </c>
      <c r="AM449" s="10">
        <f t="shared" si="180"/>
        <v>0</v>
      </c>
      <c r="AN449" s="4"/>
      <c r="AP449" s="437">
        <f t="shared" si="181"/>
        <v>0</v>
      </c>
    </row>
    <row r="450" spans="1:42" s="11" customFormat="1" hidden="1" x14ac:dyDescent="0.3">
      <c r="A450" s="775">
        <v>371</v>
      </c>
      <c r="B450" s="775">
        <f t="shared" si="162"/>
        <v>31</v>
      </c>
      <c r="C450" s="891">
        <f t="shared" si="185"/>
        <v>0.14489675614077413</v>
      </c>
      <c r="D450" s="891"/>
      <c r="E450" s="891">
        <f t="shared" si="185"/>
        <v>0.03</v>
      </c>
      <c r="F450" s="891">
        <f t="shared" si="155"/>
        <v>0.03</v>
      </c>
      <c r="G450" s="893">
        <f t="shared" si="164"/>
        <v>1.151056494563818E-8</v>
      </c>
      <c r="H450" s="436">
        <f t="shared" si="156"/>
        <v>0</v>
      </c>
      <c r="I450" s="302">
        <f t="shared" si="157"/>
        <v>0</v>
      </c>
      <c r="J450" s="301">
        <f t="shared" si="182"/>
        <v>2.9176084758041223E-11</v>
      </c>
      <c r="K450" s="301">
        <f t="shared" si="165"/>
        <v>2.9176084758041223E-11</v>
      </c>
      <c r="L450" s="10">
        <f t="shared" si="166"/>
        <v>2.9176084758041223E-11</v>
      </c>
      <c r="M450" s="302"/>
      <c r="N450" s="435">
        <f t="shared" si="167"/>
        <v>0</v>
      </c>
      <c r="O450" s="436">
        <f t="shared" si="158"/>
        <v>0</v>
      </c>
      <c r="P450" s="436">
        <f t="shared" si="168"/>
        <v>0</v>
      </c>
      <c r="R450" s="354">
        <f>+Hirdetmény!$AA$46</f>
        <v>0.13400000000000001</v>
      </c>
      <c r="S450" s="301">
        <f t="shared" si="169"/>
        <v>0</v>
      </c>
      <c r="T450" s="301">
        <f t="shared" si="159"/>
        <v>0</v>
      </c>
      <c r="U450" s="301">
        <f t="shared" si="170"/>
        <v>0</v>
      </c>
      <c r="V450" s="301">
        <f t="shared" si="171"/>
        <v>0</v>
      </c>
      <c r="W450" s="301">
        <f t="shared" si="172"/>
        <v>0</v>
      </c>
      <c r="AA450" s="12">
        <f>+paraméterek!$B$346</f>
        <v>6.4600000000000005E-2</v>
      </c>
      <c r="AB450" s="301">
        <f t="shared" si="173"/>
        <v>0</v>
      </c>
      <c r="AC450" s="301">
        <f t="shared" si="160"/>
        <v>0</v>
      </c>
      <c r="AD450" s="301">
        <f t="shared" si="174"/>
        <v>0</v>
      </c>
      <c r="AE450" s="301">
        <f t="shared" si="175"/>
        <v>0</v>
      </c>
      <c r="AF450" s="477">
        <f t="shared" si="176"/>
        <v>0</v>
      </c>
      <c r="AI450" s="543">
        <f t="shared" si="161"/>
        <v>0</v>
      </c>
      <c r="AJ450" s="543">
        <f t="shared" si="177"/>
        <v>0</v>
      </c>
      <c r="AK450" s="300">
        <f t="shared" si="178"/>
        <v>0</v>
      </c>
      <c r="AL450" s="543">
        <f t="shared" si="179"/>
        <v>0</v>
      </c>
      <c r="AM450" s="10">
        <f t="shared" si="180"/>
        <v>0</v>
      </c>
      <c r="AN450" s="4"/>
      <c r="AP450" s="437">
        <f t="shared" si="181"/>
        <v>0</v>
      </c>
    </row>
    <row r="451" spans="1:42" s="11" customFormat="1" hidden="1" x14ac:dyDescent="0.3">
      <c r="A451" s="775">
        <v>372</v>
      </c>
      <c r="B451" s="775">
        <f t="shared" si="162"/>
        <v>31</v>
      </c>
      <c r="C451" s="891">
        <f t="shared" si="185"/>
        <v>0.14489675614077413</v>
      </c>
      <c r="D451" s="891"/>
      <c r="E451" s="891">
        <f t="shared" si="185"/>
        <v>0.03</v>
      </c>
      <c r="F451" s="891">
        <f t="shared" si="155"/>
        <v>0.03</v>
      </c>
      <c r="G451" s="893">
        <f t="shared" si="164"/>
        <v>1.151056494563818E-8</v>
      </c>
      <c r="H451" s="436">
        <f t="shared" si="156"/>
        <v>0</v>
      </c>
      <c r="I451" s="302">
        <f t="shared" si="157"/>
        <v>0</v>
      </c>
      <c r="J451" s="301">
        <f t="shared" si="182"/>
        <v>2.9176084758041223E-11</v>
      </c>
      <c r="K451" s="301">
        <f t="shared" si="165"/>
        <v>2.9176084758041223E-11</v>
      </c>
      <c r="L451" s="10">
        <f t="shared" si="166"/>
        <v>2.9176084758041223E-11</v>
      </c>
      <c r="M451" s="302"/>
      <c r="N451" s="435">
        <f t="shared" si="167"/>
        <v>0</v>
      </c>
      <c r="O451" s="436">
        <f t="shared" si="158"/>
        <v>0</v>
      </c>
      <c r="P451" s="436">
        <f t="shared" si="168"/>
        <v>0</v>
      </c>
      <c r="R451" s="354">
        <f>+Hirdetmény!$AA$46</f>
        <v>0.13400000000000001</v>
      </c>
      <c r="S451" s="301">
        <f t="shared" si="169"/>
        <v>0</v>
      </c>
      <c r="T451" s="301">
        <f t="shared" si="159"/>
        <v>0</v>
      </c>
      <c r="U451" s="301">
        <f t="shared" si="170"/>
        <v>0</v>
      </c>
      <c r="V451" s="301">
        <f t="shared" si="171"/>
        <v>0</v>
      </c>
      <c r="W451" s="301">
        <f t="shared" si="172"/>
        <v>0</v>
      </c>
      <c r="AA451" s="12">
        <f>+paraméterek!$B$346</f>
        <v>6.4600000000000005E-2</v>
      </c>
      <c r="AB451" s="301">
        <f t="shared" si="173"/>
        <v>0</v>
      </c>
      <c r="AC451" s="301">
        <f t="shared" si="160"/>
        <v>0</v>
      </c>
      <c r="AD451" s="301">
        <f t="shared" si="174"/>
        <v>0</v>
      </c>
      <c r="AE451" s="301">
        <f t="shared" si="175"/>
        <v>0</v>
      </c>
      <c r="AF451" s="477">
        <f t="shared" si="176"/>
        <v>0</v>
      </c>
      <c r="AI451" s="543">
        <f t="shared" si="161"/>
        <v>0</v>
      </c>
      <c r="AJ451" s="543">
        <f t="shared" si="177"/>
        <v>0</v>
      </c>
      <c r="AK451" s="300">
        <f t="shared" si="178"/>
        <v>0</v>
      </c>
      <c r="AL451" s="543">
        <f t="shared" si="179"/>
        <v>0</v>
      </c>
      <c r="AM451" s="10">
        <f t="shared" si="180"/>
        <v>0</v>
      </c>
      <c r="AN451" s="4"/>
      <c r="AP451" s="437">
        <f t="shared" si="181"/>
        <v>0</v>
      </c>
    </row>
    <row r="452" spans="1:42" s="11" customFormat="1" hidden="1" x14ac:dyDescent="0.3">
      <c r="A452" s="775">
        <v>373</v>
      </c>
      <c r="B452" s="775">
        <f t="shared" si="162"/>
        <v>32</v>
      </c>
      <c r="C452" s="891">
        <f t="shared" si="185"/>
        <v>0.14489675614077413</v>
      </c>
      <c r="D452" s="891"/>
      <c r="E452" s="891">
        <f t="shared" si="185"/>
        <v>0.03</v>
      </c>
      <c r="F452" s="891">
        <f t="shared" si="155"/>
        <v>0.03</v>
      </c>
      <c r="G452" s="893">
        <f t="shared" si="164"/>
        <v>1.151056494563818E-8</v>
      </c>
      <c r="H452" s="436">
        <f t="shared" si="156"/>
        <v>0</v>
      </c>
      <c r="I452" s="302">
        <f t="shared" si="157"/>
        <v>0</v>
      </c>
      <c r="J452" s="301">
        <f t="shared" si="182"/>
        <v>2.9176084758041223E-11</v>
      </c>
      <c r="K452" s="301">
        <f t="shared" si="165"/>
        <v>2.9176084758041223E-11</v>
      </c>
      <c r="L452" s="10">
        <f t="shared" si="166"/>
        <v>2.9176084758041223E-11</v>
      </c>
      <c r="M452" s="302"/>
      <c r="N452" s="435">
        <f t="shared" si="167"/>
        <v>0</v>
      </c>
      <c r="O452" s="436">
        <f t="shared" si="158"/>
        <v>0</v>
      </c>
      <c r="P452" s="436">
        <f t="shared" si="168"/>
        <v>0</v>
      </c>
      <c r="R452" s="354">
        <f>+Hirdetmény!$AA$46</f>
        <v>0.13400000000000001</v>
      </c>
      <c r="S452" s="301">
        <f t="shared" si="169"/>
        <v>0</v>
      </c>
      <c r="T452" s="301">
        <f t="shared" si="159"/>
        <v>0</v>
      </c>
      <c r="U452" s="301">
        <f t="shared" si="170"/>
        <v>0</v>
      </c>
      <c r="V452" s="301">
        <f t="shared" si="171"/>
        <v>0</v>
      </c>
      <c r="W452" s="301">
        <f t="shared" si="172"/>
        <v>0</v>
      </c>
      <c r="AA452" s="12">
        <f>+paraméterek!$B$346</f>
        <v>6.4600000000000005E-2</v>
      </c>
      <c r="AB452" s="301">
        <f t="shared" si="173"/>
        <v>0</v>
      </c>
      <c r="AC452" s="301">
        <f t="shared" si="160"/>
        <v>0</v>
      </c>
      <c r="AD452" s="301">
        <f t="shared" si="174"/>
        <v>0</v>
      </c>
      <c r="AE452" s="301">
        <f t="shared" si="175"/>
        <v>0</v>
      </c>
      <c r="AF452" s="477">
        <f t="shared" si="176"/>
        <v>0</v>
      </c>
      <c r="AI452" s="543">
        <f t="shared" si="161"/>
        <v>0</v>
      </c>
      <c r="AJ452" s="543">
        <f t="shared" si="177"/>
        <v>0</v>
      </c>
      <c r="AK452" s="300">
        <f t="shared" si="178"/>
        <v>0</v>
      </c>
      <c r="AL452" s="543">
        <f t="shared" si="179"/>
        <v>0</v>
      </c>
      <c r="AM452" s="10">
        <f t="shared" si="180"/>
        <v>0</v>
      </c>
      <c r="AN452" s="4"/>
      <c r="AP452" s="437">
        <f t="shared" si="181"/>
        <v>0</v>
      </c>
    </row>
    <row r="453" spans="1:42" s="11" customFormat="1" hidden="1" x14ac:dyDescent="0.3">
      <c r="A453" s="775">
        <v>374</v>
      </c>
      <c r="B453" s="775">
        <f t="shared" si="162"/>
        <v>32</v>
      </c>
      <c r="C453" s="891">
        <f t="shared" si="185"/>
        <v>0.14489675614077413</v>
      </c>
      <c r="D453" s="891"/>
      <c r="E453" s="891">
        <f t="shared" si="185"/>
        <v>0.03</v>
      </c>
      <c r="F453" s="891">
        <f t="shared" si="155"/>
        <v>0.03</v>
      </c>
      <c r="G453" s="893">
        <f t="shared" si="164"/>
        <v>1.151056494563818E-8</v>
      </c>
      <c r="H453" s="436">
        <f t="shared" si="156"/>
        <v>0</v>
      </c>
      <c r="I453" s="302">
        <f t="shared" si="157"/>
        <v>0</v>
      </c>
      <c r="J453" s="301">
        <f t="shared" si="182"/>
        <v>2.9176084758041223E-11</v>
      </c>
      <c r="K453" s="301">
        <f t="shared" si="165"/>
        <v>2.9176084758041223E-11</v>
      </c>
      <c r="L453" s="10">
        <f t="shared" si="166"/>
        <v>2.9176084758041223E-11</v>
      </c>
      <c r="M453" s="302"/>
      <c r="N453" s="435">
        <f t="shared" si="167"/>
        <v>0</v>
      </c>
      <c r="O453" s="436">
        <f t="shared" si="158"/>
        <v>0</v>
      </c>
      <c r="P453" s="436">
        <f t="shared" si="168"/>
        <v>0</v>
      </c>
      <c r="R453" s="354">
        <f>+Hirdetmény!$AA$46</f>
        <v>0.13400000000000001</v>
      </c>
      <c r="S453" s="301">
        <f t="shared" si="169"/>
        <v>0</v>
      </c>
      <c r="T453" s="301">
        <f t="shared" si="159"/>
        <v>0</v>
      </c>
      <c r="U453" s="301">
        <f t="shared" si="170"/>
        <v>0</v>
      </c>
      <c r="V453" s="301">
        <f t="shared" si="171"/>
        <v>0</v>
      </c>
      <c r="W453" s="301">
        <f t="shared" si="172"/>
        <v>0</v>
      </c>
      <c r="AA453" s="12">
        <f>+paraméterek!$B$346</f>
        <v>6.4600000000000005E-2</v>
      </c>
      <c r="AB453" s="301">
        <f t="shared" si="173"/>
        <v>0</v>
      </c>
      <c r="AC453" s="301">
        <f t="shared" si="160"/>
        <v>0</v>
      </c>
      <c r="AD453" s="301">
        <f t="shared" si="174"/>
        <v>0</v>
      </c>
      <c r="AE453" s="301">
        <f t="shared" si="175"/>
        <v>0</v>
      </c>
      <c r="AF453" s="477">
        <f t="shared" si="176"/>
        <v>0</v>
      </c>
      <c r="AI453" s="543">
        <f t="shared" si="161"/>
        <v>0</v>
      </c>
      <c r="AJ453" s="543">
        <f t="shared" si="177"/>
        <v>0</v>
      </c>
      <c r="AK453" s="300">
        <f t="shared" si="178"/>
        <v>0</v>
      </c>
      <c r="AL453" s="543">
        <f t="shared" si="179"/>
        <v>0</v>
      </c>
      <c r="AM453" s="10">
        <f t="shared" si="180"/>
        <v>0</v>
      </c>
      <c r="AN453" s="4"/>
      <c r="AP453" s="437">
        <f t="shared" si="181"/>
        <v>0</v>
      </c>
    </row>
    <row r="454" spans="1:42" s="11" customFormat="1" hidden="1" x14ac:dyDescent="0.3">
      <c r="A454" s="775">
        <v>375</v>
      </c>
      <c r="B454" s="775">
        <f t="shared" si="162"/>
        <v>32</v>
      </c>
      <c r="C454" s="891">
        <f t="shared" si="185"/>
        <v>0.14489675614077413</v>
      </c>
      <c r="D454" s="891"/>
      <c r="E454" s="891">
        <f t="shared" si="185"/>
        <v>0.03</v>
      </c>
      <c r="F454" s="891">
        <f t="shared" si="155"/>
        <v>0.03</v>
      </c>
      <c r="G454" s="893">
        <f t="shared" si="164"/>
        <v>1.151056494563818E-8</v>
      </c>
      <c r="H454" s="436">
        <f t="shared" si="156"/>
        <v>0</v>
      </c>
      <c r="I454" s="302">
        <f t="shared" si="157"/>
        <v>0</v>
      </c>
      <c r="J454" s="301">
        <f t="shared" si="182"/>
        <v>2.9176084758041223E-11</v>
      </c>
      <c r="K454" s="301">
        <f t="shared" si="165"/>
        <v>2.9176084758041223E-11</v>
      </c>
      <c r="L454" s="10">
        <f t="shared" si="166"/>
        <v>2.9176084758041223E-11</v>
      </c>
      <c r="M454" s="302"/>
      <c r="N454" s="435">
        <f t="shared" si="167"/>
        <v>0</v>
      </c>
      <c r="O454" s="436">
        <f t="shared" si="158"/>
        <v>0</v>
      </c>
      <c r="P454" s="436">
        <f t="shared" si="168"/>
        <v>0</v>
      </c>
      <c r="R454" s="354">
        <f>+Hirdetmény!$AA$46</f>
        <v>0.13400000000000001</v>
      </c>
      <c r="S454" s="301">
        <f t="shared" si="169"/>
        <v>0</v>
      </c>
      <c r="T454" s="301">
        <f t="shared" si="159"/>
        <v>0</v>
      </c>
      <c r="U454" s="301">
        <f t="shared" si="170"/>
        <v>0</v>
      </c>
      <c r="V454" s="301">
        <f t="shared" si="171"/>
        <v>0</v>
      </c>
      <c r="W454" s="301">
        <f t="shared" si="172"/>
        <v>0</v>
      </c>
      <c r="AA454" s="12">
        <f>+paraméterek!$B$346</f>
        <v>6.4600000000000005E-2</v>
      </c>
      <c r="AB454" s="301">
        <f t="shared" si="173"/>
        <v>0</v>
      </c>
      <c r="AC454" s="301">
        <f t="shared" si="160"/>
        <v>0</v>
      </c>
      <c r="AD454" s="301">
        <f t="shared" si="174"/>
        <v>0</v>
      </c>
      <c r="AE454" s="301">
        <f t="shared" si="175"/>
        <v>0</v>
      </c>
      <c r="AF454" s="477">
        <f t="shared" si="176"/>
        <v>0</v>
      </c>
      <c r="AI454" s="543">
        <f t="shared" si="161"/>
        <v>0</v>
      </c>
      <c r="AJ454" s="543">
        <f t="shared" si="177"/>
        <v>0</v>
      </c>
      <c r="AK454" s="300">
        <f t="shared" si="178"/>
        <v>0</v>
      </c>
      <c r="AL454" s="543">
        <f t="shared" si="179"/>
        <v>0</v>
      </c>
      <c r="AM454" s="10">
        <f t="shared" si="180"/>
        <v>0</v>
      </c>
      <c r="AN454" s="4"/>
      <c r="AP454" s="437">
        <f t="shared" si="181"/>
        <v>0</v>
      </c>
    </row>
    <row r="455" spans="1:42" s="11" customFormat="1" hidden="1" x14ac:dyDescent="0.3">
      <c r="A455" s="775">
        <v>376</v>
      </c>
      <c r="B455" s="775">
        <f t="shared" si="162"/>
        <v>32</v>
      </c>
      <c r="C455" s="891">
        <f t="shared" si="185"/>
        <v>0.14489675614077413</v>
      </c>
      <c r="D455" s="891"/>
      <c r="E455" s="891">
        <f t="shared" si="185"/>
        <v>0.03</v>
      </c>
      <c r="F455" s="891">
        <f t="shared" si="155"/>
        <v>0.03</v>
      </c>
      <c r="G455" s="893">
        <f t="shared" si="164"/>
        <v>1.151056494563818E-8</v>
      </c>
      <c r="H455" s="436">
        <f t="shared" si="156"/>
        <v>0</v>
      </c>
      <c r="I455" s="302">
        <f t="shared" si="157"/>
        <v>0</v>
      </c>
      <c r="J455" s="301">
        <f t="shared" si="182"/>
        <v>2.9176084758041223E-11</v>
      </c>
      <c r="K455" s="301">
        <f t="shared" si="165"/>
        <v>2.9176084758041223E-11</v>
      </c>
      <c r="L455" s="10">
        <f t="shared" si="166"/>
        <v>2.9176084758041223E-11</v>
      </c>
      <c r="M455" s="302"/>
      <c r="N455" s="435">
        <f t="shared" si="167"/>
        <v>0</v>
      </c>
      <c r="O455" s="436">
        <f t="shared" si="158"/>
        <v>0</v>
      </c>
      <c r="P455" s="436">
        <f t="shared" si="168"/>
        <v>0</v>
      </c>
      <c r="R455" s="354">
        <f>+Hirdetmény!$AA$46</f>
        <v>0.13400000000000001</v>
      </c>
      <c r="S455" s="301">
        <f t="shared" si="169"/>
        <v>0</v>
      </c>
      <c r="T455" s="301">
        <f t="shared" si="159"/>
        <v>0</v>
      </c>
      <c r="U455" s="301">
        <f t="shared" si="170"/>
        <v>0</v>
      </c>
      <c r="V455" s="301">
        <f t="shared" si="171"/>
        <v>0</v>
      </c>
      <c r="W455" s="301">
        <f t="shared" si="172"/>
        <v>0</v>
      </c>
      <c r="AA455" s="12">
        <f>+paraméterek!$B$346</f>
        <v>6.4600000000000005E-2</v>
      </c>
      <c r="AB455" s="301">
        <f t="shared" si="173"/>
        <v>0</v>
      </c>
      <c r="AC455" s="301">
        <f t="shared" si="160"/>
        <v>0</v>
      </c>
      <c r="AD455" s="301">
        <f t="shared" si="174"/>
        <v>0</v>
      </c>
      <c r="AE455" s="301">
        <f t="shared" si="175"/>
        <v>0</v>
      </c>
      <c r="AF455" s="477">
        <f t="shared" si="176"/>
        <v>0</v>
      </c>
      <c r="AI455" s="543">
        <f t="shared" si="161"/>
        <v>0</v>
      </c>
      <c r="AJ455" s="543">
        <f t="shared" si="177"/>
        <v>0</v>
      </c>
      <c r="AK455" s="300">
        <f t="shared" si="178"/>
        <v>0</v>
      </c>
      <c r="AL455" s="543">
        <f t="shared" si="179"/>
        <v>0</v>
      </c>
      <c r="AM455" s="10">
        <f t="shared" si="180"/>
        <v>0</v>
      </c>
      <c r="AN455" s="4"/>
      <c r="AP455" s="437">
        <f t="shared" si="181"/>
        <v>0</v>
      </c>
    </row>
    <row r="456" spans="1:42" s="11" customFormat="1" hidden="1" x14ac:dyDescent="0.3">
      <c r="A456" s="775">
        <v>377</v>
      </c>
      <c r="B456" s="775">
        <f t="shared" si="162"/>
        <v>32</v>
      </c>
      <c r="C456" s="891">
        <f t="shared" si="185"/>
        <v>0.14489675614077413</v>
      </c>
      <c r="D456" s="891"/>
      <c r="E456" s="891">
        <f t="shared" si="185"/>
        <v>0.03</v>
      </c>
      <c r="F456" s="891">
        <f t="shared" si="155"/>
        <v>0.03</v>
      </c>
      <c r="G456" s="893">
        <f t="shared" si="164"/>
        <v>1.151056494563818E-8</v>
      </c>
      <c r="H456" s="436">
        <f t="shared" si="156"/>
        <v>0</v>
      </c>
      <c r="I456" s="302">
        <f t="shared" si="157"/>
        <v>0</v>
      </c>
      <c r="J456" s="301">
        <f t="shared" si="182"/>
        <v>2.9176084758041223E-11</v>
      </c>
      <c r="K456" s="301">
        <f t="shared" si="165"/>
        <v>2.9176084758041223E-11</v>
      </c>
      <c r="L456" s="10">
        <f t="shared" si="166"/>
        <v>2.9176084758041223E-11</v>
      </c>
      <c r="M456" s="302"/>
      <c r="N456" s="435">
        <f t="shared" si="167"/>
        <v>0</v>
      </c>
      <c r="O456" s="436">
        <f t="shared" si="158"/>
        <v>0</v>
      </c>
      <c r="P456" s="436">
        <f t="shared" si="168"/>
        <v>0</v>
      </c>
      <c r="R456" s="354">
        <f>+Hirdetmény!$AA$46</f>
        <v>0.13400000000000001</v>
      </c>
      <c r="S456" s="301">
        <f t="shared" si="169"/>
        <v>0</v>
      </c>
      <c r="T456" s="301">
        <f t="shared" si="159"/>
        <v>0</v>
      </c>
      <c r="U456" s="301">
        <f t="shared" si="170"/>
        <v>0</v>
      </c>
      <c r="V456" s="301">
        <f t="shared" si="171"/>
        <v>0</v>
      </c>
      <c r="W456" s="301">
        <f t="shared" si="172"/>
        <v>0</v>
      </c>
      <c r="AA456" s="12">
        <f>+paraméterek!$B$346</f>
        <v>6.4600000000000005E-2</v>
      </c>
      <c r="AB456" s="301">
        <f t="shared" si="173"/>
        <v>0</v>
      </c>
      <c r="AC456" s="301">
        <f t="shared" si="160"/>
        <v>0</v>
      </c>
      <c r="AD456" s="301">
        <f t="shared" si="174"/>
        <v>0</v>
      </c>
      <c r="AE456" s="301">
        <f t="shared" si="175"/>
        <v>0</v>
      </c>
      <c r="AF456" s="477">
        <f t="shared" si="176"/>
        <v>0</v>
      </c>
      <c r="AI456" s="543">
        <f t="shared" si="161"/>
        <v>0</v>
      </c>
      <c r="AJ456" s="543">
        <f t="shared" si="177"/>
        <v>0</v>
      </c>
      <c r="AK456" s="300">
        <f t="shared" si="178"/>
        <v>0</v>
      </c>
      <c r="AL456" s="543">
        <f t="shared" si="179"/>
        <v>0</v>
      </c>
      <c r="AM456" s="10">
        <f t="shared" si="180"/>
        <v>0</v>
      </c>
      <c r="AN456" s="4"/>
      <c r="AP456" s="437">
        <f t="shared" si="181"/>
        <v>0</v>
      </c>
    </row>
    <row r="457" spans="1:42" s="11" customFormat="1" hidden="1" x14ac:dyDescent="0.3">
      <c r="A457" s="775">
        <v>378</v>
      </c>
      <c r="B457" s="775">
        <f t="shared" si="162"/>
        <v>32</v>
      </c>
      <c r="C457" s="891">
        <f t="shared" si="185"/>
        <v>0.14489675614077413</v>
      </c>
      <c r="D457" s="891"/>
      <c r="E457" s="891">
        <f t="shared" si="185"/>
        <v>0.03</v>
      </c>
      <c r="F457" s="891">
        <f t="shared" si="155"/>
        <v>0.03</v>
      </c>
      <c r="G457" s="893">
        <f t="shared" si="164"/>
        <v>1.151056494563818E-8</v>
      </c>
      <c r="H457" s="436">
        <f t="shared" si="156"/>
        <v>0</v>
      </c>
      <c r="I457" s="302">
        <f t="shared" si="157"/>
        <v>0</v>
      </c>
      <c r="J457" s="301">
        <f t="shared" si="182"/>
        <v>2.9176084758041223E-11</v>
      </c>
      <c r="K457" s="301">
        <f t="shared" si="165"/>
        <v>2.9176084758041223E-11</v>
      </c>
      <c r="L457" s="10">
        <f t="shared" si="166"/>
        <v>2.9176084758041223E-11</v>
      </c>
      <c r="M457" s="302"/>
      <c r="N457" s="435">
        <f t="shared" si="167"/>
        <v>0</v>
      </c>
      <c r="O457" s="436">
        <f t="shared" si="158"/>
        <v>0</v>
      </c>
      <c r="P457" s="436">
        <f t="shared" si="168"/>
        <v>0</v>
      </c>
      <c r="R457" s="354">
        <f>+Hirdetmény!$AA$46</f>
        <v>0.13400000000000001</v>
      </c>
      <c r="S457" s="301">
        <f t="shared" si="169"/>
        <v>0</v>
      </c>
      <c r="T457" s="301">
        <f t="shared" si="159"/>
        <v>0</v>
      </c>
      <c r="U457" s="301">
        <f t="shared" si="170"/>
        <v>0</v>
      </c>
      <c r="V457" s="301">
        <f t="shared" si="171"/>
        <v>0</v>
      </c>
      <c r="W457" s="301">
        <f t="shared" si="172"/>
        <v>0</v>
      </c>
      <c r="AA457" s="12">
        <f>+paraméterek!$B$346</f>
        <v>6.4600000000000005E-2</v>
      </c>
      <c r="AB457" s="301">
        <f t="shared" si="173"/>
        <v>0</v>
      </c>
      <c r="AC457" s="301">
        <f t="shared" si="160"/>
        <v>0</v>
      </c>
      <c r="AD457" s="301">
        <f t="shared" si="174"/>
        <v>0</v>
      </c>
      <c r="AE457" s="301">
        <f t="shared" si="175"/>
        <v>0</v>
      </c>
      <c r="AF457" s="477">
        <f t="shared" si="176"/>
        <v>0</v>
      </c>
      <c r="AI457" s="543">
        <f t="shared" si="161"/>
        <v>0</v>
      </c>
      <c r="AJ457" s="543">
        <f t="shared" si="177"/>
        <v>0</v>
      </c>
      <c r="AK457" s="300">
        <f t="shared" si="178"/>
        <v>0</v>
      </c>
      <c r="AL457" s="543">
        <f t="shared" si="179"/>
        <v>0</v>
      </c>
      <c r="AM457" s="10">
        <f t="shared" si="180"/>
        <v>0</v>
      </c>
      <c r="AN457" s="4"/>
      <c r="AP457" s="437">
        <f t="shared" si="181"/>
        <v>0</v>
      </c>
    </row>
    <row r="458" spans="1:42" s="11" customFormat="1" hidden="1" x14ac:dyDescent="0.3">
      <c r="A458" s="775">
        <v>379</v>
      </c>
      <c r="B458" s="775">
        <f t="shared" si="162"/>
        <v>32</v>
      </c>
      <c r="C458" s="891">
        <f t="shared" si="185"/>
        <v>0.14489675614077413</v>
      </c>
      <c r="D458" s="891"/>
      <c r="E458" s="891">
        <f t="shared" si="185"/>
        <v>0.03</v>
      </c>
      <c r="F458" s="891">
        <f t="shared" si="155"/>
        <v>0.03</v>
      </c>
      <c r="G458" s="893">
        <f t="shared" si="164"/>
        <v>1.151056494563818E-8</v>
      </c>
      <c r="H458" s="436">
        <f t="shared" si="156"/>
        <v>0</v>
      </c>
      <c r="I458" s="302">
        <f t="shared" si="157"/>
        <v>0</v>
      </c>
      <c r="J458" s="301">
        <f t="shared" si="182"/>
        <v>2.9176084758041223E-11</v>
      </c>
      <c r="K458" s="301">
        <f t="shared" si="165"/>
        <v>2.9176084758041223E-11</v>
      </c>
      <c r="L458" s="10">
        <f t="shared" si="166"/>
        <v>2.9176084758041223E-11</v>
      </c>
      <c r="M458" s="302"/>
      <c r="N458" s="435">
        <f t="shared" si="167"/>
        <v>0</v>
      </c>
      <c r="O458" s="436">
        <f t="shared" si="158"/>
        <v>0</v>
      </c>
      <c r="P458" s="436">
        <f t="shared" si="168"/>
        <v>0</v>
      </c>
      <c r="R458" s="354">
        <f>+Hirdetmény!$AA$46</f>
        <v>0.13400000000000001</v>
      </c>
      <c r="S458" s="301">
        <f t="shared" si="169"/>
        <v>0</v>
      </c>
      <c r="T458" s="301">
        <f t="shared" si="159"/>
        <v>0</v>
      </c>
      <c r="U458" s="301">
        <f t="shared" si="170"/>
        <v>0</v>
      </c>
      <c r="V458" s="301">
        <f t="shared" si="171"/>
        <v>0</v>
      </c>
      <c r="W458" s="301">
        <f t="shared" si="172"/>
        <v>0</v>
      </c>
      <c r="AA458" s="12">
        <f>+paraméterek!$B$346</f>
        <v>6.4600000000000005E-2</v>
      </c>
      <c r="AB458" s="301">
        <f t="shared" si="173"/>
        <v>0</v>
      </c>
      <c r="AC458" s="301">
        <f t="shared" si="160"/>
        <v>0</v>
      </c>
      <c r="AD458" s="301">
        <f t="shared" si="174"/>
        <v>0</v>
      </c>
      <c r="AE458" s="301">
        <f t="shared" si="175"/>
        <v>0</v>
      </c>
      <c r="AF458" s="477">
        <f t="shared" si="176"/>
        <v>0</v>
      </c>
      <c r="AI458" s="543">
        <f t="shared" si="161"/>
        <v>0</v>
      </c>
      <c r="AJ458" s="543">
        <f t="shared" si="177"/>
        <v>0</v>
      </c>
      <c r="AK458" s="300">
        <f t="shared" si="178"/>
        <v>0</v>
      </c>
      <c r="AL458" s="543">
        <f t="shared" si="179"/>
        <v>0</v>
      </c>
      <c r="AM458" s="10">
        <f t="shared" si="180"/>
        <v>0</v>
      </c>
      <c r="AN458" s="4"/>
      <c r="AP458" s="437">
        <f t="shared" si="181"/>
        <v>0</v>
      </c>
    </row>
    <row r="459" spans="1:42" s="11" customFormat="1" hidden="1" x14ac:dyDescent="0.3">
      <c r="A459" s="775">
        <v>380</v>
      </c>
      <c r="B459" s="775">
        <f t="shared" si="162"/>
        <v>32</v>
      </c>
      <c r="C459" s="891">
        <f t="shared" si="185"/>
        <v>0.14489675614077413</v>
      </c>
      <c r="D459" s="891"/>
      <c r="E459" s="891">
        <f t="shared" si="185"/>
        <v>0.03</v>
      </c>
      <c r="F459" s="891">
        <f t="shared" si="155"/>
        <v>0.03</v>
      </c>
      <c r="G459" s="893">
        <f t="shared" si="164"/>
        <v>1.151056494563818E-8</v>
      </c>
      <c r="H459" s="436">
        <f t="shared" si="156"/>
        <v>0</v>
      </c>
      <c r="I459" s="302">
        <f t="shared" si="157"/>
        <v>0</v>
      </c>
      <c r="J459" s="301">
        <f t="shared" si="182"/>
        <v>2.9176084758041223E-11</v>
      </c>
      <c r="K459" s="301">
        <f t="shared" si="165"/>
        <v>2.9176084758041223E-11</v>
      </c>
      <c r="L459" s="10">
        <f t="shared" si="166"/>
        <v>2.9176084758041223E-11</v>
      </c>
      <c r="M459" s="302"/>
      <c r="N459" s="435">
        <f t="shared" si="167"/>
        <v>0</v>
      </c>
      <c r="O459" s="436">
        <f t="shared" si="158"/>
        <v>0</v>
      </c>
      <c r="P459" s="436">
        <f t="shared" si="168"/>
        <v>0</v>
      </c>
      <c r="R459" s="354">
        <f>+Hirdetmény!$AA$46</f>
        <v>0.13400000000000001</v>
      </c>
      <c r="S459" s="301">
        <f t="shared" si="169"/>
        <v>0</v>
      </c>
      <c r="T459" s="301">
        <f t="shared" si="159"/>
        <v>0</v>
      </c>
      <c r="U459" s="301">
        <f t="shared" si="170"/>
        <v>0</v>
      </c>
      <c r="V459" s="301">
        <f t="shared" si="171"/>
        <v>0</v>
      </c>
      <c r="W459" s="301">
        <f t="shared" si="172"/>
        <v>0</v>
      </c>
      <c r="AA459" s="12">
        <f>+paraméterek!$B$346</f>
        <v>6.4600000000000005E-2</v>
      </c>
      <c r="AB459" s="301">
        <f t="shared" si="173"/>
        <v>0</v>
      </c>
      <c r="AC459" s="301">
        <f t="shared" si="160"/>
        <v>0</v>
      </c>
      <c r="AD459" s="301">
        <f t="shared" si="174"/>
        <v>0</v>
      </c>
      <c r="AE459" s="301">
        <f t="shared" si="175"/>
        <v>0</v>
      </c>
      <c r="AF459" s="477">
        <f t="shared" si="176"/>
        <v>0</v>
      </c>
      <c r="AI459" s="543">
        <f t="shared" si="161"/>
        <v>0</v>
      </c>
      <c r="AJ459" s="543">
        <f t="shared" si="177"/>
        <v>0</v>
      </c>
      <c r="AK459" s="300">
        <f t="shared" si="178"/>
        <v>0</v>
      </c>
      <c r="AL459" s="543">
        <f t="shared" si="179"/>
        <v>0</v>
      </c>
      <c r="AM459" s="10">
        <f t="shared" si="180"/>
        <v>0</v>
      </c>
      <c r="AN459" s="4"/>
      <c r="AP459" s="437">
        <f t="shared" si="181"/>
        <v>0</v>
      </c>
    </row>
    <row r="460" spans="1:42" s="11" customFormat="1" hidden="1" x14ac:dyDescent="0.3">
      <c r="A460" s="775">
        <v>381</v>
      </c>
      <c r="B460" s="775">
        <f t="shared" si="162"/>
        <v>32</v>
      </c>
      <c r="C460" s="891">
        <f t="shared" si="185"/>
        <v>0.14489675614077413</v>
      </c>
      <c r="D460" s="891"/>
      <c r="E460" s="891">
        <f t="shared" si="185"/>
        <v>0.03</v>
      </c>
      <c r="F460" s="891">
        <f t="shared" si="155"/>
        <v>0.03</v>
      </c>
      <c r="G460" s="893">
        <f t="shared" si="164"/>
        <v>1.151056494563818E-8</v>
      </c>
      <c r="H460" s="436">
        <f t="shared" si="156"/>
        <v>0</v>
      </c>
      <c r="I460" s="302">
        <f t="shared" si="157"/>
        <v>0</v>
      </c>
      <c r="J460" s="301">
        <f t="shared" si="182"/>
        <v>2.9176084758041223E-11</v>
      </c>
      <c r="K460" s="301">
        <f t="shared" si="165"/>
        <v>2.9176084758041223E-11</v>
      </c>
      <c r="L460" s="10">
        <f t="shared" si="166"/>
        <v>2.9176084758041223E-11</v>
      </c>
      <c r="M460" s="302"/>
      <c r="N460" s="435">
        <f t="shared" si="167"/>
        <v>0</v>
      </c>
      <c r="O460" s="436">
        <f t="shared" si="158"/>
        <v>0</v>
      </c>
      <c r="P460" s="436">
        <f t="shared" si="168"/>
        <v>0</v>
      </c>
      <c r="R460" s="354">
        <f>+Hirdetmény!$AA$46</f>
        <v>0.13400000000000001</v>
      </c>
      <c r="S460" s="301">
        <f t="shared" si="169"/>
        <v>0</v>
      </c>
      <c r="T460" s="301">
        <f t="shared" si="159"/>
        <v>0</v>
      </c>
      <c r="U460" s="301">
        <f t="shared" si="170"/>
        <v>0</v>
      </c>
      <c r="V460" s="301">
        <f t="shared" si="171"/>
        <v>0</v>
      </c>
      <c r="W460" s="301">
        <f t="shared" si="172"/>
        <v>0</v>
      </c>
      <c r="AA460" s="12">
        <f>+paraméterek!$B$346</f>
        <v>6.4600000000000005E-2</v>
      </c>
      <c r="AB460" s="301">
        <f t="shared" si="173"/>
        <v>0</v>
      </c>
      <c r="AC460" s="301">
        <f t="shared" si="160"/>
        <v>0</v>
      </c>
      <c r="AD460" s="301">
        <f t="shared" si="174"/>
        <v>0</v>
      </c>
      <c r="AE460" s="301">
        <f t="shared" si="175"/>
        <v>0</v>
      </c>
      <c r="AF460" s="477">
        <f t="shared" si="176"/>
        <v>0</v>
      </c>
      <c r="AI460" s="543">
        <f t="shared" si="161"/>
        <v>0</v>
      </c>
      <c r="AJ460" s="543">
        <f t="shared" si="177"/>
        <v>0</v>
      </c>
      <c r="AK460" s="300">
        <f t="shared" si="178"/>
        <v>0</v>
      </c>
      <c r="AL460" s="543">
        <f t="shared" si="179"/>
        <v>0</v>
      </c>
      <c r="AM460" s="10">
        <f t="shared" si="180"/>
        <v>0</v>
      </c>
      <c r="AN460" s="4"/>
      <c r="AP460" s="437">
        <f t="shared" si="181"/>
        <v>0</v>
      </c>
    </row>
    <row r="461" spans="1:42" s="11" customFormat="1" hidden="1" x14ac:dyDescent="0.3">
      <c r="A461" s="775">
        <v>382</v>
      </c>
      <c r="B461" s="775">
        <f t="shared" si="162"/>
        <v>32</v>
      </c>
      <c r="C461" s="891">
        <f t="shared" si="185"/>
        <v>0.14489675614077413</v>
      </c>
      <c r="D461" s="891"/>
      <c r="E461" s="891">
        <f t="shared" si="185"/>
        <v>0.03</v>
      </c>
      <c r="F461" s="891">
        <f t="shared" si="155"/>
        <v>0.03</v>
      </c>
      <c r="G461" s="893">
        <f t="shared" si="164"/>
        <v>1.151056494563818E-8</v>
      </c>
      <c r="H461" s="436">
        <f t="shared" si="156"/>
        <v>0</v>
      </c>
      <c r="I461" s="302">
        <f t="shared" si="157"/>
        <v>0</v>
      </c>
      <c r="J461" s="301">
        <f t="shared" si="182"/>
        <v>2.9176084758041223E-11</v>
      </c>
      <c r="K461" s="301">
        <f t="shared" si="165"/>
        <v>2.9176084758041223E-11</v>
      </c>
      <c r="L461" s="10">
        <f t="shared" si="166"/>
        <v>2.9176084758041223E-11</v>
      </c>
      <c r="M461" s="302"/>
      <c r="N461" s="435">
        <f t="shared" si="167"/>
        <v>0</v>
      </c>
      <c r="O461" s="436">
        <f t="shared" si="158"/>
        <v>0</v>
      </c>
      <c r="P461" s="436">
        <f t="shared" si="168"/>
        <v>0</v>
      </c>
      <c r="R461" s="354">
        <f>+Hirdetmény!$AA$46</f>
        <v>0.13400000000000001</v>
      </c>
      <c r="S461" s="301">
        <f t="shared" si="169"/>
        <v>0</v>
      </c>
      <c r="T461" s="301">
        <f t="shared" si="159"/>
        <v>0</v>
      </c>
      <c r="U461" s="301">
        <f t="shared" si="170"/>
        <v>0</v>
      </c>
      <c r="V461" s="301">
        <f t="shared" si="171"/>
        <v>0</v>
      </c>
      <c r="W461" s="301">
        <f t="shared" si="172"/>
        <v>0</v>
      </c>
      <c r="AA461" s="12">
        <f>+paraméterek!$B$346</f>
        <v>6.4600000000000005E-2</v>
      </c>
      <c r="AB461" s="301">
        <f t="shared" si="173"/>
        <v>0</v>
      </c>
      <c r="AC461" s="301">
        <f t="shared" si="160"/>
        <v>0</v>
      </c>
      <c r="AD461" s="301">
        <f t="shared" si="174"/>
        <v>0</v>
      </c>
      <c r="AE461" s="301">
        <f t="shared" si="175"/>
        <v>0</v>
      </c>
      <c r="AF461" s="477">
        <f t="shared" si="176"/>
        <v>0</v>
      </c>
      <c r="AI461" s="543">
        <f t="shared" si="161"/>
        <v>0</v>
      </c>
      <c r="AJ461" s="543">
        <f t="shared" si="177"/>
        <v>0</v>
      </c>
      <c r="AK461" s="300">
        <f t="shared" si="178"/>
        <v>0</v>
      </c>
      <c r="AL461" s="543">
        <f t="shared" si="179"/>
        <v>0</v>
      </c>
      <c r="AM461" s="10">
        <f t="shared" si="180"/>
        <v>0</v>
      </c>
      <c r="AN461" s="4"/>
      <c r="AP461" s="437">
        <f t="shared" si="181"/>
        <v>0</v>
      </c>
    </row>
    <row r="462" spans="1:42" s="11" customFormat="1" hidden="1" x14ac:dyDescent="0.3">
      <c r="A462" s="775">
        <v>383</v>
      </c>
      <c r="B462" s="775">
        <f t="shared" si="162"/>
        <v>32</v>
      </c>
      <c r="C462" s="891">
        <f t="shared" si="185"/>
        <v>0.14489675614077413</v>
      </c>
      <c r="D462" s="891"/>
      <c r="E462" s="891">
        <f t="shared" si="185"/>
        <v>0.03</v>
      </c>
      <c r="F462" s="891">
        <f t="shared" si="155"/>
        <v>0.03</v>
      </c>
      <c r="G462" s="893">
        <f t="shared" si="164"/>
        <v>1.151056494563818E-8</v>
      </c>
      <c r="H462" s="436">
        <f t="shared" si="156"/>
        <v>0</v>
      </c>
      <c r="I462" s="302">
        <f t="shared" si="157"/>
        <v>0</v>
      </c>
      <c r="J462" s="301">
        <f t="shared" si="182"/>
        <v>2.9176084758041223E-11</v>
      </c>
      <c r="K462" s="301">
        <f t="shared" si="165"/>
        <v>2.9176084758041223E-11</v>
      </c>
      <c r="L462" s="10">
        <f t="shared" si="166"/>
        <v>2.9176084758041223E-11</v>
      </c>
      <c r="M462" s="302"/>
      <c r="N462" s="435">
        <f t="shared" si="167"/>
        <v>0</v>
      </c>
      <c r="O462" s="436">
        <f t="shared" si="158"/>
        <v>0</v>
      </c>
      <c r="P462" s="436">
        <f t="shared" si="168"/>
        <v>0</v>
      </c>
      <c r="R462" s="354">
        <f>+Hirdetmény!$AA$46</f>
        <v>0.13400000000000001</v>
      </c>
      <c r="S462" s="301">
        <f t="shared" si="169"/>
        <v>0</v>
      </c>
      <c r="T462" s="301">
        <f t="shared" si="159"/>
        <v>0</v>
      </c>
      <c r="U462" s="301">
        <f t="shared" si="170"/>
        <v>0</v>
      </c>
      <c r="V462" s="301">
        <f t="shared" si="171"/>
        <v>0</v>
      </c>
      <c r="W462" s="301">
        <f t="shared" si="172"/>
        <v>0</v>
      </c>
      <c r="AA462" s="12">
        <f>+paraméterek!$B$346</f>
        <v>6.4600000000000005E-2</v>
      </c>
      <c r="AB462" s="301">
        <f t="shared" si="173"/>
        <v>0</v>
      </c>
      <c r="AC462" s="301">
        <f t="shared" si="160"/>
        <v>0</v>
      </c>
      <c r="AD462" s="301">
        <f t="shared" si="174"/>
        <v>0</v>
      </c>
      <c r="AE462" s="301">
        <f t="shared" si="175"/>
        <v>0</v>
      </c>
      <c r="AF462" s="477">
        <f t="shared" si="176"/>
        <v>0</v>
      </c>
      <c r="AI462" s="543">
        <f t="shared" si="161"/>
        <v>0</v>
      </c>
      <c r="AJ462" s="543">
        <f t="shared" si="177"/>
        <v>0</v>
      </c>
      <c r="AK462" s="300">
        <f t="shared" si="178"/>
        <v>0</v>
      </c>
      <c r="AL462" s="543">
        <f t="shared" si="179"/>
        <v>0</v>
      </c>
      <c r="AM462" s="10">
        <f t="shared" si="180"/>
        <v>0</v>
      </c>
      <c r="AN462" s="4"/>
      <c r="AP462" s="437">
        <f t="shared" si="181"/>
        <v>0</v>
      </c>
    </row>
    <row r="463" spans="1:42" s="11" customFormat="1" hidden="1" x14ac:dyDescent="0.3">
      <c r="A463" s="775">
        <v>384</v>
      </c>
      <c r="B463" s="775">
        <f t="shared" si="162"/>
        <v>32</v>
      </c>
      <c r="C463" s="891">
        <f t="shared" si="185"/>
        <v>0.14489675614077413</v>
      </c>
      <c r="D463" s="891"/>
      <c r="E463" s="891">
        <f t="shared" si="185"/>
        <v>0.03</v>
      </c>
      <c r="F463" s="891">
        <f t="shared" si="155"/>
        <v>0.03</v>
      </c>
      <c r="G463" s="893">
        <f t="shared" si="164"/>
        <v>1.151056494563818E-8</v>
      </c>
      <c r="H463" s="436">
        <f t="shared" si="156"/>
        <v>0</v>
      </c>
      <c r="I463" s="302">
        <f t="shared" si="157"/>
        <v>0</v>
      </c>
      <c r="J463" s="301">
        <f t="shared" si="182"/>
        <v>2.9176084758041223E-11</v>
      </c>
      <c r="K463" s="301">
        <f t="shared" si="165"/>
        <v>2.9176084758041223E-11</v>
      </c>
      <c r="L463" s="10">
        <f t="shared" si="166"/>
        <v>2.9176084758041223E-11</v>
      </c>
      <c r="M463" s="302"/>
      <c r="N463" s="435">
        <f t="shared" si="167"/>
        <v>0</v>
      </c>
      <c r="O463" s="436">
        <f t="shared" si="158"/>
        <v>0</v>
      </c>
      <c r="P463" s="436">
        <f t="shared" si="168"/>
        <v>0</v>
      </c>
      <c r="R463" s="354">
        <f>+Hirdetmény!$AA$46</f>
        <v>0.13400000000000001</v>
      </c>
      <c r="S463" s="301">
        <f t="shared" si="169"/>
        <v>0</v>
      </c>
      <c r="T463" s="301">
        <f t="shared" si="159"/>
        <v>0</v>
      </c>
      <c r="U463" s="301">
        <f t="shared" si="170"/>
        <v>0</v>
      </c>
      <c r="V463" s="301">
        <f t="shared" si="171"/>
        <v>0</v>
      </c>
      <c r="W463" s="301">
        <f t="shared" si="172"/>
        <v>0</v>
      </c>
      <c r="AA463" s="12">
        <f>+paraméterek!$B$346</f>
        <v>6.4600000000000005E-2</v>
      </c>
      <c r="AB463" s="301">
        <f t="shared" si="173"/>
        <v>0</v>
      </c>
      <c r="AC463" s="301">
        <f t="shared" si="160"/>
        <v>0</v>
      </c>
      <c r="AD463" s="301">
        <f t="shared" si="174"/>
        <v>0</v>
      </c>
      <c r="AE463" s="301">
        <f t="shared" si="175"/>
        <v>0</v>
      </c>
      <c r="AF463" s="477">
        <f t="shared" si="176"/>
        <v>0</v>
      </c>
      <c r="AI463" s="543">
        <f t="shared" si="161"/>
        <v>0</v>
      </c>
      <c r="AJ463" s="543">
        <f t="shared" si="177"/>
        <v>0</v>
      </c>
      <c r="AK463" s="300">
        <f t="shared" si="178"/>
        <v>0</v>
      </c>
      <c r="AL463" s="543">
        <f t="shared" si="179"/>
        <v>0</v>
      </c>
      <c r="AM463" s="10">
        <f t="shared" si="180"/>
        <v>0</v>
      </c>
      <c r="AN463" s="4"/>
      <c r="AP463" s="437">
        <f t="shared" si="181"/>
        <v>0</v>
      </c>
    </row>
    <row r="464" spans="1:42" s="11" customFormat="1" hidden="1" x14ac:dyDescent="0.3">
      <c r="A464" s="775">
        <v>385</v>
      </c>
      <c r="B464" s="775">
        <f t="shared" si="162"/>
        <v>33</v>
      </c>
      <c r="C464" s="891">
        <f t="shared" si="185"/>
        <v>0.14489675614077413</v>
      </c>
      <c r="D464" s="891"/>
      <c r="E464" s="891">
        <f t="shared" si="185"/>
        <v>0.03</v>
      </c>
      <c r="F464" s="891">
        <f t="shared" ref="F464:F527" si="186">$F$7</f>
        <v>0.03</v>
      </c>
      <c r="G464" s="893">
        <f t="shared" si="164"/>
        <v>1.151056494563818E-8</v>
      </c>
      <c r="H464" s="436">
        <f t="shared" ref="H464:H527" si="187">IF(A464&lt;=$B$16,0,IF(A464&lt;=$B$10,PPMT(F464/360*(365/12),A464-$B$16,$B$10-$B$16,-$G$79),0))</f>
        <v>0</v>
      </c>
      <c r="I464" s="302">
        <f t="shared" ref="I464:I527" si="188">+IF(A464=$B$10,$C$47,0)</f>
        <v>0</v>
      </c>
      <c r="J464" s="301">
        <f t="shared" si="182"/>
        <v>2.9176084758041223E-11</v>
      </c>
      <c r="K464" s="301">
        <f t="shared" si="165"/>
        <v>2.9176084758041223E-11</v>
      </c>
      <c r="L464" s="10">
        <f t="shared" si="166"/>
        <v>2.9176084758041223E-11</v>
      </c>
      <c r="M464" s="302"/>
      <c r="N464" s="435">
        <f t="shared" si="167"/>
        <v>0</v>
      </c>
      <c r="O464" s="436">
        <f t="shared" ref="O464:O527" si="189">IF(A464&lt;=$B$10,$B$54,0)</f>
        <v>0</v>
      </c>
      <c r="P464" s="436">
        <f t="shared" si="168"/>
        <v>0</v>
      </c>
      <c r="R464" s="354">
        <f>+Hirdetmény!$AA$46</f>
        <v>0.13400000000000001</v>
      </c>
      <c r="S464" s="301">
        <f t="shared" si="169"/>
        <v>0</v>
      </c>
      <c r="T464" s="301">
        <f t="shared" ref="T464:T527" si="190">IF(A464&lt;=$B$10,IF(A464&gt;$B$16,PPMT(R464/360*(365/12),1,$B$10-A463,S463,$C$47*-1),0)*-1,0)</f>
        <v>0</v>
      </c>
      <c r="U464" s="301">
        <f t="shared" si="170"/>
        <v>0</v>
      </c>
      <c r="V464" s="301">
        <f t="shared" si="171"/>
        <v>0</v>
      </c>
      <c r="W464" s="301">
        <f t="shared" si="172"/>
        <v>0</v>
      </c>
      <c r="AA464" s="12">
        <f>+paraméterek!$B$346</f>
        <v>6.4600000000000005E-2</v>
      </c>
      <c r="AB464" s="301">
        <f t="shared" si="173"/>
        <v>0</v>
      </c>
      <c r="AC464" s="301">
        <f t="shared" ref="AC464:AC527" si="191">IF(A464&lt;=$B$10,IF(A464&gt;$B$16,PPMT(AA464/360*(365/12),1,$B$10-A463,AB463,$C$47*-1),0)*-1,0)</f>
        <v>0</v>
      </c>
      <c r="AD464" s="301">
        <f t="shared" si="174"/>
        <v>0</v>
      </c>
      <c r="AE464" s="301">
        <f t="shared" si="175"/>
        <v>0</v>
      </c>
      <c r="AF464" s="477">
        <f t="shared" si="176"/>
        <v>0</v>
      </c>
      <c r="AI464" s="543">
        <f t="shared" ref="AI464:AI499" si="192">IF(A464&lt;=24,0,IF(A464&lt;=$B$10,IF(A464&gt;$G$22,PPMT(E464/360*(365/12),1,$B$10-A463,AK463,$G$16*-1),0)*-1,0))</f>
        <v>0</v>
      </c>
      <c r="AJ464" s="543">
        <f t="shared" si="177"/>
        <v>0</v>
      </c>
      <c r="AK464" s="300">
        <f t="shared" si="178"/>
        <v>0</v>
      </c>
      <c r="AL464" s="543">
        <f t="shared" si="179"/>
        <v>0</v>
      </c>
      <c r="AM464" s="10">
        <f t="shared" si="180"/>
        <v>0</v>
      </c>
      <c r="AN464" s="4"/>
      <c r="AP464" s="437">
        <f t="shared" si="181"/>
        <v>0</v>
      </c>
    </row>
    <row r="465" spans="1:42" s="11" customFormat="1" hidden="1" x14ac:dyDescent="0.3">
      <c r="A465" s="775">
        <v>386</v>
      </c>
      <c r="B465" s="775">
        <f t="shared" ref="B465:B528" si="193">+ROUNDUP(A465/12,0)</f>
        <v>33</v>
      </c>
      <c r="C465" s="891">
        <f t="shared" ref="C465:E480" si="194">+C464</f>
        <v>0.14489675614077413</v>
      </c>
      <c r="D465" s="891"/>
      <c r="E465" s="891">
        <f t="shared" si="194"/>
        <v>0.03</v>
      </c>
      <c r="F465" s="891">
        <f t="shared" si="186"/>
        <v>0.03</v>
      </c>
      <c r="G465" s="893">
        <f t="shared" ref="G465:G528" si="195">+G464-H465-I465</f>
        <v>1.151056494563818E-8</v>
      </c>
      <c r="H465" s="436">
        <f t="shared" si="187"/>
        <v>0</v>
      </c>
      <c r="I465" s="302">
        <f t="shared" si="188"/>
        <v>0</v>
      </c>
      <c r="J465" s="301">
        <f t="shared" si="182"/>
        <v>2.9176084758041223E-11</v>
      </c>
      <c r="K465" s="301">
        <f t="shared" ref="K465:K528" si="196">+(H465+J465)+IF($B$15="nem",$B$58,IF(A465&lt;$B$16+1,$B$57,$B$58)+O465)+P465+I465</f>
        <v>2.9176084758041223E-11</v>
      </c>
      <c r="L465" s="10">
        <f t="shared" ref="L465:L528" si="197">H465+I465+J465</f>
        <v>2.9176084758041223E-11</v>
      </c>
      <c r="M465" s="302"/>
      <c r="N465" s="435">
        <f t="shared" ref="N465:N528" si="198">IF(A465&lt;=$B$10,PMT($F$7*365/360/12,$B$10,-$F$66)+O465+P465+$F$52)+IF($B$15="nem",$B$58,IF(A465&lt;$B$16+1,$B$57,$B$58))</f>
        <v>0</v>
      </c>
      <c r="O465" s="436">
        <f t="shared" si="189"/>
        <v>0</v>
      </c>
      <c r="P465" s="436">
        <f t="shared" ref="P465:P528" si="199">IF(A465&lt;=$B$10,IF($B$30="havi",$B$28,0)+IF($B$30="negyedéves",$B$28,0)+IF($B$30="féléves",$B$28,0)+IF($B$66="éves",$B$28,0),0)</f>
        <v>0</v>
      </c>
      <c r="R465" s="354">
        <f>+Hirdetmény!$AA$46</f>
        <v>0.13400000000000001</v>
      </c>
      <c r="S465" s="301">
        <f t="shared" ref="S465:S528" si="200">+S464-T465</f>
        <v>0</v>
      </c>
      <c r="T465" s="301">
        <f t="shared" si="190"/>
        <v>0</v>
      </c>
      <c r="U465" s="301">
        <f t="shared" ref="U465:U528" si="201">+S464*R465/360*(365/12)</f>
        <v>0</v>
      </c>
      <c r="V465" s="301">
        <f t="shared" ref="V465:V528" si="202">+T465+U465</f>
        <v>0</v>
      </c>
      <c r="W465" s="301">
        <f t="shared" ref="W465:W528" si="203">+V465+IF($B$15="nem",$B$58,IF(A465&lt;$B$16+1,$B$57,$B$58))+IF(A465&lt;=$B$10,$B$54+$F$52+P465,0)</f>
        <v>0</v>
      </c>
      <c r="AA465" s="12">
        <f>+paraméterek!$B$346</f>
        <v>6.4600000000000005E-2</v>
      </c>
      <c r="AB465" s="301">
        <f t="shared" ref="AB465:AB528" si="204">+AB464-AC465</f>
        <v>0</v>
      </c>
      <c r="AC465" s="301">
        <f t="shared" si="191"/>
        <v>0</v>
      </c>
      <c r="AD465" s="301">
        <f t="shared" ref="AD465:AD528" si="205">+AB464*AA465/360*(365/12)</f>
        <v>0</v>
      </c>
      <c r="AE465" s="301">
        <f t="shared" ref="AE465:AE528" si="206">+AC465+AD465</f>
        <v>0</v>
      </c>
      <c r="AF465" s="477">
        <f t="shared" ref="AF465:AF528" si="207">+AE465+IF($B$15="nem",$B$58,IF(A465&lt;$B$16+1,$B$57,$B$58)+IF(A465&lt;=$B$10,$B$54+$F$52+P465,0))</f>
        <v>0</v>
      </c>
      <c r="AI465" s="543">
        <f t="shared" si="192"/>
        <v>0</v>
      </c>
      <c r="AJ465" s="543">
        <f t="shared" ref="AJ465:AJ499" si="208">+AK464*E465/360*(365/12)</f>
        <v>0</v>
      </c>
      <c r="AK465" s="300">
        <f t="shared" ref="AK465:AK499" si="209">AK464-AI465</f>
        <v>0</v>
      </c>
      <c r="AL465" s="543">
        <f t="shared" ref="AL465:AL499" si="210">AI465+AJ465</f>
        <v>0</v>
      </c>
      <c r="AM465" s="10">
        <f t="shared" ref="AM465:AM499" si="211">AL465+IF($B$15="nem",$B$58,IF(A465&lt;$B$16+1,$B$57,$B$58)+IF(A465&lt;=$B$10,$B$54+$F$52+P465,0))</f>
        <v>0</v>
      </c>
      <c r="AN465" s="4"/>
      <c r="AP465" s="437">
        <f t="shared" ref="AP465:AP499" si="212">+V465+IF($B$15="nem",$B$58,IF(A465&lt;$B$16+1,$B$57,$B$58)+O465)+IF(A465&gt;$B$10,0,IF($B$28=0,$F$58,$B$28)+I465)</f>
        <v>0</v>
      </c>
    </row>
    <row r="466" spans="1:42" s="11" customFormat="1" hidden="1" x14ac:dyDescent="0.3">
      <c r="A466" s="775">
        <v>387</v>
      </c>
      <c r="B466" s="775">
        <f t="shared" si="193"/>
        <v>33</v>
      </c>
      <c r="C466" s="891">
        <f t="shared" si="194"/>
        <v>0.14489675614077413</v>
      </c>
      <c r="D466" s="891"/>
      <c r="E466" s="891">
        <f t="shared" si="194"/>
        <v>0.03</v>
      </c>
      <c r="F466" s="891">
        <f t="shared" si="186"/>
        <v>0.03</v>
      </c>
      <c r="G466" s="893">
        <f t="shared" si="195"/>
        <v>1.151056494563818E-8</v>
      </c>
      <c r="H466" s="436">
        <f t="shared" si="187"/>
        <v>0</v>
      </c>
      <c r="I466" s="302">
        <f t="shared" si="188"/>
        <v>0</v>
      </c>
      <c r="J466" s="301">
        <f t="shared" ref="J466:J529" si="213">+G465*F466/360*(365/12)</f>
        <v>2.9176084758041223E-11</v>
      </c>
      <c r="K466" s="301">
        <f t="shared" si="196"/>
        <v>2.9176084758041223E-11</v>
      </c>
      <c r="L466" s="10">
        <f t="shared" si="197"/>
        <v>2.9176084758041223E-11</v>
      </c>
      <c r="M466" s="302"/>
      <c r="N466" s="435">
        <f t="shared" si="198"/>
        <v>0</v>
      </c>
      <c r="O466" s="436">
        <f t="shared" si="189"/>
        <v>0</v>
      </c>
      <c r="P466" s="436">
        <f t="shared" si="199"/>
        <v>0</v>
      </c>
      <c r="R466" s="354">
        <f>+Hirdetmény!$AA$46</f>
        <v>0.13400000000000001</v>
      </c>
      <c r="S466" s="301">
        <f t="shared" si="200"/>
        <v>0</v>
      </c>
      <c r="T466" s="301">
        <f t="shared" si="190"/>
        <v>0</v>
      </c>
      <c r="U466" s="301">
        <f t="shared" si="201"/>
        <v>0</v>
      </c>
      <c r="V466" s="301">
        <f t="shared" si="202"/>
        <v>0</v>
      </c>
      <c r="W466" s="301">
        <f t="shared" si="203"/>
        <v>0</v>
      </c>
      <c r="AA466" s="12">
        <f>+paraméterek!$B$346</f>
        <v>6.4600000000000005E-2</v>
      </c>
      <c r="AB466" s="301">
        <f t="shared" si="204"/>
        <v>0</v>
      </c>
      <c r="AC466" s="301">
        <f t="shared" si="191"/>
        <v>0</v>
      </c>
      <c r="AD466" s="301">
        <f t="shared" si="205"/>
        <v>0</v>
      </c>
      <c r="AE466" s="301">
        <f t="shared" si="206"/>
        <v>0</v>
      </c>
      <c r="AF466" s="477">
        <f t="shared" si="207"/>
        <v>0</v>
      </c>
      <c r="AI466" s="543">
        <f t="shared" si="192"/>
        <v>0</v>
      </c>
      <c r="AJ466" s="543">
        <f t="shared" si="208"/>
        <v>0</v>
      </c>
      <c r="AK466" s="300">
        <f t="shared" si="209"/>
        <v>0</v>
      </c>
      <c r="AL466" s="543">
        <f t="shared" si="210"/>
        <v>0</v>
      </c>
      <c r="AM466" s="10">
        <f t="shared" si="211"/>
        <v>0</v>
      </c>
      <c r="AN466" s="4"/>
      <c r="AP466" s="437">
        <f t="shared" si="212"/>
        <v>0</v>
      </c>
    </row>
    <row r="467" spans="1:42" s="11" customFormat="1" hidden="1" x14ac:dyDescent="0.3">
      <c r="A467" s="775">
        <v>388</v>
      </c>
      <c r="B467" s="775">
        <f t="shared" si="193"/>
        <v>33</v>
      </c>
      <c r="C467" s="891">
        <f t="shared" si="194"/>
        <v>0.14489675614077413</v>
      </c>
      <c r="D467" s="891"/>
      <c r="E467" s="891">
        <f t="shared" si="194"/>
        <v>0.03</v>
      </c>
      <c r="F467" s="891">
        <f t="shared" si="186"/>
        <v>0.03</v>
      </c>
      <c r="G467" s="893">
        <f t="shared" si="195"/>
        <v>1.151056494563818E-8</v>
      </c>
      <c r="H467" s="436">
        <f t="shared" si="187"/>
        <v>0</v>
      </c>
      <c r="I467" s="302">
        <f t="shared" si="188"/>
        <v>0</v>
      </c>
      <c r="J467" s="301">
        <f t="shared" si="213"/>
        <v>2.9176084758041223E-11</v>
      </c>
      <c r="K467" s="301">
        <f t="shared" si="196"/>
        <v>2.9176084758041223E-11</v>
      </c>
      <c r="L467" s="10">
        <f t="shared" si="197"/>
        <v>2.9176084758041223E-11</v>
      </c>
      <c r="M467" s="302"/>
      <c r="N467" s="435">
        <f t="shared" si="198"/>
        <v>0</v>
      </c>
      <c r="O467" s="436">
        <f t="shared" si="189"/>
        <v>0</v>
      </c>
      <c r="P467" s="436">
        <f t="shared" si="199"/>
        <v>0</v>
      </c>
      <c r="R467" s="354">
        <f>+Hirdetmény!$AA$46</f>
        <v>0.13400000000000001</v>
      </c>
      <c r="S467" s="301">
        <f t="shared" si="200"/>
        <v>0</v>
      </c>
      <c r="T467" s="301">
        <f t="shared" si="190"/>
        <v>0</v>
      </c>
      <c r="U467" s="301">
        <f t="shared" si="201"/>
        <v>0</v>
      </c>
      <c r="V467" s="301">
        <f t="shared" si="202"/>
        <v>0</v>
      </c>
      <c r="W467" s="301">
        <f t="shared" si="203"/>
        <v>0</v>
      </c>
      <c r="AA467" s="12">
        <f>+paraméterek!$B$346</f>
        <v>6.4600000000000005E-2</v>
      </c>
      <c r="AB467" s="301">
        <f t="shared" si="204"/>
        <v>0</v>
      </c>
      <c r="AC467" s="301">
        <f t="shared" si="191"/>
        <v>0</v>
      </c>
      <c r="AD467" s="301">
        <f t="shared" si="205"/>
        <v>0</v>
      </c>
      <c r="AE467" s="301">
        <f t="shared" si="206"/>
        <v>0</v>
      </c>
      <c r="AF467" s="477">
        <f t="shared" si="207"/>
        <v>0</v>
      </c>
      <c r="AI467" s="543">
        <f t="shared" si="192"/>
        <v>0</v>
      </c>
      <c r="AJ467" s="543">
        <f t="shared" si="208"/>
        <v>0</v>
      </c>
      <c r="AK467" s="300">
        <f t="shared" si="209"/>
        <v>0</v>
      </c>
      <c r="AL467" s="543">
        <f t="shared" si="210"/>
        <v>0</v>
      </c>
      <c r="AM467" s="10">
        <f t="shared" si="211"/>
        <v>0</v>
      </c>
      <c r="AN467" s="4"/>
      <c r="AP467" s="437">
        <f t="shared" si="212"/>
        <v>0</v>
      </c>
    </row>
    <row r="468" spans="1:42" s="11" customFormat="1" hidden="1" x14ac:dyDescent="0.3">
      <c r="A468" s="775">
        <v>389</v>
      </c>
      <c r="B468" s="775">
        <f t="shared" si="193"/>
        <v>33</v>
      </c>
      <c r="C468" s="891">
        <f t="shared" si="194"/>
        <v>0.14489675614077413</v>
      </c>
      <c r="D468" s="891"/>
      <c r="E468" s="891">
        <f t="shared" si="194"/>
        <v>0.03</v>
      </c>
      <c r="F468" s="891">
        <f t="shared" si="186"/>
        <v>0.03</v>
      </c>
      <c r="G468" s="893">
        <f t="shared" si="195"/>
        <v>1.151056494563818E-8</v>
      </c>
      <c r="H468" s="436">
        <f t="shared" si="187"/>
        <v>0</v>
      </c>
      <c r="I468" s="302">
        <f t="shared" si="188"/>
        <v>0</v>
      </c>
      <c r="J468" s="301">
        <f t="shared" si="213"/>
        <v>2.9176084758041223E-11</v>
      </c>
      <c r="K468" s="301">
        <f t="shared" si="196"/>
        <v>2.9176084758041223E-11</v>
      </c>
      <c r="L468" s="10">
        <f t="shared" si="197"/>
        <v>2.9176084758041223E-11</v>
      </c>
      <c r="M468" s="302"/>
      <c r="N468" s="435">
        <f t="shared" si="198"/>
        <v>0</v>
      </c>
      <c r="O468" s="436">
        <f t="shared" si="189"/>
        <v>0</v>
      </c>
      <c r="P468" s="436">
        <f t="shared" si="199"/>
        <v>0</v>
      </c>
      <c r="R468" s="354">
        <f>+Hirdetmény!$AA$46</f>
        <v>0.13400000000000001</v>
      </c>
      <c r="S468" s="301">
        <f t="shared" si="200"/>
        <v>0</v>
      </c>
      <c r="T468" s="301">
        <f t="shared" si="190"/>
        <v>0</v>
      </c>
      <c r="U468" s="301">
        <f t="shared" si="201"/>
        <v>0</v>
      </c>
      <c r="V468" s="301">
        <f t="shared" si="202"/>
        <v>0</v>
      </c>
      <c r="W468" s="301">
        <f t="shared" si="203"/>
        <v>0</v>
      </c>
      <c r="AA468" s="12">
        <f>+paraméterek!$B$346</f>
        <v>6.4600000000000005E-2</v>
      </c>
      <c r="AB468" s="301">
        <f t="shared" si="204"/>
        <v>0</v>
      </c>
      <c r="AC468" s="301">
        <f t="shared" si="191"/>
        <v>0</v>
      </c>
      <c r="AD468" s="301">
        <f t="shared" si="205"/>
        <v>0</v>
      </c>
      <c r="AE468" s="301">
        <f t="shared" si="206"/>
        <v>0</v>
      </c>
      <c r="AF468" s="477">
        <f t="shared" si="207"/>
        <v>0</v>
      </c>
      <c r="AI468" s="543">
        <f t="shared" si="192"/>
        <v>0</v>
      </c>
      <c r="AJ468" s="543">
        <f t="shared" si="208"/>
        <v>0</v>
      </c>
      <c r="AK468" s="300">
        <f t="shared" si="209"/>
        <v>0</v>
      </c>
      <c r="AL468" s="543">
        <f t="shared" si="210"/>
        <v>0</v>
      </c>
      <c r="AM468" s="10">
        <f t="shared" si="211"/>
        <v>0</v>
      </c>
      <c r="AN468" s="4"/>
      <c r="AP468" s="437">
        <f t="shared" si="212"/>
        <v>0</v>
      </c>
    </row>
    <row r="469" spans="1:42" s="11" customFormat="1" hidden="1" x14ac:dyDescent="0.3">
      <c r="A469" s="775">
        <v>390</v>
      </c>
      <c r="B469" s="775">
        <f t="shared" si="193"/>
        <v>33</v>
      </c>
      <c r="C469" s="891">
        <f t="shared" si="194"/>
        <v>0.14489675614077413</v>
      </c>
      <c r="D469" s="891"/>
      <c r="E469" s="891">
        <f t="shared" si="194"/>
        <v>0.03</v>
      </c>
      <c r="F469" s="891">
        <f t="shared" si="186"/>
        <v>0.03</v>
      </c>
      <c r="G469" s="893">
        <f t="shared" si="195"/>
        <v>1.151056494563818E-8</v>
      </c>
      <c r="H469" s="436">
        <f t="shared" si="187"/>
        <v>0</v>
      </c>
      <c r="I469" s="302">
        <f t="shared" si="188"/>
        <v>0</v>
      </c>
      <c r="J469" s="301">
        <f t="shared" si="213"/>
        <v>2.9176084758041223E-11</v>
      </c>
      <c r="K469" s="301">
        <f t="shared" si="196"/>
        <v>2.9176084758041223E-11</v>
      </c>
      <c r="L469" s="10">
        <f t="shared" si="197"/>
        <v>2.9176084758041223E-11</v>
      </c>
      <c r="M469" s="302"/>
      <c r="N469" s="435">
        <f t="shared" si="198"/>
        <v>0</v>
      </c>
      <c r="O469" s="436">
        <f t="shared" si="189"/>
        <v>0</v>
      </c>
      <c r="P469" s="436">
        <f t="shared" si="199"/>
        <v>0</v>
      </c>
      <c r="R469" s="354">
        <f>+Hirdetmény!$AA$46</f>
        <v>0.13400000000000001</v>
      </c>
      <c r="S469" s="301">
        <f t="shared" si="200"/>
        <v>0</v>
      </c>
      <c r="T469" s="301">
        <f t="shared" si="190"/>
        <v>0</v>
      </c>
      <c r="U469" s="301">
        <f t="shared" si="201"/>
        <v>0</v>
      </c>
      <c r="V469" s="301">
        <f t="shared" si="202"/>
        <v>0</v>
      </c>
      <c r="W469" s="301">
        <f t="shared" si="203"/>
        <v>0</v>
      </c>
      <c r="AA469" s="12">
        <f>+paraméterek!$B$346</f>
        <v>6.4600000000000005E-2</v>
      </c>
      <c r="AB469" s="301">
        <f t="shared" si="204"/>
        <v>0</v>
      </c>
      <c r="AC469" s="301">
        <f t="shared" si="191"/>
        <v>0</v>
      </c>
      <c r="AD469" s="301">
        <f t="shared" si="205"/>
        <v>0</v>
      </c>
      <c r="AE469" s="301">
        <f t="shared" si="206"/>
        <v>0</v>
      </c>
      <c r="AF469" s="477">
        <f t="shared" si="207"/>
        <v>0</v>
      </c>
      <c r="AI469" s="543">
        <f t="shared" si="192"/>
        <v>0</v>
      </c>
      <c r="AJ469" s="543">
        <f t="shared" si="208"/>
        <v>0</v>
      </c>
      <c r="AK469" s="300">
        <f t="shared" si="209"/>
        <v>0</v>
      </c>
      <c r="AL469" s="543">
        <f t="shared" si="210"/>
        <v>0</v>
      </c>
      <c r="AM469" s="10">
        <f t="shared" si="211"/>
        <v>0</v>
      </c>
      <c r="AN469" s="4"/>
      <c r="AP469" s="437">
        <f t="shared" si="212"/>
        <v>0</v>
      </c>
    </row>
    <row r="470" spans="1:42" s="11" customFormat="1" hidden="1" x14ac:dyDescent="0.3">
      <c r="A470" s="775">
        <v>391</v>
      </c>
      <c r="B470" s="775">
        <f t="shared" si="193"/>
        <v>33</v>
      </c>
      <c r="C470" s="891">
        <f t="shared" si="194"/>
        <v>0.14489675614077413</v>
      </c>
      <c r="D470" s="891"/>
      <c r="E470" s="891">
        <f t="shared" si="194"/>
        <v>0.03</v>
      </c>
      <c r="F470" s="891">
        <f t="shared" si="186"/>
        <v>0.03</v>
      </c>
      <c r="G470" s="893">
        <f t="shared" si="195"/>
        <v>1.151056494563818E-8</v>
      </c>
      <c r="H470" s="436">
        <f t="shared" si="187"/>
        <v>0</v>
      </c>
      <c r="I470" s="302">
        <f t="shared" si="188"/>
        <v>0</v>
      </c>
      <c r="J470" s="301">
        <f t="shared" si="213"/>
        <v>2.9176084758041223E-11</v>
      </c>
      <c r="K470" s="301">
        <f t="shared" si="196"/>
        <v>2.9176084758041223E-11</v>
      </c>
      <c r="L470" s="10">
        <f t="shared" si="197"/>
        <v>2.9176084758041223E-11</v>
      </c>
      <c r="M470" s="302"/>
      <c r="N470" s="435">
        <f t="shared" si="198"/>
        <v>0</v>
      </c>
      <c r="O470" s="436">
        <f t="shared" si="189"/>
        <v>0</v>
      </c>
      <c r="P470" s="436">
        <f t="shared" si="199"/>
        <v>0</v>
      </c>
      <c r="R470" s="354">
        <f>+Hirdetmény!$AA$46</f>
        <v>0.13400000000000001</v>
      </c>
      <c r="S470" s="301">
        <f t="shared" si="200"/>
        <v>0</v>
      </c>
      <c r="T470" s="301">
        <f t="shared" si="190"/>
        <v>0</v>
      </c>
      <c r="U470" s="301">
        <f t="shared" si="201"/>
        <v>0</v>
      </c>
      <c r="V470" s="301">
        <f t="shared" si="202"/>
        <v>0</v>
      </c>
      <c r="W470" s="301">
        <f t="shared" si="203"/>
        <v>0</v>
      </c>
      <c r="AA470" s="12">
        <f>+paraméterek!$B$346</f>
        <v>6.4600000000000005E-2</v>
      </c>
      <c r="AB470" s="301">
        <f t="shared" si="204"/>
        <v>0</v>
      </c>
      <c r="AC470" s="301">
        <f t="shared" si="191"/>
        <v>0</v>
      </c>
      <c r="AD470" s="301">
        <f t="shared" si="205"/>
        <v>0</v>
      </c>
      <c r="AE470" s="301">
        <f t="shared" si="206"/>
        <v>0</v>
      </c>
      <c r="AF470" s="477">
        <f t="shared" si="207"/>
        <v>0</v>
      </c>
      <c r="AI470" s="543">
        <f t="shared" si="192"/>
        <v>0</v>
      </c>
      <c r="AJ470" s="543">
        <f t="shared" si="208"/>
        <v>0</v>
      </c>
      <c r="AK470" s="300">
        <f t="shared" si="209"/>
        <v>0</v>
      </c>
      <c r="AL470" s="543">
        <f t="shared" si="210"/>
        <v>0</v>
      </c>
      <c r="AM470" s="10">
        <f t="shared" si="211"/>
        <v>0</v>
      </c>
      <c r="AN470" s="4"/>
      <c r="AP470" s="437">
        <f t="shared" si="212"/>
        <v>0</v>
      </c>
    </row>
    <row r="471" spans="1:42" s="11" customFormat="1" hidden="1" x14ac:dyDescent="0.3">
      <c r="A471" s="775">
        <v>392</v>
      </c>
      <c r="B471" s="775">
        <f t="shared" si="193"/>
        <v>33</v>
      </c>
      <c r="C471" s="891">
        <f t="shared" si="194"/>
        <v>0.14489675614077413</v>
      </c>
      <c r="D471" s="891"/>
      <c r="E471" s="891">
        <f t="shared" si="194"/>
        <v>0.03</v>
      </c>
      <c r="F471" s="891">
        <f t="shared" si="186"/>
        <v>0.03</v>
      </c>
      <c r="G471" s="893">
        <f t="shared" si="195"/>
        <v>1.151056494563818E-8</v>
      </c>
      <c r="H471" s="436">
        <f t="shared" si="187"/>
        <v>0</v>
      </c>
      <c r="I471" s="302">
        <f t="shared" si="188"/>
        <v>0</v>
      </c>
      <c r="J471" s="301">
        <f t="shared" si="213"/>
        <v>2.9176084758041223E-11</v>
      </c>
      <c r="K471" s="301">
        <f t="shared" si="196"/>
        <v>2.9176084758041223E-11</v>
      </c>
      <c r="L471" s="10">
        <f t="shared" si="197"/>
        <v>2.9176084758041223E-11</v>
      </c>
      <c r="M471" s="302"/>
      <c r="N471" s="435">
        <f t="shared" si="198"/>
        <v>0</v>
      </c>
      <c r="O471" s="436">
        <f t="shared" si="189"/>
        <v>0</v>
      </c>
      <c r="P471" s="436">
        <f t="shared" si="199"/>
        <v>0</v>
      </c>
      <c r="R471" s="354">
        <f>+Hirdetmény!$AA$46</f>
        <v>0.13400000000000001</v>
      </c>
      <c r="S471" s="301">
        <f t="shared" si="200"/>
        <v>0</v>
      </c>
      <c r="T471" s="301">
        <f t="shared" si="190"/>
        <v>0</v>
      </c>
      <c r="U471" s="301">
        <f t="shared" si="201"/>
        <v>0</v>
      </c>
      <c r="V471" s="301">
        <f t="shared" si="202"/>
        <v>0</v>
      </c>
      <c r="W471" s="301">
        <f t="shared" si="203"/>
        <v>0</v>
      </c>
      <c r="AA471" s="12">
        <f>+paraméterek!$B$346</f>
        <v>6.4600000000000005E-2</v>
      </c>
      <c r="AB471" s="301">
        <f t="shared" si="204"/>
        <v>0</v>
      </c>
      <c r="AC471" s="301">
        <f t="shared" si="191"/>
        <v>0</v>
      </c>
      <c r="AD471" s="301">
        <f t="shared" si="205"/>
        <v>0</v>
      </c>
      <c r="AE471" s="301">
        <f t="shared" si="206"/>
        <v>0</v>
      </c>
      <c r="AF471" s="477">
        <f t="shared" si="207"/>
        <v>0</v>
      </c>
      <c r="AI471" s="543">
        <f t="shared" si="192"/>
        <v>0</v>
      </c>
      <c r="AJ471" s="543">
        <f t="shared" si="208"/>
        <v>0</v>
      </c>
      <c r="AK471" s="300">
        <f t="shared" si="209"/>
        <v>0</v>
      </c>
      <c r="AL471" s="543">
        <f t="shared" si="210"/>
        <v>0</v>
      </c>
      <c r="AM471" s="10">
        <f t="shared" si="211"/>
        <v>0</v>
      </c>
      <c r="AN471" s="4"/>
      <c r="AP471" s="437">
        <f t="shared" si="212"/>
        <v>0</v>
      </c>
    </row>
    <row r="472" spans="1:42" s="11" customFormat="1" hidden="1" x14ac:dyDescent="0.3">
      <c r="A472" s="775">
        <v>393</v>
      </c>
      <c r="B472" s="775">
        <f t="shared" si="193"/>
        <v>33</v>
      </c>
      <c r="C472" s="891">
        <f t="shared" si="194"/>
        <v>0.14489675614077413</v>
      </c>
      <c r="D472" s="891"/>
      <c r="E472" s="891">
        <f t="shared" si="194"/>
        <v>0.03</v>
      </c>
      <c r="F472" s="891">
        <f t="shared" si="186"/>
        <v>0.03</v>
      </c>
      <c r="G472" s="893">
        <f t="shared" si="195"/>
        <v>1.151056494563818E-8</v>
      </c>
      <c r="H472" s="436">
        <f t="shared" si="187"/>
        <v>0</v>
      </c>
      <c r="I472" s="302">
        <f t="shared" si="188"/>
        <v>0</v>
      </c>
      <c r="J472" s="301">
        <f t="shared" si="213"/>
        <v>2.9176084758041223E-11</v>
      </c>
      <c r="K472" s="301">
        <f t="shared" si="196"/>
        <v>2.9176084758041223E-11</v>
      </c>
      <c r="L472" s="10">
        <f t="shared" si="197"/>
        <v>2.9176084758041223E-11</v>
      </c>
      <c r="M472" s="302"/>
      <c r="N472" s="435">
        <f t="shared" si="198"/>
        <v>0</v>
      </c>
      <c r="O472" s="436">
        <f t="shared" si="189"/>
        <v>0</v>
      </c>
      <c r="P472" s="436">
        <f t="shared" si="199"/>
        <v>0</v>
      </c>
      <c r="R472" s="354">
        <f>+Hirdetmény!$AA$46</f>
        <v>0.13400000000000001</v>
      </c>
      <c r="S472" s="301">
        <f t="shared" si="200"/>
        <v>0</v>
      </c>
      <c r="T472" s="301">
        <f t="shared" si="190"/>
        <v>0</v>
      </c>
      <c r="U472" s="301">
        <f t="shared" si="201"/>
        <v>0</v>
      </c>
      <c r="V472" s="301">
        <f t="shared" si="202"/>
        <v>0</v>
      </c>
      <c r="W472" s="301">
        <f t="shared" si="203"/>
        <v>0</v>
      </c>
      <c r="AA472" s="12">
        <f>+paraméterek!$B$346</f>
        <v>6.4600000000000005E-2</v>
      </c>
      <c r="AB472" s="301">
        <f t="shared" si="204"/>
        <v>0</v>
      </c>
      <c r="AC472" s="301">
        <f t="shared" si="191"/>
        <v>0</v>
      </c>
      <c r="AD472" s="301">
        <f t="shared" si="205"/>
        <v>0</v>
      </c>
      <c r="AE472" s="301">
        <f t="shared" si="206"/>
        <v>0</v>
      </c>
      <c r="AF472" s="477">
        <f t="shared" si="207"/>
        <v>0</v>
      </c>
      <c r="AI472" s="543">
        <f t="shared" si="192"/>
        <v>0</v>
      </c>
      <c r="AJ472" s="543">
        <f t="shared" si="208"/>
        <v>0</v>
      </c>
      <c r="AK472" s="300">
        <f t="shared" si="209"/>
        <v>0</v>
      </c>
      <c r="AL472" s="543">
        <f t="shared" si="210"/>
        <v>0</v>
      </c>
      <c r="AM472" s="10">
        <f t="shared" si="211"/>
        <v>0</v>
      </c>
      <c r="AN472" s="4"/>
      <c r="AP472" s="437">
        <f t="shared" si="212"/>
        <v>0</v>
      </c>
    </row>
    <row r="473" spans="1:42" s="11" customFormat="1" hidden="1" x14ac:dyDescent="0.3">
      <c r="A473" s="775">
        <v>394</v>
      </c>
      <c r="B473" s="775">
        <f t="shared" si="193"/>
        <v>33</v>
      </c>
      <c r="C473" s="891">
        <f t="shared" si="194"/>
        <v>0.14489675614077413</v>
      </c>
      <c r="D473" s="891"/>
      <c r="E473" s="891">
        <f t="shared" si="194"/>
        <v>0.03</v>
      </c>
      <c r="F473" s="891">
        <f t="shared" si="186"/>
        <v>0.03</v>
      </c>
      <c r="G473" s="893">
        <f t="shared" si="195"/>
        <v>1.151056494563818E-8</v>
      </c>
      <c r="H473" s="436">
        <f t="shared" si="187"/>
        <v>0</v>
      </c>
      <c r="I473" s="302">
        <f t="shared" si="188"/>
        <v>0</v>
      </c>
      <c r="J473" s="301">
        <f t="shared" si="213"/>
        <v>2.9176084758041223E-11</v>
      </c>
      <c r="K473" s="301">
        <f t="shared" si="196"/>
        <v>2.9176084758041223E-11</v>
      </c>
      <c r="L473" s="10">
        <f t="shared" si="197"/>
        <v>2.9176084758041223E-11</v>
      </c>
      <c r="M473" s="302"/>
      <c r="N473" s="435">
        <f t="shared" si="198"/>
        <v>0</v>
      </c>
      <c r="O473" s="436">
        <f t="shared" si="189"/>
        <v>0</v>
      </c>
      <c r="P473" s="436">
        <f t="shared" si="199"/>
        <v>0</v>
      </c>
      <c r="R473" s="354">
        <f>+Hirdetmény!$AA$46</f>
        <v>0.13400000000000001</v>
      </c>
      <c r="S473" s="301">
        <f t="shared" si="200"/>
        <v>0</v>
      </c>
      <c r="T473" s="301">
        <f t="shared" si="190"/>
        <v>0</v>
      </c>
      <c r="U473" s="301">
        <f t="shared" si="201"/>
        <v>0</v>
      </c>
      <c r="V473" s="301">
        <f t="shared" si="202"/>
        <v>0</v>
      </c>
      <c r="W473" s="301">
        <f t="shared" si="203"/>
        <v>0</v>
      </c>
      <c r="AA473" s="12">
        <f>+paraméterek!$B$346</f>
        <v>6.4600000000000005E-2</v>
      </c>
      <c r="AB473" s="301">
        <f t="shared" si="204"/>
        <v>0</v>
      </c>
      <c r="AC473" s="301">
        <f t="shared" si="191"/>
        <v>0</v>
      </c>
      <c r="AD473" s="301">
        <f t="shared" si="205"/>
        <v>0</v>
      </c>
      <c r="AE473" s="301">
        <f t="shared" si="206"/>
        <v>0</v>
      </c>
      <c r="AF473" s="477">
        <f t="shared" si="207"/>
        <v>0</v>
      </c>
      <c r="AI473" s="543">
        <f t="shared" si="192"/>
        <v>0</v>
      </c>
      <c r="AJ473" s="543">
        <f t="shared" si="208"/>
        <v>0</v>
      </c>
      <c r="AK473" s="300">
        <f t="shared" si="209"/>
        <v>0</v>
      </c>
      <c r="AL473" s="543">
        <f t="shared" si="210"/>
        <v>0</v>
      </c>
      <c r="AM473" s="10">
        <f t="shared" si="211"/>
        <v>0</v>
      </c>
      <c r="AN473" s="4"/>
      <c r="AP473" s="437">
        <f t="shared" si="212"/>
        <v>0</v>
      </c>
    </row>
    <row r="474" spans="1:42" s="11" customFormat="1" hidden="1" x14ac:dyDescent="0.3">
      <c r="A474" s="775">
        <v>395</v>
      </c>
      <c r="B474" s="775">
        <f t="shared" si="193"/>
        <v>33</v>
      </c>
      <c r="C474" s="891">
        <f t="shared" si="194"/>
        <v>0.14489675614077413</v>
      </c>
      <c r="D474" s="891"/>
      <c r="E474" s="891">
        <f t="shared" si="194"/>
        <v>0.03</v>
      </c>
      <c r="F474" s="891">
        <f t="shared" si="186"/>
        <v>0.03</v>
      </c>
      <c r="G474" s="893">
        <f t="shared" si="195"/>
        <v>1.151056494563818E-8</v>
      </c>
      <c r="H474" s="436">
        <f t="shared" si="187"/>
        <v>0</v>
      </c>
      <c r="I474" s="302">
        <f t="shared" si="188"/>
        <v>0</v>
      </c>
      <c r="J474" s="301">
        <f t="shared" si="213"/>
        <v>2.9176084758041223E-11</v>
      </c>
      <c r="K474" s="301">
        <f t="shared" si="196"/>
        <v>2.9176084758041223E-11</v>
      </c>
      <c r="L474" s="10">
        <f t="shared" si="197"/>
        <v>2.9176084758041223E-11</v>
      </c>
      <c r="M474" s="302"/>
      <c r="N474" s="435">
        <f t="shared" si="198"/>
        <v>0</v>
      </c>
      <c r="O474" s="436">
        <f t="shared" si="189"/>
        <v>0</v>
      </c>
      <c r="P474" s="436">
        <f t="shared" si="199"/>
        <v>0</v>
      </c>
      <c r="R474" s="354">
        <f>+Hirdetmény!$AA$46</f>
        <v>0.13400000000000001</v>
      </c>
      <c r="S474" s="301">
        <f t="shared" si="200"/>
        <v>0</v>
      </c>
      <c r="T474" s="301">
        <f t="shared" si="190"/>
        <v>0</v>
      </c>
      <c r="U474" s="301">
        <f t="shared" si="201"/>
        <v>0</v>
      </c>
      <c r="V474" s="301">
        <f t="shared" si="202"/>
        <v>0</v>
      </c>
      <c r="W474" s="301">
        <f t="shared" si="203"/>
        <v>0</v>
      </c>
      <c r="AA474" s="12">
        <f>+paraméterek!$B$346</f>
        <v>6.4600000000000005E-2</v>
      </c>
      <c r="AB474" s="301">
        <f t="shared" si="204"/>
        <v>0</v>
      </c>
      <c r="AC474" s="301">
        <f t="shared" si="191"/>
        <v>0</v>
      </c>
      <c r="AD474" s="301">
        <f t="shared" si="205"/>
        <v>0</v>
      </c>
      <c r="AE474" s="301">
        <f t="shared" si="206"/>
        <v>0</v>
      </c>
      <c r="AF474" s="477">
        <f t="shared" si="207"/>
        <v>0</v>
      </c>
      <c r="AI474" s="543">
        <f t="shared" si="192"/>
        <v>0</v>
      </c>
      <c r="AJ474" s="543">
        <f t="shared" si="208"/>
        <v>0</v>
      </c>
      <c r="AK474" s="300">
        <f t="shared" si="209"/>
        <v>0</v>
      </c>
      <c r="AL474" s="543">
        <f t="shared" si="210"/>
        <v>0</v>
      </c>
      <c r="AM474" s="10">
        <f t="shared" si="211"/>
        <v>0</v>
      </c>
      <c r="AN474" s="4"/>
      <c r="AP474" s="437">
        <f t="shared" si="212"/>
        <v>0</v>
      </c>
    </row>
    <row r="475" spans="1:42" s="11" customFormat="1" hidden="1" x14ac:dyDescent="0.3">
      <c r="A475" s="775">
        <v>396</v>
      </c>
      <c r="B475" s="775">
        <f t="shared" si="193"/>
        <v>33</v>
      </c>
      <c r="C475" s="891">
        <f t="shared" si="194"/>
        <v>0.14489675614077413</v>
      </c>
      <c r="D475" s="891"/>
      <c r="E475" s="891">
        <f t="shared" si="194"/>
        <v>0.03</v>
      </c>
      <c r="F475" s="891">
        <f t="shared" si="186"/>
        <v>0.03</v>
      </c>
      <c r="G475" s="893">
        <f t="shared" si="195"/>
        <v>1.151056494563818E-8</v>
      </c>
      <c r="H475" s="436">
        <f t="shared" si="187"/>
        <v>0</v>
      </c>
      <c r="I475" s="302">
        <f t="shared" si="188"/>
        <v>0</v>
      </c>
      <c r="J475" s="301">
        <f t="shared" si="213"/>
        <v>2.9176084758041223E-11</v>
      </c>
      <c r="K475" s="301">
        <f t="shared" si="196"/>
        <v>2.9176084758041223E-11</v>
      </c>
      <c r="L475" s="10">
        <f t="shared" si="197"/>
        <v>2.9176084758041223E-11</v>
      </c>
      <c r="M475" s="302"/>
      <c r="N475" s="435">
        <f t="shared" si="198"/>
        <v>0</v>
      </c>
      <c r="O475" s="436">
        <f t="shared" si="189"/>
        <v>0</v>
      </c>
      <c r="P475" s="436">
        <f t="shared" si="199"/>
        <v>0</v>
      </c>
      <c r="R475" s="354">
        <f>+Hirdetmény!$AA$46</f>
        <v>0.13400000000000001</v>
      </c>
      <c r="S475" s="301">
        <f t="shared" si="200"/>
        <v>0</v>
      </c>
      <c r="T475" s="301">
        <f t="shared" si="190"/>
        <v>0</v>
      </c>
      <c r="U475" s="301">
        <f t="shared" si="201"/>
        <v>0</v>
      </c>
      <c r="V475" s="301">
        <f t="shared" si="202"/>
        <v>0</v>
      </c>
      <c r="W475" s="301">
        <f t="shared" si="203"/>
        <v>0</v>
      </c>
      <c r="AA475" s="12">
        <f>+paraméterek!$B$346</f>
        <v>6.4600000000000005E-2</v>
      </c>
      <c r="AB475" s="301">
        <f t="shared" si="204"/>
        <v>0</v>
      </c>
      <c r="AC475" s="301">
        <f t="shared" si="191"/>
        <v>0</v>
      </c>
      <c r="AD475" s="301">
        <f t="shared" si="205"/>
        <v>0</v>
      </c>
      <c r="AE475" s="301">
        <f t="shared" si="206"/>
        <v>0</v>
      </c>
      <c r="AF475" s="477">
        <f t="shared" si="207"/>
        <v>0</v>
      </c>
      <c r="AI475" s="543">
        <f t="shared" si="192"/>
        <v>0</v>
      </c>
      <c r="AJ475" s="543">
        <f t="shared" si="208"/>
        <v>0</v>
      </c>
      <c r="AK475" s="300">
        <f t="shared" si="209"/>
        <v>0</v>
      </c>
      <c r="AL475" s="543">
        <f t="shared" si="210"/>
        <v>0</v>
      </c>
      <c r="AM475" s="10">
        <f t="shared" si="211"/>
        <v>0</v>
      </c>
      <c r="AN475" s="4"/>
      <c r="AP475" s="437">
        <f t="shared" si="212"/>
        <v>0</v>
      </c>
    </row>
    <row r="476" spans="1:42" s="11" customFormat="1" hidden="1" x14ac:dyDescent="0.3">
      <c r="A476" s="775">
        <v>397</v>
      </c>
      <c r="B476" s="775">
        <f t="shared" si="193"/>
        <v>34</v>
      </c>
      <c r="C476" s="891">
        <f t="shared" si="194"/>
        <v>0.14489675614077413</v>
      </c>
      <c r="D476" s="891"/>
      <c r="E476" s="891">
        <f t="shared" si="194"/>
        <v>0.03</v>
      </c>
      <c r="F476" s="891">
        <f t="shared" si="186"/>
        <v>0.03</v>
      </c>
      <c r="G476" s="893">
        <f t="shared" si="195"/>
        <v>1.151056494563818E-8</v>
      </c>
      <c r="H476" s="436">
        <f t="shared" si="187"/>
        <v>0</v>
      </c>
      <c r="I476" s="302">
        <f t="shared" si="188"/>
        <v>0</v>
      </c>
      <c r="J476" s="301">
        <f t="shared" si="213"/>
        <v>2.9176084758041223E-11</v>
      </c>
      <c r="K476" s="301">
        <f t="shared" si="196"/>
        <v>2.9176084758041223E-11</v>
      </c>
      <c r="L476" s="10">
        <f t="shared" si="197"/>
        <v>2.9176084758041223E-11</v>
      </c>
      <c r="M476" s="302"/>
      <c r="N476" s="435">
        <f t="shared" si="198"/>
        <v>0</v>
      </c>
      <c r="O476" s="436">
        <f t="shared" si="189"/>
        <v>0</v>
      </c>
      <c r="P476" s="436">
        <f t="shared" si="199"/>
        <v>0</v>
      </c>
      <c r="R476" s="354">
        <f>+Hirdetmény!$AA$46</f>
        <v>0.13400000000000001</v>
      </c>
      <c r="S476" s="301">
        <f t="shared" si="200"/>
        <v>0</v>
      </c>
      <c r="T476" s="301">
        <f t="shared" si="190"/>
        <v>0</v>
      </c>
      <c r="U476" s="301">
        <f t="shared" si="201"/>
        <v>0</v>
      </c>
      <c r="V476" s="301">
        <f t="shared" si="202"/>
        <v>0</v>
      </c>
      <c r="W476" s="301">
        <f t="shared" si="203"/>
        <v>0</v>
      </c>
      <c r="AA476" s="12">
        <f>+paraméterek!$B$346</f>
        <v>6.4600000000000005E-2</v>
      </c>
      <c r="AB476" s="301">
        <f t="shared" si="204"/>
        <v>0</v>
      </c>
      <c r="AC476" s="301">
        <f t="shared" si="191"/>
        <v>0</v>
      </c>
      <c r="AD476" s="301">
        <f t="shared" si="205"/>
        <v>0</v>
      </c>
      <c r="AE476" s="301">
        <f t="shared" si="206"/>
        <v>0</v>
      </c>
      <c r="AF476" s="477">
        <f t="shared" si="207"/>
        <v>0</v>
      </c>
      <c r="AI476" s="543">
        <f t="shared" si="192"/>
        <v>0</v>
      </c>
      <c r="AJ476" s="543">
        <f t="shared" si="208"/>
        <v>0</v>
      </c>
      <c r="AK476" s="300">
        <f t="shared" si="209"/>
        <v>0</v>
      </c>
      <c r="AL476" s="543">
        <f t="shared" si="210"/>
        <v>0</v>
      </c>
      <c r="AM476" s="10">
        <f t="shared" si="211"/>
        <v>0</v>
      </c>
      <c r="AN476" s="4"/>
      <c r="AP476" s="437">
        <f t="shared" si="212"/>
        <v>0</v>
      </c>
    </row>
    <row r="477" spans="1:42" s="11" customFormat="1" hidden="1" x14ac:dyDescent="0.3">
      <c r="A477" s="775">
        <v>398</v>
      </c>
      <c r="B477" s="775">
        <f t="shared" si="193"/>
        <v>34</v>
      </c>
      <c r="C477" s="891">
        <f t="shared" si="194"/>
        <v>0.14489675614077413</v>
      </c>
      <c r="D477" s="891"/>
      <c r="E477" s="891">
        <f t="shared" si="194"/>
        <v>0.03</v>
      </c>
      <c r="F477" s="891">
        <f t="shared" si="186"/>
        <v>0.03</v>
      </c>
      <c r="G477" s="893">
        <f t="shared" si="195"/>
        <v>1.151056494563818E-8</v>
      </c>
      <c r="H477" s="436">
        <f t="shared" si="187"/>
        <v>0</v>
      </c>
      <c r="I477" s="302">
        <f t="shared" si="188"/>
        <v>0</v>
      </c>
      <c r="J477" s="301">
        <f t="shared" si="213"/>
        <v>2.9176084758041223E-11</v>
      </c>
      <c r="K477" s="301">
        <f t="shared" si="196"/>
        <v>2.9176084758041223E-11</v>
      </c>
      <c r="L477" s="10">
        <f t="shared" si="197"/>
        <v>2.9176084758041223E-11</v>
      </c>
      <c r="M477" s="302"/>
      <c r="N477" s="435">
        <f t="shared" si="198"/>
        <v>0</v>
      </c>
      <c r="O477" s="436">
        <f t="shared" si="189"/>
        <v>0</v>
      </c>
      <c r="P477" s="436">
        <f t="shared" si="199"/>
        <v>0</v>
      </c>
      <c r="R477" s="354">
        <f>+Hirdetmény!$AA$46</f>
        <v>0.13400000000000001</v>
      </c>
      <c r="S477" s="301">
        <f t="shared" si="200"/>
        <v>0</v>
      </c>
      <c r="T477" s="301">
        <f t="shared" si="190"/>
        <v>0</v>
      </c>
      <c r="U477" s="301">
        <f t="shared" si="201"/>
        <v>0</v>
      </c>
      <c r="V477" s="301">
        <f t="shared" si="202"/>
        <v>0</v>
      </c>
      <c r="W477" s="301">
        <f t="shared" si="203"/>
        <v>0</v>
      </c>
      <c r="AA477" s="12">
        <f>+paraméterek!$B$346</f>
        <v>6.4600000000000005E-2</v>
      </c>
      <c r="AB477" s="301">
        <f t="shared" si="204"/>
        <v>0</v>
      </c>
      <c r="AC477" s="301">
        <f t="shared" si="191"/>
        <v>0</v>
      </c>
      <c r="AD477" s="301">
        <f t="shared" si="205"/>
        <v>0</v>
      </c>
      <c r="AE477" s="301">
        <f t="shared" si="206"/>
        <v>0</v>
      </c>
      <c r="AF477" s="477">
        <f t="shared" si="207"/>
        <v>0</v>
      </c>
      <c r="AI477" s="543">
        <f t="shared" si="192"/>
        <v>0</v>
      </c>
      <c r="AJ477" s="543">
        <f t="shared" si="208"/>
        <v>0</v>
      </c>
      <c r="AK477" s="300">
        <f t="shared" si="209"/>
        <v>0</v>
      </c>
      <c r="AL477" s="543">
        <f t="shared" si="210"/>
        <v>0</v>
      </c>
      <c r="AM477" s="10">
        <f t="shared" si="211"/>
        <v>0</v>
      </c>
      <c r="AN477" s="4"/>
      <c r="AP477" s="437">
        <f t="shared" si="212"/>
        <v>0</v>
      </c>
    </row>
    <row r="478" spans="1:42" s="11" customFormat="1" hidden="1" x14ac:dyDescent="0.3">
      <c r="A478" s="775">
        <v>399</v>
      </c>
      <c r="B478" s="775">
        <f t="shared" si="193"/>
        <v>34</v>
      </c>
      <c r="C478" s="891">
        <f t="shared" si="194"/>
        <v>0.14489675614077413</v>
      </c>
      <c r="D478" s="891"/>
      <c r="E478" s="891">
        <f t="shared" si="194"/>
        <v>0.03</v>
      </c>
      <c r="F478" s="891">
        <f t="shared" si="186"/>
        <v>0.03</v>
      </c>
      <c r="G478" s="893">
        <f t="shared" si="195"/>
        <v>1.151056494563818E-8</v>
      </c>
      <c r="H478" s="436">
        <f t="shared" si="187"/>
        <v>0</v>
      </c>
      <c r="I478" s="302">
        <f t="shared" si="188"/>
        <v>0</v>
      </c>
      <c r="J478" s="301">
        <f t="shared" si="213"/>
        <v>2.9176084758041223E-11</v>
      </c>
      <c r="K478" s="301">
        <f t="shared" si="196"/>
        <v>2.9176084758041223E-11</v>
      </c>
      <c r="L478" s="10">
        <f t="shared" si="197"/>
        <v>2.9176084758041223E-11</v>
      </c>
      <c r="M478" s="302"/>
      <c r="N478" s="435">
        <f t="shared" si="198"/>
        <v>0</v>
      </c>
      <c r="O478" s="436">
        <f t="shared" si="189"/>
        <v>0</v>
      </c>
      <c r="P478" s="436">
        <f t="shared" si="199"/>
        <v>0</v>
      </c>
      <c r="R478" s="354">
        <f>+Hirdetmény!$AA$46</f>
        <v>0.13400000000000001</v>
      </c>
      <c r="S478" s="301">
        <f t="shared" si="200"/>
        <v>0</v>
      </c>
      <c r="T478" s="301">
        <f t="shared" si="190"/>
        <v>0</v>
      </c>
      <c r="U478" s="301">
        <f t="shared" si="201"/>
        <v>0</v>
      </c>
      <c r="V478" s="301">
        <f t="shared" si="202"/>
        <v>0</v>
      </c>
      <c r="W478" s="301">
        <f t="shared" si="203"/>
        <v>0</v>
      </c>
      <c r="AA478" s="12">
        <f>+paraméterek!$B$346</f>
        <v>6.4600000000000005E-2</v>
      </c>
      <c r="AB478" s="301">
        <f t="shared" si="204"/>
        <v>0</v>
      </c>
      <c r="AC478" s="301">
        <f t="shared" si="191"/>
        <v>0</v>
      </c>
      <c r="AD478" s="301">
        <f t="shared" si="205"/>
        <v>0</v>
      </c>
      <c r="AE478" s="301">
        <f t="shared" si="206"/>
        <v>0</v>
      </c>
      <c r="AF478" s="477">
        <f t="shared" si="207"/>
        <v>0</v>
      </c>
      <c r="AI478" s="543">
        <f t="shared" si="192"/>
        <v>0</v>
      </c>
      <c r="AJ478" s="543">
        <f t="shared" si="208"/>
        <v>0</v>
      </c>
      <c r="AK478" s="300">
        <f t="shared" si="209"/>
        <v>0</v>
      </c>
      <c r="AL478" s="543">
        <f t="shared" si="210"/>
        <v>0</v>
      </c>
      <c r="AM478" s="10">
        <f t="shared" si="211"/>
        <v>0</v>
      </c>
      <c r="AN478" s="4"/>
      <c r="AP478" s="437">
        <f t="shared" si="212"/>
        <v>0</v>
      </c>
    </row>
    <row r="479" spans="1:42" s="11" customFormat="1" hidden="1" x14ac:dyDescent="0.3">
      <c r="A479" s="775">
        <v>400</v>
      </c>
      <c r="B479" s="775">
        <f t="shared" si="193"/>
        <v>34</v>
      </c>
      <c r="C479" s="891">
        <f t="shared" si="194"/>
        <v>0.14489675614077413</v>
      </c>
      <c r="D479" s="891"/>
      <c r="E479" s="891">
        <f t="shared" si="194"/>
        <v>0.03</v>
      </c>
      <c r="F479" s="891">
        <f t="shared" si="186"/>
        <v>0.03</v>
      </c>
      <c r="G479" s="893">
        <f t="shared" si="195"/>
        <v>1.151056494563818E-8</v>
      </c>
      <c r="H479" s="436">
        <f t="shared" si="187"/>
        <v>0</v>
      </c>
      <c r="I479" s="302">
        <f t="shared" si="188"/>
        <v>0</v>
      </c>
      <c r="J479" s="301">
        <f t="shared" si="213"/>
        <v>2.9176084758041223E-11</v>
      </c>
      <c r="K479" s="301">
        <f t="shared" si="196"/>
        <v>2.9176084758041223E-11</v>
      </c>
      <c r="L479" s="10">
        <f t="shared" si="197"/>
        <v>2.9176084758041223E-11</v>
      </c>
      <c r="M479" s="302"/>
      <c r="N479" s="435">
        <f t="shared" si="198"/>
        <v>0</v>
      </c>
      <c r="O479" s="436">
        <f t="shared" si="189"/>
        <v>0</v>
      </c>
      <c r="P479" s="436">
        <f t="shared" si="199"/>
        <v>0</v>
      </c>
      <c r="R479" s="354">
        <f>+Hirdetmény!$AA$46</f>
        <v>0.13400000000000001</v>
      </c>
      <c r="S479" s="301">
        <f t="shared" si="200"/>
        <v>0</v>
      </c>
      <c r="T479" s="301">
        <f t="shared" si="190"/>
        <v>0</v>
      </c>
      <c r="U479" s="301">
        <f t="shared" si="201"/>
        <v>0</v>
      </c>
      <c r="V479" s="301">
        <f t="shared" si="202"/>
        <v>0</v>
      </c>
      <c r="W479" s="301">
        <f t="shared" si="203"/>
        <v>0</v>
      </c>
      <c r="AA479" s="12">
        <f>+paraméterek!$B$346</f>
        <v>6.4600000000000005E-2</v>
      </c>
      <c r="AB479" s="301">
        <f t="shared" si="204"/>
        <v>0</v>
      </c>
      <c r="AC479" s="301">
        <f t="shared" si="191"/>
        <v>0</v>
      </c>
      <c r="AD479" s="301">
        <f t="shared" si="205"/>
        <v>0</v>
      </c>
      <c r="AE479" s="301">
        <f t="shared" si="206"/>
        <v>0</v>
      </c>
      <c r="AF479" s="477">
        <f t="shared" si="207"/>
        <v>0</v>
      </c>
      <c r="AI479" s="543">
        <f t="shared" si="192"/>
        <v>0</v>
      </c>
      <c r="AJ479" s="543">
        <f t="shared" si="208"/>
        <v>0</v>
      </c>
      <c r="AK479" s="300">
        <f t="shared" si="209"/>
        <v>0</v>
      </c>
      <c r="AL479" s="543">
        <f t="shared" si="210"/>
        <v>0</v>
      </c>
      <c r="AM479" s="10">
        <f t="shared" si="211"/>
        <v>0</v>
      </c>
      <c r="AN479" s="4"/>
      <c r="AP479" s="437">
        <f t="shared" si="212"/>
        <v>0</v>
      </c>
    </row>
    <row r="480" spans="1:42" s="11" customFormat="1" hidden="1" x14ac:dyDescent="0.3">
      <c r="A480" s="775">
        <v>401</v>
      </c>
      <c r="B480" s="775">
        <f t="shared" si="193"/>
        <v>34</v>
      </c>
      <c r="C480" s="891">
        <f t="shared" si="194"/>
        <v>0.14489675614077413</v>
      </c>
      <c r="D480" s="891"/>
      <c r="E480" s="891">
        <f t="shared" si="194"/>
        <v>0.03</v>
      </c>
      <c r="F480" s="891">
        <f t="shared" si="186"/>
        <v>0.03</v>
      </c>
      <c r="G480" s="893">
        <f t="shared" si="195"/>
        <v>1.151056494563818E-8</v>
      </c>
      <c r="H480" s="436">
        <f t="shared" si="187"/>
        <v>0</v>
      </c>
      <c r="I480" s="302">
        <f t="shared" si="188"/>
        <v>0</v>
      </c>
      <c r="J480" s="301">
        <f t="shared" si="213"/>
        <v>2.9176084758041223E-11</v>
      </c>
      <c r="K480" s="301">
        <f t="shared" si="196"/>
        <v>2.9176084758041223E-11</v>
      </c>
      <c r="L480" s="10">
        <f t="shared" si="197"/>
        <v>2.9176084758041223E-11</v>
      </c>
      <c r="M480" s="302"/>
      <c r="N480" s="435">
        <f t="shared" si="198"/>
        <v>0</v>
      </c>
      <c r="O480" s="436">
        <f t="shared" si="189"/>
        <v>0</v>
      </c>
      <c r="P480" s="436">
        <f t="shared" si="199"/>
        <v>0</v>
      </c>
      <c r="R480" s="354">
        <f>+Hirdetmény!$AA$46</f>
        <v>0.13400000000000001</v>
      </c>
      <c r="S480" s="301">
        <f t="shared" si="200"/>
        <v>0</v>
      </c>
      <c r="T480" s="301">
        <f t="shared" si="190"/>
        <v>0</v>
      </c>
      <c r="U480" s="301">
        <f t="shared" si="201"/>
        <v>0</v>
      </c>
      <c r="V480" s="301">
        <f t="shared" si="202"/>
        <v>0</v>
      </c>
      <c r="W480" s="301">
        <f t="shared" si="203"/>
        <v>0</v>
      </c>
      <c r="AA480" s="12">
        <f>+paraméterek!$B$346</f>
        <v>6.4600000000000005E-2</v>
      </c>
      <c r="AB480" s="301">
        <f t="shared" si="204"/>
        <v>0</v>
      </c>
      <c r="AC480" s="301">
        <f t="shared" si="191"/>
        <v>0</v>
      </c>
      <c r="AD480" s="301">
        <f t="shared" si="205"/>
        <v>0</v>
      </c>
      <c r="AE480" s="301">
        <f t="shared" si="206"/>
        <v>0</v>
      </c>
      <c r="AF480" s="477">
        <f t="shared" si="207"/>
        <v>0</v>
      </c>
      <c r="AI480" s="543">
        <f t="shared" si="192"/>
        <v>0</v>
      </c>
      <c r="AJ480" s="543">
        <f t="shared" si="208"/>
        <v>0</v>
      </c>
      <c r="AK480" s="300">
        <f t="shared" si="209"/>
        <v>0</v>
      </c>
      <c r="AL480" s="543">
        <f t="shared" si="210"/>
        <v>0</v>
      </c>
      <c r="AM480" s="10">
        <f t="shared" si="211"/>
        <v>0</v>
      </c>
      <c r="AN480" s="4"/>
      <c r="AP480" s="437">
        <f t="shared" si="212"/>
        <v>0</v>
      </c>
    </row>
    <row r="481" spans="1:42" s="11" customFormat="1" hidden="1" x14ac:dyDescent="0.3">
      <c r="A481" s="775">
        <v>402</v>
      </c>
      <c r="B481" s="775">
        <f t="shared" si="193"/>
        <v>34</v>
      </c>
      <c r="C481" s="891">
        <f t="shared" ref="C481:E496" si="214">+C480</f>
        <v>0.14489675614077413</v>
      </c>
      <c r="D481" s="891"/>
      <c r="E481" s="891">
        <f t="shared" si="214"/>
        <v>0.03</v>
      </c>
      <c r="F481" s="891">
        <f t="shared" si="186"/>
        <v>0.03</v>
      </c>
      <c r="G481" s="893">
        <f t="shared" si="195"/>
        <v>1.151056494563818E-8</v>
      </c>
      <c r="H481" s="436">
        <f t="shared" si="187"/>
        <v>0</v>
      </c>
      <c r="I481" s="302">
        <f t="shared" si="188"/>
        <v>0</v>
      </c>
      <c r="J481" s="301">
        <f t="shared" si="213"/>
        <v>2.9176084758041223E-11</v>
      </c>
      <c r="K481" s="301">
        <f t="shared" si="196"/>
        <v>2.9176084758041223E-11</v>
      </c>
      <c r="L481" s="10">
        <f t="shared" si="197"/>
        <v>2.9176084758041223E-11</v>
      </c>
      <c r="M481" s="302"/>
      <c r="N481" s="435">
        <f t="shared" si="198"/>
        <v>0</v>
      </c>
      <c r="O481" s="436">
        <f t="shared" si="189"/>
        <v>0</v>
      </c>
      <c r="P481" s="436">
        <f t="shared" si="199"/>
        <v>0</v>
      </c>
      <c r="R481" s="354">
        <f>+Hirdetmény!$AA$46</f>
        <v>0.13400000000000001</v>
      </c>
      <c r="S481" s="301">
        <f t="shared" si="200"/>
        <v>0</v>
      </c>
      <c r="T481" s="301">
        <f t="shared" si="190"/>
        <v>0</v>
      </c>
      <c r="U481" s="301">
        <f t="shared" si="201"/>
        <v>0</v>
      </c>
      <c r="V481" s="301">
        <f t="shared" si="202"/>
        <v>0</v>
      </c>
      <c r="W481" s="301">
        <f t="shared" si="203"/>
        <v>0</v>
      </c>
      <c r="AA481" s="12">
        <f>+paraméterek!$B$346</f>
        <v>6.4600000000000005E-2</v>
      </c>
      <c r="AB481" s="301">
        <f t="shared" si="204"/>
        <v>0</v>
      </c>
      <c r="AC481" s="301">
        <f t="shared" si="191"/>
        <v>0</v>
      </c>
      <c r="AD481" s="301">
        <f t="shared" si="205"/>
        <v>0</v>
      </c>
      <c r="AE481" s="301">
        <f t="shared" si="206"/>
        <v>0</v>
      </c>
      <c r="AF481" s="477">
        <f t="shared" si="207"/>
        <v>0</v>
      </c>
      <c r="AI481" s="543">
        <f t="shared" si="192"/>
        <v>0</v>
      </c>
      <c r="AJ481" s="543">
        <f t="shared" si="208"/>
        <v>0</v>
      </c>
      <c r="AK481" s="300">
        <f t="shared" si="209"/>
        <v>0</v>
      </c>
      <c r="AL481" s="543">
        <f t="shared" si="210"/>
        <v>0</v>
      </c>
      <c r="AM481" s="10">
        <f t="shared" si="211"/>
        <v>0</v>
      </c>
      <c r="AN481" s="4"/>
      <c r="AP481" s="437">
        <f t="shared" si="212"/>
        <v>0</v>
      </c>
    </row>
    <row r="482" spans="1:42" s="11" customFormat="1" hidden="1" x14ac:dyDescent="0.3">
      <c r="A482" s="775">
        <v>403</v>
      </c>
      <c r="B482" s="775">
        <f t="shared" si="193"/>
        <v>34</v>
      </c>
      <c r="C482" s="891">
        <f t="shared" si="214"/>
        <v>0.14489675614077413</v>
      </c>
      <c r="D482" s="891"/>
      <c r="E482" s="891">
        <f t="shared" si="214"/>
        <v>0.03</v>
      </c>
      <c r="F482" s="891">
        <f t="shared" si="186"/>
        <v>0.03</v>
      </c>
      <c r="G482" s="893">
        <f t="shared" si="195"/>
        <v>1.151056494563818E-8</v>
      </c>
      <c r="H482" s="436">
        <f t="shared" si="187"/>
        <v>0</v>
      </c>
      <c r="I482" s="302">
        <f t="shared" si="188"/>
        <v>0</v>
      </c>
      <c r="J482" s="301">
        <f t="shared" si="213"/>
        <v>2.9176084758041223E-11</v>
      </c>
      <c r="K482" s="301">
        <f t="shared" si="196"/>
        <v>2.9176084758041223E-11</v>
      </c>
      <c r="L482" s="10">
        <f t="shared" si="197"/>
        <v>2.9176084758041223E-11</v>
      </c>
      <c r="M482" s="302"/>
      <c r="N482" s="435">
        <f t="shared" si="198"/>
        <v>0</v>
      </c>
      <c r="O482" s="436">
        <f t="shared" si="189"/>
        <v>0</v>
      </c>
      <c r="P482" s="436">
        <f t="shared" si="199"/>
        <v>0</v>
      </c>
      <c r="R482" s="354">
        <f>+Hirdetmény!$AA$46</f>
        <v>0.13400000000000001</v>
      </c>
      <c r="S482" s="301">
        <f t="shared" si="200"/>
        <v>0</v>
      </c>
      <c r="T482" s="301">
        <f t="shared" si="190"/>
        <v>0</v>
      </c>
      <c r="U482" s="301">
        <f t="shared" si="201"/>
        <v>0</v>
      </c>
      <c r="V482" s="301">
        <f t="shared" si="202"/>
        <v>0</v>
      </c>
      <c r="W482" s="301">
        <f t="shared" si="203"/>
        <v>0</v>
      </c>
      <c r="AA482" s="12">
        <f>+paraméterek!$B$346</f>
        <v>6.4600000000000005E-2</v>
      </c>
      <c r="AB482" s="301">
        <f t="shared" si="204"/>
        <v>0</v>
      </c>
      <c r="AC482" s="301">
        <f t="shared" si="191"/>
        <v>0</v>
      </c>
      <c r="AD482" s="301">
        <f t="shared" si="205"/>
        <v>0</v>
      </c>
      <c r="AE482" s="301">
        <f t="shared" si="206"/>
        <v>0</v>
      </c>
      <c r="AF482" s="477">
        <f t="shared" si="207"/>
        <v>0</v>
      </c>
      <c r="AI482" s="543">
        <f t="shared" si="192"/>
        <v>0</v>
      </c>
      <c r="AJ482" s="543">
        <f t="shared" si="208"/>
        <v>0</v>
      </c>
      <c r="AK482" s="300">
        <f t="shared" si="209"/>
        <v>0</v>
      </c>
      <c r="AL482" s="543">
        <f t="shared" si="210"/>
        <v>0</v>
      </c>
      <c r="AM482" s="10">
        <f t="shared" si="211"/>
        <v>0</v>
      </c>
      <c r="AN482" s="4"/>
      <c r="AP482" s="437">
        <f t="shared" si="212"/>
        <v>0</v>
      </c>
    </row>
    <row r="483" spans="1:42" s="11" customFormat="1" hidden="1" x14ac:dyDescent="0.3">
      <c r="A483" s="775">
        <v>404</v>
      </c>
      <c r="B483" s="775">
        <f t="shared" si="193"/>
        <v>34</v>
      </c>
      <c r="C483" s="891">
        <f t="shared" si="214"/>
        <v>0.14489675614077413</v>
      </c>
      <c r="D483" s="891"/>
      <c r="E483" s="891">
        <f t="shared" si="214"/>
        <v>0.03</v>
      </c>
      <c r="F483" s="891">
        <f t="shared" si="186"/>
        <v>0.03</v>
      </c>
      <c r="G483" s="893">
        <f t="shared" si="195"/>
        <v>1.151056494563818E-8</v>
      </c>
      <c r="H483" s="436">
        <f t="shared" si="187"/>
        <v>0</v>
      </c>
      <c r="I483" s="302">
        <f t="shared" si="188"/>
        <v>0</v>
      </c>
      <c r="J483" s="301">
        <f t="shared" si="213"/>
        <v>2.9176084758041223E-11</v>
      </c>
      <c r="K483" s="301">
        <f t="shared" si="196"/>
        <v>2.9176084758041223E-11</v>
      </c>
      <c r="L483" s="10">
        <f t="shared" si="197"/>
        <v>2.9176084758041223E-11</v>
      </c>
      <c r="M483" s="302"/>
      <c r="N483" s="435">
        <f t="shared" si="198"/>
        <v>0</v>
      </c>
      <c r="O483" s="436">
        <f t="shared" si="189"/>
        <v>0</v>
      </c>
      <c r="P483" s="436">
        <f t="shared" si="199"/>
        <v>0</v>
      </c>
      <c r="R483" s="354">
        <f>+Hirdetmény!$AA$46</f>
        <v>0.13400000000000001</v>
      </c>
      <c r="S483" s="301">
        <f t="shared" si="200"/>
        <v>0</v>
      </c>
      <c r="T483" s="301">
        <f t="shared" si="190"/>
        <v>0</v>
      </c>
      <c r="U483" s="301">
        <f t="shared" si="201"/>
        <v>0</v>
      </c>
      <c r="V483" s="301">
        <f t="shared" si="202"/>
        <v>0</v>
      </c>
      <c r="W483" s="301">
        <f t="shared" si="203"/>
        <v>0</v>
      </c>
      <c r="AA483" s="12">
        <f>+paraméterek!$B$346</f>
        <v>6.4600000000000005E-2</v>
      </c>
      <c r="AB483" s="301">
        <f t="shared" si="204"/>
        <v>0</v>
      </c>
      <c r="AC483" s="301">
        <f t="shared" si="191"/>
        <v>0</v>
      </c>
      <c r="AD483" s="301">
        <f t="shared" si="205"/>
        <v>0</v>
      </c>
      <c r="AE483" s="301">
        <f t="shared" si="206"/>
        <v>0</v>
      </c>
      <c r="AF483" s="477">
        <f t="shared" si="207"/>
        <v>0</v>
      </c>
      <c r="AI483" s="543">
        <f t="shared" si="192"/>
        <v>0</v>
      </c>
      <c r="AJ483" s="543">
        <f t="shared" si="208"/>
        <v>0</v>
      </c>
      <c r="AK483" s="300">
        <f t="shared" si="209"/>
        <v>0</v>
      </c>
      <c r="AL483" s="543">
        <f t="shared" si="210"/>
        <v>0</v>
      </c>
      <c r="AM483" s="10">
        <f t="shared" si="211"/>
        <v>0</v>
      </c>
      <c r="AN483" s="4"/>
      <c r="AP483" s="437">
        <f t="shared" si="212"/>
        <v>0</v>
      </c>
    </row>
    <row r="484" spans="1:42" s="11" customFormat="1" hidden="1" x14ac:dyDescent="0.3">
      <c r="A484" s="775">
        <v>405</v>
      </c>
      <c r="B484" s="775">
        <f t="shared" si="193"/>
        <v>34</v>
      </c>
      <c r="C484" s="891">
        <f t="shared" si="214"/>
        <v>0.14489675614077413</v>
      </c>
      <c r="D484" s="891"/>
      <c r="E484" s="891">
        <f t="shared" si="214"/>
        <v>0.03</v>
      </c>
      <c r="F484" s="891">
        <f t="shared" si="186"/>
        <v>0.03</v>
      </c>
      <c r="G484" s="893">
        <f t="shared" si="195"/>
        <v>1.151056494563818E-8</v>
      </c>
      <c r="H484" s="436">
        <f t="shared" si="187"/>
        <v>0</v>
      </c>
      <c r="I484" s="302">
        <f t="shared" si="188"/>
        <v>0</v>
      </c>
      <c r="J484" s="301">
        <f t="shared" si="213"/>
        <v>2.9176084758041223E-11</v>
      </c>
      <c r="K484" s="301">
        <f t="shared" si="196"/>
        <v>2.9176084758041223E-11</v>
      </c>
      <c r="L484" s="10">
        <f t="shared" si="197"/>
        <v>2.9176084758041223E-11</v>
      </c>
      <c r="M484" s="302"/>
      <c r="N484" s="435">
        <f t="shared" si="198"/>
        <v>0</v>
      </c>
      <c r="O484" s="436">
        <f t="shared" si="189"/>
        <v>0</v>
      </c>
      <c r="P484" s="436">
        <f t="shared" si="199"/>
        <v>0</v>
      </c>
      <c r="R484" s="354">
        <f>+Hirdetmény!$AA$46</f>
        <v>0.13400000000000001</v>
      </c>
      <c r="S484" s="301">
        <f t="shared" si="200"/>
        <v>0</v>
      </c>
      <c r="T484" s="301">
        <f t="shared" si="190"/>
        <v>0</v>
      </c>
      <c r="U484" s="301">
        <f t="shared" si="201"/>
        <v>0</v>
      </c>
      <c r="V484" s="301">
        <f t="shared" si="202"/>
        <v>0</v>
      </c>
      <c r="W484" s="301">
        <f t="shared" si="203"/>
        <v>0</v>
      </c>
      <c r="AA484" s="12">
        <f>+paraméterek!$B$346</f>
        <v>6.4600000000000005E-2</v>
      </c>
      <c r="AB484" s="301">
        <f t="shared" si="204"/>
        <v>0</v>
      </c>
      <c r="AC484" s="301">
        <f t="shared" si="191"/>
        <v>0</v>
      </c>
      <c r="AD484" s="301">
        <f t="shared" si="205"/>
        <v>0</v>
      </c>
      <c r="AE484" s="301">
        <f t="shared" si="206"/>
        <v>0</v>
      </c>
      <c r="AF484" s="477">
        <f t="shared" si="207"/>
        <v>0</v>
      </c>
      <c r="AI484" s="543">
        <f t="shared" si="192"/>
        <v>0</v>
      </c>
      <c r="AJ484" s="543">
        <f t="shared" si="208"/>
        <v>0</v>
      </c>
      <c r="AK484" s="300">
        <f t="shared" si="209"/>
        <v>0</v>
      </c>
      <c r="AL484" s="543">
        <f t="shared" si="210"/>
        <v>0</v>
      </c>
      <c r="AM484" s="10">
        <f t="shared" si="211"/>
        <v>0</v>
      </c>
      <c r="AN484" s="4"/>
      <c r="AP484" s="437">
        <f t="shared" si="212"/>
        <v>0</v>
      </c>
    </row>
    <row r="485" spans="1:42" s="11" customFormat="1" hidden="1" x14ac:dyDescent="0.3">
      <c r="A485" s="775">
        <v>406</v>
      </c>
      <c r="B485" s="775">
        <f t="shared" si="193"/>
        <v>34</v>
      </c>
      <c r="C485" s="891">
        <f t="shared" si="214"/>
        <v>0.14489675614077413</v>
      </c>
      <c r="D485" s="891"/>
      <c r="E485" s="891">
        <f t="shared" si="214"/>
        <v>0.03</v>
      </c>
      <c r="F485" s="891">
        <f t="shared" si="186"/>
        <v>0.03</v>
      </c>
      <c r="G485" s="893">
        <f t="shared" si="195"/>
        <v>1.151056494563818E-8</v>
      </c>
      <c r="H485" s="436">
        <f t="shared" si="187"/>
        <v>0</v>
      </c>
      <c r="I485" s="302">
        <f t="shared" si="188"/>
        <v>0</v>
      </c>
      <c r="J485" s="301">
        <f t="shared" si="213"/>
        <v>2.9176084758041223E-11</v>
      </c>
      <c r="K485" s="301">
        <f t="shared" si="196"/>
        <v>2.9176084758041223E-11</v>
      </c>
      <c r="L485" s="10">
        <f t="shared" si="197"/>
        <v>2.9176084758041223E-11</v>
      </c>
      <c r="M485" s="302"/>
      <c r="N485" s="435">
        <f t="shared" si="198"/>
        <v>0</v>
      </c>
      <c r="O485" s="436">
        <f t="shared" si="189"/>
        <v>0</v>
      </c>
      <c r="P485" s="436">
        <f t="shared" si="199"/>
        <v>0</v>
      </c>
      <c r="R485" s="354">
        <f>+Hirdetmény!$AA$46</f>
        <v>0.13400000000000001</v>
      </c>
      <c r="S485" s="301">
        <f t="shared" si="200"/>
        <v>0</v>
      </c>
      <c r="T485" s="301">
        <f t="shared" si="190"/>
        <v>0</v>
      </c>
      <c r="U485" s="301">
        <f t="shared" si="201"/>
        <v>0</v>
      </c>
      <c r="V485" s="301">
        <f t="shared" si="202"/>
        <v>0</v>
      </c>
      <c r="W485" s="301">
        <f t="shared" si="203"/>
        <v>0</v>
      </c>
      <c r="AA485" s="12">
        <f>+paraméterek!$B$346</f>
        <v>6.4600000000000005E-2</v>
      </c>
      <c r="AB485" s="301">
        <f t="shared" si="204"/>
        <v>0</v>
      </c>
      <c r="AC485" s="301">
        <f t="shared" si="191"/>
        <v>0</v>
      </c>
      <c r="AD485" s="301">
        <f t="shared" si="205"/>
        <v>0</v>
      </c>
      <c r="AE485" s="301">
        <f t="shared" si="206"/>
        <v>0</v>
      </c>
      <c r="AF485" s="477">
        <f t="shared" si="207"/>
        <v>0</v>
      </c>
      <c r="AI485" s="543">
        <f t="shared" si="192"/>
        <v>0</v>
      </c>
      <c r="AJ485" s="543">
        <f t="shared" si="208"/>
        <v>0</v>
      </c>
      <c r="AK485" s="300">
        <f t="shared" si="209"/>
        <v>0</v>
      </c>
      <c r="AL485" s="543">
        <f t="shared" si="210"/>
        <v>0</v>
      </c>
      <c r="AM485" s="10">
        <f t="shared" si="211"/>
        <v>0</v>
      </c>
      <c r="AN485" s="4"/>
      <c r="AP485" s="437">
        <f t="shared" si="212"/>
        <v>0</v>
      </c>
    </row>
    <row r="486" spans="1:42" s="11" customFormat="1" hidden="1" x14ac:dyDescent="0.3">
      <c r="A486" s="775">
        <v>407</v>
      </c>
      <c r="B486" s="775">
        <f t="shared" si="193"/>
        <v>34</v>
      </c>
      <c r="C486" s="891">
        <f t="shared" si="214"/>
        <v>0.14489675614077413</v>
      </c>
      <c r="D486" s="891"/>
      <c r="E486" s="891">
        <f t="shared" si="214"/>
        <v>0.03</v>
      </c>
      <c r="F486" s="891">
        <f t="shared" si="186"/>
        <v>0.03</v>
      </c>
      <c r="G486" s="893">
        <f t="shared" si="195"/>
        <v>1.151056494563818E-8</v>
      </c>
      <c r="H486" s="436">
        <f t="shared" si="187"/>
        <v>0</v>
      </c>
      <c r="I486" s="302">
        <f t="shared" si="188"/>
        <v>0</v>
      </c>
      <c r="J486" s="301">
        <f t="shared" si="213"/>
        <v>2.9176084758041223E-11</v>
      </c>
      <c r="K486" s="301">
        <f t="shared" si="196"/>
        <v>2.9176084758041223E-11</v>
      </c>
      <c r="L486" s="10">
        <f t="shared" si="197"/>
        <v>2.9176084758041223E-11</v>
      </c>
      <c r="M486" s="302"/>
      <c r="N486" s="435">
        <f t="shared" si="198"/>
        <v>0</v>
      </c>
      <c r="O486" s="436">
        <f t="shared" si="189"/>
        <v>0</v>
      </c>
      <c r="P486" s="436">
        <f t="shared" si="199"/>
        <v>0</v>
      </c>
      <c r="R486" s="354">
        <f>+Hirdetmény!$AA$46</f>
        <v>0.13400000000000001</v>
      </c>
      <c r="S486" s="301">
        <f t="shared" si="200"/>
        <v>0</v>
      </c>
      <c r="T486" s="301">
        <f t="shared" si="190"/>
        <v>0</v>
      </c>
      <c r="U486" s="301">
        <f t="shared" si="201"/>
        <v>0</v>
      </c>
      <c r="V486" s="301">
        <f t="shared" si="202"/>
        <v>0</v>
      </c>
      <c r="W486" s="301">
        <f t="shared" si="203"/>
        <v>0</v>
      </c>
      <c r="AA486" s="12">
        <f>+paraméterek!$B$346</f>
        <v>6.4600000000000005E-2</v>
      </c>
      <c r="AB486" s="301">
        <f t="shared" si="204"/>
        <v>0</v>
      </c>
      <c r="AC486" s="301">
        <f t="shared" si="191"/>
        <v>0</v>
      </c>
      <c r="AD486" s="301">
        <f t="shared" si="205"/>
        <v>0</v>
      </c>
      <c r="AE486" s="301">
        <f t="shared" si="206"/>
        <v>0</v>
      </c>
      <c r="AF486" s="477">
        <f t="shared" si="207"/>
        <v>0</v>
      </c>
      <c r="AI486" s="543">
        <f t="shared" si="192"/>
        <v>0</v>
      </c>
      <c r="AJ486" s="543">
        <f t="shared" si="208"/>
        <v>0</v>
      </c>
      <c r="AK486" s="300">
        <f t="shared" si="209"/>
        <v>0</v>
      </c>
      <c r="AL486" s="543">
        <f t="shared" si="210"/>
        <v>0</v>
      </c>
      <c r="AM486" s="10">
        <f t="shared" si="211"/>
        <v>0</v>
      </c>
      <c r="AN486" s="4"/>
      <c r="AP486" s="437">
        <f t="shared" si="212"/>
        <v>0</v>
      </c>
    </row>
    <row r="487" spans="1:42" s="11" customFormat="1" hidden="1" x14ac:dyDescent="0.3">
      <c r="A487" s="775">
        <v>408</v>
      </c>
      <c r="B487" s="775">
        <f t="shared" si="193"/>
        <v>34</v>
      </c>
      <c r="C487" s="891">
        <f t="shared" si="214"/>
        <v>0.14489675614077413</v>
      </c>
      <c r="D487" s="891"/>
      <c r="E487" s="891">
        <f t="shared" si="214"/>
        <v>0.03</v>
      </c>
      <c r="F487" s="891">
        <f t="shared" si="186"/>
        <v>0.03</v>
      </c>
      <c r="G487" s="893">
        <f t="shared" si="195"/>
        <v>1.151056494563818E-8</v>
      </c>
      <c r="H487" s="436">
        <f t="shared" si="187"/>
        <v>0</v>
      </c>
      <c r="I487" s="302">
        <f t="shared" si="188"/>
        <v>0</v>
      </c>
      <c r="J487" s="301">
        <f t="shared" si="213"/>
        <v>2.9176084758041223E-11</v>
      </c>
      <c r="K487" s="301">
        <f t="shared" si="196"/>
        <v>2.9176084758041223E-11</v>
      </c>
      <c r="L487" s="10">
        <f t="shared" si="197"/>
        <v>2.9176084758041223E-11</v>
      </c>
      <c r="M487" s="302"/>
      <c r="N487" s="435">
        <f t="shared" si="198"/>
        <v>0</v>
      </c>
      <c r="O487" s="436">
        <f t="shared" si="189"/>
        <v>0</v>
      </c>
      <c r="P487" s="436">
        <f t="shared" si="199"/>
        <v>0</v>
      </c>
      <c r="R487" s="354">
        <f>+Hirdetmény!$AA$46</f>
        <v>0.13400000000000001</v>
      </c>
      <c r="S487" s="301">
        <f t="shared" si="200"/>
        <v>0</v>
      </c>
      <c r="T487" s="301">
        <f t="shared" si="190"/>
        <v>0</v>
      </c>
      <c r="U487" s="301">
        <f t="shared" si="201"/>
        <v>0</v>
      </c>
      <c r="V487" s="301">
        <f t="shared" si="202"/>
        <v>0</v>
      </c>
      <c r="W487" s="301">
        <f t="shared" si="203"/>
        <v>0</v>
      </c>
      <c r="AA487" s="12">
        <f>+paraméterek!$B$346</f>
        <v>6.4600000000000005E-2</v>
      </c>
      <c r="AB487" s="301">
        <f t="shared" si="204"/>
        <v>0</v>
      </c>
      <c r="AC487" s="301">
        <f t="shared" si="191"/>
        <v>0</v>
      </c>
      <c r="AD487" s="301">
        <f t="shared" si="205"/>
        <v>0</v>
      </c>
      <c r="AE487" s="301">
        <f t="shared" si="206"/>
        <v>0</v>
      </c>
      <c r="AF487" s="477">
        <f t="shared" si="207"/>
        <v>0</v>
      </c>
      <c r="AI487" s="543">
        <f t="shared" si="192"/>
        <v>0</v>
      </c>
      <c r="AJ487" s="543">
        <f t="shared" si="208"/>
        <v>0</v>
      </c>
      <c r="AK487" s="300">
        <f t="shared" si="209"/>
        <v>0</v>
      </c>
      <c r="AL487" s="543">
        <f t="shared" si="210"/>
        <v>0</v>
      </c>
      <c r="AM487" s="10">
        <f t="shared" si="211"/>
        <v>0</v>
      </c>
      <c r="AN487" s="4"/>
      <c r="AP487" s="437">
        <f t="shared" si="212"/>
        <v>0</v>
      </c>
    </row>
    <row r="488" spans="1:42" s="11" customFormat="1" hidden="1" x14ac:dyDescent="0.3">
      <c r="A488" s="775">
        <v>409</v>
      </c>
      <c r="B488" s="775">
        <f t="shared" si="193"/>
        <v>35</v>
      </c>
      <c r="C488" s="891">
        <f t="shared" si="214"/>
        <v>0.14489675614077413</v>
      </c>
      <c r="D488" s="891"/>
      <c r="E488" s="891">
        <f t="shared" si="214"/>
        <v>0.03</v>
      </c>
      <c r="F488" s="891">
        <f t="shared" si="186"/>
        <v>0.03</v>
      </c>
      <c r="G488" s="893">
        <f t="shared" si="195"/>
        <v>1.151056494563818E-8</v>
      </c>
      <c r="H488" s="436">
        <f t="shared" si="187"/>
        <v>0</v>
      </c>
      <c r="I488" s="302">
        <f t="shared" si="188"/>
        <v>0</v>
      </c>
      <c r="J488" s="301">
        <f t="shared" si="213"/>
        <v>2.9176084758041223E-11</v>
      </c>
      <c r="K488" s="301">
        <f t="shared" si="196"/>
        <v>2.9176084758041223E-11</v>
      </c>
      <c r="L488" s="10">
        <f t="shared" si="197"/>
        <v>2.9176084758041223E-11</v>
      </c>
      <c r="M488" s="302"/>
      <c r="N488" s="435">
        <f t="shared" si="198"/>
        <v>0</v>
      </c>
      <c r="O488" s="436">
        <f t="shared" si="189"/>
        <v>0</v>
      </c>
      <c r="P488" s="436">
        <f t="shared" si="199"/>
        <v>0</v>
      </c>
      <c r="R488" s="354">
        <f>+Hirdetmény!$AA$46</f>
        <v>0.13400000000000001</v>
      </c>
      <c r="S488" s="301">
        <f t="shared" si="200"/>
        <v>0</v>
      </c>
      <c r="T488" s="301">
        <f t="shared" si="190"/>
        <v>0</v>
      </c>
      <c r="U488" s="301">
        <f t="shared" si="201"/>
        <v>0</v>
      </c>
      <c r="V488" s="301">
        <f t="shared" si="202"/>
        <v>0</v>
      </c>
      <c r="W488" s="301">
        <f t="shared" si="203"/>
        <v>0</v>
      </c>
      <c r="AA488" s="12">
        <f>+paraméterek!$B$346</f>
        <v>6.4600000000000005E-2</v>
      </c>
      <c r="AB488" s="301">
        <f t="shared" si="204"/>
        <v>0</v>
      </c>
      <c r="AC488" s="301">
        <f t="shared" si="191"/>
        <v>0</v>
      </c>
      <c r="AD488" s="301">
        <f t="shared" si="205"/>
        <v>0</v>
      </c>
      <c r="AE488" s="301">
        <f t="shared" si="206"/>
        <v>0</v>
      </c>
      <c r="AF488" s="477">
        <f t="shared" si="207"/>
        <v>0</v>
      </c>
      <c r="AI488" s="543">
        <f t="shared" si="192"/>
        <v>0</v>
      </c>
      <c r="AJ488" s="543">
        <f t="shared" si="208"/>
        <v>0</v>
      </c>
      <c r="AK488" s="300">
        <f t="shared" si="209"/>
        <v>0</v>
      </c>
      <c r="AL488" s="543">
        <f t="shared" si="210"/>
        <v>0</v>
      </c>
      <c r="AM488" s="10">
        <f t="shared" si="211"/>
        <v>0</v>
      </c>
      <c r="AN488" s="4"/>
      <c r="AP488" s="437">
        <f t="shared" si="212"/>
        <v>0</v>
      </c>
    </row>
    <row r="489" spans="1:42" s="11" customFormat="1" hidden="1" x14ac:dyDescent="0.3">
      <c r="A489" s="775">
        <v>410</v>
      </c>
      <c r="B489" s="775">
        <f t="shared" si="193"/>
        <v>35</v>
      </c>
      <c r="C489" s="891">
        <f t="shared" si="214"/>
        <v>0.14489675614077413</v>
      </c>
      <c r="D489" s="891"/>
      <c r="E489" s="891">
        <f t="shared" si="214"/>
        <v>0.03</v>
      </c>
      <c r="F489" s="891">
        <f t="shared" si="186"/>
        <v>0.03</v>
      </c>
      <c r="G489" s="893">
        <f t="shared" si="195"/>
        <v>1.151056494563818E-8</v>
      </c>
      <c r="H489" s="436">
        <f t="shared" si="187"/>
        <v>0</v>
      </c>
      <c r="I489" s="302">
        <f t="shared" si="188"/>
        <v>0</v>
      </c>
      <c r="J489" s="301">
        <f t="shared" si="213"/>
        <v>2.9176084758041223E-11</v>
      </c>
      <c r="K489" s="301">
        <f t="shared" si="196"/>
        <v>2.9176084758041223E-11</v>
      </c>
      <c r="L489" s="10">
        <f t="shared" si="197"/>
        <v>2.9176084758041223E-11</v>
      </c>
      <c r="M489" s="302"/>
      <c r="N489" s="435">
        <f t="shared" si="198"/>
        <v>0</v>
      </c>
      <c r="O489" s="436">
        <f t="shared" si="189"/>
        <v>0</v>
      </c>
      <c r="P489" s="436">
        <f t="shared" si="199"/>
        <v>0</v>
      </c>
      <c r="R489" s="354">
        <f>+Hirdetmény!$AA$46</f>
        <v>0.13400000000000001</v>
      </c>
      <c r="S489" s="301">
        <f t="shared" si="200"/>
        <v>0</v>
      </c>
      <c r="T489" s="301">
        <f t="shared" si="190"/>
        <v>0</v>
      </c>
      <c r="U489" s="301">
        <f t="shared" si="201"/>
        <v>0</v>
      </c>
      <c r="V489" s="301">
        <f t="shared" si="202"/>
        <v>0</v>
      </c>
      <c r="W489" s="301">
        <f t="shared" si="203"/>
        <v>0</v>
      </c>
      <c r="AA489" s="12">
        <f>+paraméterek!$B$346</f>
        <v>6.4600000000000005E-2</v>
      </c>
      <c r="AB489" s="301">
        <f t="shared" si="204"/>
        <v>0</v>
      </c>
      <c r="AC489" s="301">
        <f t="shared" si="191"/>
        <v>0</v>
      </c>
      <c r="AD489" s="301">
        <f t="shared" si="205"/>
        <v>0</v>
      </c>
      <c r="AE489" s="301">
        <f t="shared" si="206"/>
        <v>0</v>
      </c>
      <c r="AF489" s="477">
        <f t="shared" si="207"/>
        <v>0</v>
      </c>
      <c r="AI489" s="543">
        <f t="shared" si="192"/>
        <v>0</v>
      </c>
      <c r="AJ489" s="543">
        <f t="shared" si="208"/>
        <v>0</v>
      </c>
      <c r="AK489" s="300">
        <f t="shared" si="209"/>
        <v>0</v>
      </c>
      <c r="AL489" s="543">
        <f t="shared" si="210"/>
        <v>0</v>
      </c>
      <c r="AM489" s="10">
        <f t="shared" si="211"/>
        <v>0</v>
      </c>
      <c r="AN489" s="4"/>
      <c r="AP489" s="437">
        <f t="shared" si="212"/>
        <v>0</v>
      </c>
    </row>
    <row r="490" spans="1:42" s="11" customFormat="1" hidden="1" x14ac:dyDescent="0.3">
      <c r="A490" s="775">
        <v>411</v>
      </c>
      <c r="B490" s="775">
        <f t="shared" si="193"/>
        <v>35</v>
      </c>
      <c r="C490" s="891">
        <f t="shared" si="214"/>
        <v>0.14489675614077413</v>
      </c>
      <c r="D490" s="891"/>
      <c r="E490" s="891">
        <f t="shared" si="214"/>
        <v>0.03</v>
      </c>
      <c r="F490" s="891">
        <f t="shared" si="186"/>
        <v>0.03</v>
      </c>
      <c r="G490" s="893">
        <f t="shared" si="195"/>
        <v>1.151056494563818E-8</v>
      </c>
      <c r="H490" s="436">
        <f t="shared" si="187"/>
        <v>0</v>
      </c>
      <c r="I490" s="302">
        <f t="shared" si="188"/>
        <v>0</v>
      </c>
      <c r="J490" s="301">
        <f t="shared" si="213"/>
        <v>2.9176084758041223E-11</v>
      </c>
      <c r="K490" s="301">
        <f t="shared" si="196"/>
        <v>2.9176084758041223E-11</v>
      </c>
      <c r="L490" s="10">
        <f t="shared" si="197"/>
        <v>2.9176084758041223E-11</v>
      </c>
      <c r="M490" s="302"/>
      <c r="N490" s="435">
        <f t="shared" si="198"/>
        <v>0</v>
      </c>
      <c r="O490" s="436">
        <f t="shared" si="189"/>
        <v>0</v>
      </c>
      <c r="P490" s="436">
        <f t="shared" si="199"/>
        <v>0</v>
      </c>
      <c r="R490" s="354">
        <f>+Hirdetmény!$AA$46</f>
        <v>0.13400000000000001</v>
      </c>
      <c r="S490" s="301">
        <f t="shared" si="200"/>
        <v>0</v>
      </c>
      <c r="T490" s="301">
        <f t="shared" si="190"/>
        <v>0</v>
      </c>
      <c r="U490" s="301">
        <f t="shared" si="201"/>
        <v>0</v>
      </c>
      <c r="V490" s="301">
        <f t="shared" si="202"/>
        <v>0</v>
      </c>
      <c r="W490" s="301">
        <f t="shared" si="203"/>
        <v>0</v>
      </c>
      <c r="AA490" s="12">
        <f>+paraméterek!$B$346</f>
        <v>6.4600000000000005E-2</v>
      </c>
      <c r="AB490" s="301">
        <f t="shared" si="204"/>
        <v>0</v>
      </c>
      <c r="AC490" s="301">
        <f t="shared" si="191"/>
        <v>0</v>
      </c>
      <c r="AD490" s="301">
        <f t="shared" si="205"/>
        <v>0</v>
      </c>
      <c r="AE490" s="301">
        <f t="shared" si="206"/>
        <v>0</v>
      </c>
      <c r="AF490" s="477">
        <f t="shared" si="207"/>
        <v>0</v>
      </c>
      <c r="AI490" s="543">
        <f t="shared" si="192"/>
        <v>0</v>
      </c>
      <c r="AJ490" s="543">
        <f t="shared" si="208"/>
        <v>0</v>
      </c>
      <c r="AK490" s="300">
        <f t="shared" si="209"/>
        <v>0</v>
      </c>
      <c r="AL490" s="543">
        <f t="shared" si="210"/>
        <v>0</v>
      </c>
      <c r="AM490" s="10">
        <f t="shared" si="211"/>
        <v>0</v>
      </c>
      <c r="AN490" s="4"/>
      <c r="AP490" s="437">
        <f t="shared" si="212"/>
        <v>0</v>
      </c>
    </row>
    <row r="491" spans="1:42" s="11" customFormat="1" hidden="1" x14ac:dyDescent="0.3">
      <c r="A491" s="775">
        <v>412</v>
      </c>
      <c r="B491" s="775">
        <f t="shared" si="193"/>
        <v>35</v>
      </c>
      <c r="C491" s="891">
        <f t="shared" si="214"/>
        <v>0.14489675614077413</v>
      </c>
      <c r="D491" s="891"/>
      <c r="E491" s="891">
        <f t="shared" si="214"/>
        <v>0.03</v>
      </c>
      <c r="F491" s="891">
        <f t="shared" si="186"/>
        <v>0.03</v>
      </c>
      <c r="G491" s="893">
        <f t="shared" si="195"/>
        <v>1.151056494563818E-8</v>
      </c>
      <c r="H491" s="436">
        <f t="shared" si="187"/>
        <v>0</v>
      </c>
      <c r="I491" s="302">
        <f t="shared" si="188"/>
        <v>0</v>
      </c>
      <c r="J491" s="301">
        <f t="shared" si="213"/>
        <v>2.9176084758041223E-11</v>
      </c>
      <c r="K491" s="301">
        <f t="shared" si="196"/>
        <v>2.9176084758041223E-11</v>
      </c>
      <c r="L491" s="10">
        <f t="shared" si="197"/>
        <v>2.9176084758041223E-11</v>
      </c>
      <c r="M491" s="302"/>
      <c r="N491" s="435">
        <f t="shared" si="198"/>
        <v>0</v>
      </c>
      <c r="O491" s="436">
        <f t="shared" si="189"/>
        <v>0</v>
      </c>
      <c r="P491" s="436">
        <f t="shared" si="199"/>
        <v>0</v>
      </c>
      <c r="R491" s="354">
        <f>+Hirdetmény!$AA$46</f>
        <v>0.13400000000000001</v>
      </c>
      <c r="S491" s="301">
        <f t="shared" si="200"/>
        <v>0</v>
      </c>
      <c r="T491" s="301">
        <f t="shared" si="190"/>
        <v>0</v>
      </c>
      <c r="U491" s="301">
        <f t="shared" si="201"/>
        <v>0</v>
      </c>
      <c r="V491" s="301">
        <f t="shared" si="202"/>
        <v>0</v>
      </c>
      <c r="W491" s="301">
        <f t="shared" si="203"/>
        <v>0</v>
      </c>
      <c r="AA491" s="12">
        <f>+paraméterek!$B$346</f>
        <v>6.4600000000000005E-2</v>
      </c>
      <c r="AB491" s="301">
        <f t="shared" si="204"/>
        <v>0</v>
      </c>
      <c r="AC491" s="301">
        <f t="shared" si="191"/>
        <v>0</v>
      </c>
      <c r="AD491" s="301">
        <f t="shared" si="205"/>
        <v>0</v>
      </c>
      <c r="AE491" s="301">
        <f t="shared" si="206"/>
        <v>0</v>
      </c>
      <c r="AF491" s="477">
        <f t="shared" si="207"/>
        <v>0</v>
      </c>
      <c r="AI491" s="543">
        <f t="shared" si="192"/>
        <v>0</v>
      </c>
      <c r="AJ491" s="543">
        <f t="shared" si="208"/>
        <v>0</v>
      </c>
      <c r="AK491" s="300">
        <f t="shared" si="209"/>
        <v>0</v>
      </c>
      <c r="AL491" s="543">
        <f t="shared" si="210"/>
        <v>0</v>
      </c>
      <c r="AM491" s="10">
        <f t="shared" si="211"/>
        <v>0</v>
      </c>
      <c r="AN491" s="4"/>
      <c r="AP491" s="437">
        <f t="shared" si="212"/>
        <v>0</v>
      </c>
    </row>
    <row r="492" spans="1:42" s="11" customFormat="1" hidden="1" x14ac:dyDescent="0.3">
      <c r="A492" s="775">
        <v>413</v>
      </c>
      <c r="B492" s="775">
        <f t="shared" si="193"/>
        <v>35</v>
      </c>
      <c r="C492" s="891">
        <f t="shared" si="214"/>
        <v>0.14489675614077413</v>
      </c>
      <c r="D492" s="891"/>
      <c r="E492" s="891">
        <f t="shared" si="214"/>
        <v>0.03</v>
      </c>
      <c r="F492" s="891">
        <f t="shared" si="186"/>
        <v>0.03</v>
      </c>
      <c r="G492" s="893">
        <f t="shared" si="195"/>
        <v>1.151056494563818E-8</v>
      </c>
      <c r="H492" s="436">
        <f t="shared" si="187"/>
        <v>0</v>
      </c>
      <c r="I492" s="302">
        <f t="shared" si="188"/>
        <v>0</v>
      </c>
      <c r="J492" s="301">
        <f t="shared" si="213"/>
        <v>2.9176084758041223E-11</v>
      </c>
      <c r="K492" s="301">
        <f t="shared" si="196"/>
        <v>2.9176084758041223E-11</v>
      </c>
      <c r="L492" s="10">
        <f t="shared" si="197"/>
        <v>2.9176084758041223E-11</v>
      </c>
      <c r="M492" s="302"/>
      <c r="N492" s="435">
        <f t="shared" si="198"/>
        <v>0</v>
      </c>
      <c r="O492" s="436">
        <f t="shared" si="189"/>
        <v>0</v>
      </c>
      <c r="P492" s="436">
        <f t="shared" si="199"/>
        <v>0</v>
      </c>
      <c r="R492" s="354">
        <f>+Hirdetmény!$AA$46</f>
        <v>0.13400000000000001</v>
      </c>
      <c r="S492" s="301">
        <f t="shared" si="200"/>
        <v>0</v>
      </c>
      <c r="T492" s="301">
        <f t="shared" si="190"/>
        <v>0</v>
      </c>
      <c r="U492" s="301">
        <f t="shared" si="201"/>
        <v>0</v>
      </c>
      <c r="V492" s="301">
        <f t="shared" si="202"/>
        <v>0</v>
      </c>
      <c r="W492" s="301">
        <f t="shared" si="203"/>
        <v>0</v>
      </c>
      <c r="AA492" s="12">
        <f>+paraméterek!$B$346</f>
        <v>6.4600000000000005E-2</v>
      </c>
      <c r="AB492" s="301">
        <f t="shared" si="204"/>
        <v>0</v>
      </c>
      <c r="AC492" s="301">
        <f t="shared" si="191"/>
        <v>0</v>
      </c>
      <c r="AD492" s="301">
        <f t="shared" si="205"/>
        <v>0</v>
      </c>
      <c r="AE492" s="301">
        <f t="shared" si="206"/>
        <v>0</v>
      </c>
      <c r="AF492" s="477">
        <f t="shared" si="207"/>
        <v>0</v>
      </c>
      <c r="AI492" s="543">
        <f t="shared" si="192"/>
        <v>0</v>
      </c>
      <c r="AJ492" s="543">
        <f t="shared" si="208"/>
        <v>0</v>
      </c>
      <c r="AK492" s="300">
        <f t="shared" si="209"/>
        <v>0</v>
      </c>
      <c r="AL492" s="543">
        <f t="shared" si="210"/>
        <v>0</v>
      </c>
      <c r="AM492" s="10">
        <f t="shared" si="211"/>
        <v>0</v>
      </c>
      <c r="AN492" s="4"/>
      <c r="AP492" s="437">
        <f t="shared" si="212"/>
        <v>0</v>
      </c>
    </row>
    <row r="493" spans="1:42" s="11" customFormat="1" hidden="1" x14ac:dyDescent="0.3">
      <c r="A493" s="775">
        <v>414</v>
      </c>
      <c r="B493" s="775">
        <f t="shared" si="193"/>
        <v>35</v>
      </c>
      <c r="C493" s="891">
        <f t="shared" si="214"/>
        <v>0.14489675614077413</v>
      </c>
      <c r="D493" s="891"/>
      <c r="E493" s="891">
        <f t="shared" si="214"/>
        <v>0.03</v>
      </c>
      <c r="F493" s="891">
        <f t="shared" si="186"/>
        <v>0.03</v>
      </c>
      <c r="G493" s="893">
        <f t="shared" si="195"/>
        <v>1.151056494563818E-8</v>
      </c>
      <c r="H493" s="436">
        <f t="shared" si="187"/>
        <v>0</v>
      </c>
      <c r="I493" s="302">
        <f t="shared" si="188"/>
        <v>0</v>
      </c>
      <c r="J493" s="301">
        <f t="shared" si="213"/>
        <v>2.9176084758041223E-11</v>
      </c>
      <c r="K493" s="301">
        <f t="shared" si="196"/>
        <v>2.9176084758041223E-11</v>
      </c>
      <c r="L493" s="10">
        <f t="shared" si="197"/>
        <v>2.9176084758041223E-11</v>
      </c>
      <c r="M493" s="302"/>
      <c r="N493" s="435">
        <f t="shared" si="198"/>
        <v>0</v>
      </c>
      <c r="O493" s="436">
        <f t="shared" si="189"/>
        <v>0</v>
      </c>
      <c r="P493" s="436">
        <f t="shared" si="199"/>
        <v>0</v>
      </c>
      <c r="R493" s="354">
        <f>+Hirdetmény!$AA$46</f>
        <v>0.13400000000000001</v>
      </c>
      <c r="S493" s="301">
        <f t="shared" si="200"/>
        <v>0</v>
      </c>
      <c r="T493" s="301">
        <f t="shared" si="190"/>
        <v>0</v>
      </c>
      <c r="U493" s="301">
        <f t="shared" si="201"/>
        <v>0</v>
      </c>
      <c r="V493" s="301">
        <f t="shared" si="202"/>
        <v>0</v>
      </c>
      <c r="W493" s="301">
        <f t="shared" si="203"/>
        <v>0</v>
      </c>
      <c r="AA493" s="12">
        <f>+paraméterek!$B$346</f>
        <v>6.4600000000000005E-2</v>
      </c>
      <c r="AB493" s="301">
        <f t="shared" si="204"/>
        <v>0</v>
      </c>
      <c r="AC493" s="301">
        <f t="shared" si="191"/>
        <v>0</v>
      </c>
      <c r="AD493" s="301">
        <f t="shared" si="205"/>
        <v>0</v>
      </c>
      <c r="AE493" s="301">
        <f t="shared" si="206"/>
        <v>0</v>
      </c>
      <c r="AF493" s="477">
        <f t="shared" si="207"/>
        <v>0</v>
      </c>
      <c r="AI493" s="543">
        <f t="shared" si="192"/>
        <v>0</v>
      </c>
      <c r="AJ493" s="543">
        <f t="shared" si="208"/>
        <v>0</v>
      </c>
      <c r="AK493" s="300">
        <f t="shared" si="209"/>
        <v>0</v>
      </c>
      <c r="AL493" s="543">
        <f t="shared" si="210"/>
        <v>0</v>
      </c>
      <c r="AM493" s="10">
        <f t="shared" si="211"/>
        <v>0</v>
      </c>
      <c r="AN493" s="4"/>
      <c r="AP493" s="437">
        <f t="shared" si="212"/>
        <v>0</v>
      </c>
    </row>
    <row r="494" spans="1:42" s="11" customFormat="1" hidden="1" x14ac:dyDescent="0.3">
      <c r="A494" s="775">
        <v>415</v>
      </c>
      <c r="B494" s="775">
        <f t="shared" si="193"/>
        <v>35</v>
      </c>
      <c r="C494" s="891">
        <f t="shared" si="214"/>
        <v>0.14489675614077413</v>
      </c>
      <c r="D494" s="891"/>
      <c r="E494" s="891">
        <f t="shared" si="214"/>
        <v>0.03</v>
      </c>
      <c r="F494" s="891">
        <f t="shared" si="186"/>
        <v>0.03</v>
      </c>
      <c r="G494" s="893">
        <f t="shared" si="195"/>
        <v>1.151056494563818E-8</v>
      </c>
      <c r="H494" s="436">
        <f t="shared" si="187"/>
        <v>0</v>
      </c>
      <c r="I494" s="302">
        <f t="shared" si="188"/>
        <v>0</v>
      </c>
      <c r="J494" s="301">
        <f t="shared" si="213"/>
        <v>2.9176084758041223E-11</v>
      </c>
      <c r="K494" s="301">
        <f t="shared" si="196"/>
        <v>2.9176084758041223E-11</v>
      </c>
      <c r="L494" s="10">
        <f t="shared" si="197"/>
        <v>2.9176084758041223E-11</v>
      </c>
      <c r="M494" s="302"/>
      <c r="N494" s="435">
        <f t="shared" si="198"/>
        <v>0</v>
      </c>
      <c r="O494" s="436">
        <f t="shared" si="189"/>
        <v>0</v>
      </c>
      <c r="P494" s="436">
        <f t="shared" si="199"/>
        <v>0</v>
      </c>
      <c r="R494" s="354">
        <f>+Hirdetmény!$AA$46</f>
        <v>0.13400000000000001</v>
      </c>
      <c r="S494" s="301">
        <f t="shared" si="200"/>
        <v>0</v>
      </c>
      <c r="T494" s="301">
        <f t="shared" si="190"/>
        <v>0</v>
      </c>
      <c r="U494" s="301">
        <f t="shared" si="201"/>
        <v>0</v>
      </c>
      <c r="V494" s="301">
        <f t="shared" si="202"/>
        <v>0</v>
      </c>
      <c r="W494" s="301">
        <f t="shared" si="203"/>
        <v>0</v>
      </c>
      <c r="AA494" s="12">
        <f>+paraméterek!$B$346</f>
        <v>6.4600000000000005E-2</v>
      </c>
      <c r="AB494" s="301">
        <f t="shared" si="204"/>
        <v>0</v>
      </c>
      <c r="AC494" s="301">
        <f t="shared" si="191"/>
        <v>0</v>
      </c>
      <c r="AD494" s="301">
        <f t="shared" si="205"/>
        <v>0</v>
      </c>
      <c r="AE494" s="301">
        <f t="shared" si="206"/>
        <v>0</v>
      </c>
      <c r="AF494" s="477">
        <f t="shared" si="207"/>
        <v>0</v>
      </c>
      <c r="AI494" s="543">
        <f t="shared" si="192"/>
        <v>0</v>
      </c>
      <c r="AJ494" s="543">
        <f t="shared" si="208"/>
        <v>0</v>
      </c>
      <c r="AK494" s="300">
        <f t="shared" si="209"/>
        <v>0</v>
      </c>
      <c r="AL494" s="543">
        <f t="shared" si="210"/>
        <v>0</v>
      </c>
      <c r="AM494" s="10">
        <f t="shared" si="211"/>
        <v>0</v>
      </c>
      <c r="AN494" s="4"/>
      <c r="AP494" s="437">
        <f t="shared" si="212"/>
        <v>0</v>
      </c>
    </row>
    <row r="495" spans="1:42" s="11" customFormat="1" hidden="1" x14ac:dyDescent="0.3">
      <c r="A495" s="775">
        <v>416</v>
      </c>
      <c r="B495" s="775">
        <f t="shared" si="193"/>
        <v>35</v>
      </c>
      <c r="C495" s="891">
        <f t="shared" si="214"/>
        <v>0.14489675614077413</v>
      </c>
      <c r="D495" s="891"/>
      <c r="E495" s="891">
        <f t="shared" si="214"/>
        <v>0.03</v>
      </c>
      <c r="F495" s="891">
        <f t="shared" si="186"/>
        <v>0.03</v>
      </c>
      <c r="G495" s="893">
        <f t="shared" si="195"/>
        <v>1.151056494563818E-8</v>
      </c>
      <c r="H495" s="436">
        <f t="shared" si="187"/>
        <v>0</v>
      </c>
      <c r="I495" s="302">
        <f t="shared" si="188"/>
        <v>0</v>
      </c>
      <c r="J495" s="301">
        <f t="shared" si="213"/>
        <v>2.9176084758041223E-11</v>
      </c>
      <c r="K495" s="301">
        <f t="shared" si="196"/>
        <v>2.9176084758041223E-11</v>
      </c>
      <c r="L495" s="10">
        <f t="shared" si="197"/>
        <v>2.9176084758041223E-11</v>
      </c>
      <c r="M495" s="302"/>
      <c r="N495" s="435">
        <f t="shared" si="198"/>
        <v>0</v>
      </c>
      <c r="O495" s="436">
        <f t="shared" si="189"/>
        <v>0</v>
      </c>
      <c r="P495" s="436">
        <f t="shared" si="199"/>
        <v>0</v>
      </c>
      <c r="R495" s="354">
        <f>+Hirdetmény!$AA$46</f>
        <v>0.13400000000000001</v>
      </c>
      <c r="S495" s="301">
        <f t="shared" si="200"/>
        <v>0</v>
      </c>
      <c r="T495" s="301">
        <f t="shared" si="190"/>
        <v>0</v>
      </c>
      <c r="U495" s="301">
        <f t="shared" si="201"/>
        <v>0</v>
      </c>
      <c r="V495" s="301">
        <f t="shared" si="202"/>
        <v>0</v>
      </c>
      <c r="W495" s="301">
        <f t="shared" si="203"/>
        <v>0</v>
      </c>
      <c r="AA495" s="12">
        <f>+paraméterek!$B$346</f>
        <v>6.4600000000000005E-2</v>
      </c>
      <c r="AB495" s="301">
        <f t="shared" si="204"/>
        <v>0</v>
      </c>
      <c r="AC495" s="301">
        <f t="shared" si="191"/>
        <v>0</v>
      </c>
      <c r="AD495" s="301">
        <f t="shared" si="205"/>
        <v>0</v>
      </c>
      <c r="AE495" s="301">
        <f t="shared" si="206"/>
        <v>0</v>
      </c>
      <c r="AF495" s="477">
        <f t="shared" si="207"/>
        <v>0</v>
      </c>
      <c r="AI495" s="543">
        <f t="shared" si="192"/>
        <v>0</v>
      </c>
      <c r="AJ495" s="543">
        <f t="shared" si="208"/>
        <v>0</v>
      </c>
      <c r="AK495" s="300">
        <f t="shared" si="209"/>
        <v>0</v>
      </c>
      <c r="AL495" s="543">
        <f t="shared" si="210"/>
        <v>0</v>
      </c>
      <c r="AM495" s="10">
        <f t="shared" si="211"/>
        <v>0</v>
      </c>
      <c r="AN495" s="4"/>
      <c r="AP495" s="437">
        <f t="shared" si="212"/>
        <v>0</v>
      </c>
    </row>
    <row r="496" spans="1:42" s="11" customFormat="1" hidden="1" x14ac:dyDescent="0.3">
      <c r="A496" s="775">
        <v>417</v>
      </c>
      <c r="B496" s="775">
        <f t="shared" si="193"/>
        <v>35</v>
      </c>
      <c r="C496" s="891">
        <f t="shared" si="214"/>
        <v>0.14489675614077413</v>
      </c>
      <c r="D496" s="891"/>
      <c r="E496" s="891">
        <f t="shared" si="214"/>
        <v>0.03</v>
      </c>
      <c r="F496" s="891">
        <f t="shared" si="186"/>
        <v>0.03</v>
      </c>
      <c r="G496" s="893">
        <f t="shared" si="195"/>
        <v>1.151056494563818E-8</v>
      </c>
      <c r="H496" s="436">
        <f t="shared" si="187"/>
        <v>0</v>
      </c>
      <c r="I496" s="302">
        <f t="shared" si="188"/>
        <v>0</v>
      </c>
      <c r="J496" s="301">
        <f t="shared" si="213"/>
        <v>2.9176084758041223E-11</v>
      </c>
      <c r="K496" s="301">
        <f t="shared" si="196"/>
        <v>2.9176084758041223E-11</v>
      </c>
      <c r="L496" s="10">
        <f t="shared" si="197"/>
        <v>2.9176084758041223E-11</v>
      </c>
      <c r="M496" s="302"/>
      <c r="N496" s="435">
        <f t="shared" si="198"/>
        <v>0</v>
      </c>
      <c r="O496" s="436">
        <f t="shared" si="189"/>
        <v>0</v>
      </c>
      <c r="P496" s="436">
        <f t="shared" si="199"/>
        <v>0</v>
      </c>
      <c r="R496" s="354">
        <f>+Hirdetmény!$AA$46</f>
        <v>0.13400000000000001</v>
      </c>
      <c r="S496" s="301">
        <f t="shared" si="200"/>
        <v>0</v>
      </c>
      <c r="T496" s="301">
        <f t="shared" si="190"/>
        <v>0</v>
      </c>
      <c r="U496" s="301">
        <f t="shared" si="201"/>
        <v>0</v>
      </c>
      <c r="V496" s="301">
        <f t="shared" si="202"/>
        <v>0</v>
      </c>
      <c r="W496" s="301">
        <f t="shared" si="203"/>
        <v>0</v>
      </c>
      <c r="AA496" s="12">
        <f>+paraméterek!$B$346</f>
        <v>6.4600000000000005E-2</v>
      </c>
      <c r="AB496" s="301">
        <f t="shared" si="204"/>
        <v>0</v>
      </c>
      <c r="AC496" s="301">
        <f t="shared" si="191"/>
        <v>0</v>
      </c>
      <c r="AD496" s="301">
        <f t="shared" si="205"/>
        <v>0</v>
      </c>
      <c r="AE496" s="301">
        <f t="shared" si="206"/>
        <v>0</v>
      </c>
      <c r="AF496" s="477">
        <f t="shared" si="207"/>
        <v>0</v>
      </c>
      <c r="AI496" s="543">
        <f t="shared" si="192"/>
        <v>0</v>
      </c>
      <c r="AJ496" s="543">
        <f t="shared" si="208"/>
        <v>0</v>
      </c>
      <c r="AK496" s="300">
        <f t="shared" si="209"/>
        <v>0</v>
      </c>
      <c r="AL496" s="543">
        <f t="shared" si="210"/>
        <v>0</v>
      </c>
      <c r="AM496" s="10">
        <f t="shared" si="211"/>
        <v>0</v>
      </c>
      <c r="AN496" s="4"/>
      <c r="AP496" s="437">
        <f t="shared" si="212"/>
        <v>0</v>
      </c>
    </row>
    <row r="497" spans="1:42" s="11" customFormat="1" hidden="1" x14ac:dyDescent="0.3">
      <c r="A497" s="775">
        <v>418</v>
      </c>
      <c r="B497" s="775">
        <f t="shared" si="193"/>
        <v>35</v>
      </c>
      <c r="C497" s="891">
        <f t="shared" ref="C497:E512" si="215">+C496</f>
        <v>0.14489675614077413</v>
      </c>
      <c r="D497" s="891"/>
      <c r="E497" s="891">
        <f t="shared" si="215"/>
        <v>0.03</v>
      </c>
      <c r="F497" s="891">
        <f t="shared" si="186"/>
        <v>0.03</v>
      </c>
      <c r="G497" s="893">
        <f t="shared" si="195"/>
        <v>1.151056494563818E-8</v>
      </c>
      <c r="H497" s="436">
        <f t="shared" si="187"/>
        <v>0</v>
      </c>
      <c r="I497" s="302">
        <f t="shared" si="188"/>
        <v>0</v>
      </c>
      <c r="J497" s="301">
        <f t="shared" si="213"/>
        <v>2.9176084758041223E-11</v>
      </c>
      <c r="K497" s="301">
        <f t="shared" si="196"/>
        <v>2.9176084758041223E-11</v>
      </c>
      <c r="L497" s="10">
        <f t="shared" si="197"/>
        <v>2.9176084758041223E-11</v>
      </c>
      <c r="M497" s="302"/>
      <c r="N497" s="435">
        <f t="shared" si="198"/>
        <v>0</v>
      </c>
      <c r="O497" s="436">
        <f t="shared" si="189"/>
        <v>0</v>
      </c>
      <c r="P497" s="436">
        <f t="shared" si="199"/>
        <v>0</v>
      </c>
      <c r="R497" s="354">
        <f>+Hirdetmény!$AA$46</f>
        <v>0.13400000000000001</v>
      </c>
      <c r="S497" s="301">
        <f t="shared" si="200"/>
        <v>0</v>
      </c>
      <c r="T497" s="301">
        <f t="shared" si="190"/>
        <v>0</v>
      </c>
      <c r="U497" s="301">
        <f t="shared" si="201"/>
        <v>0</v>
      </c>
      <c r="V497" s="301">
        <f t="shared" si="202"/>
        <v>0</v>
      </c>
      <c r="W497" s="301">
        <f t="shared" si="203"/>
        <v>0</v>
      </c>
      <c r="AA497" s="12">
        <f>+paraméterek!$B$346</f>
        <v>6.4600000000000005E-2</v>
      </c>
      <c r="AB497" s="301">
        <f t="shared" si="204"/>
        <v>0</v>
      </c>
      <c r="AC497" s="301">
        <f t="shared" si="191"/>
        <v>0</v>
      </c>
      <c r="AD497" s="301">
        <f t="shared" si="205"/>
        <v>0</v>
      </c>
      <c r="AE497" s="301">
        <f t="shared" si="206"/>
        <v>0</v>
      </c>
      <c r="AF497" s="477">
        <f t="shared" si="207"/>
        <v>0</v>
      </c>
      <c r="AI497" s="543">
        <f t="shared" si="192"/>
        <v>0</v>
      </c>
      <c r="AJ497" s="543">
        <f t="shared" si="208"/>
        <v>0</v>
      </c>
      <c r="AK497" s="300">
        <f t="shared" si="209"/>
        <v>0</v>
      </c>
      <c r="AL497" s="543">
        <f t="shared" si="210"/>
        <v>0</v>
      </c>
      <c r="AM497" s="10">
        <f t="shared" si="211"/>
        <v>0</v>
      </c>
      <c r="AN497" s="4"/>
      <c r="AP497" s="437">
        <f t="shared" si="212"/>
        <v>0</v>
      </c>
    </row>
    <row r="498" spans="1:42" s="11" customFormat="1" hidden="1" x14ac:dyDescent="0.3">
      <c r="A498" s="775">
        <v>419</v>
      </c>
      <c r="B498" s="775">
        <f t="shared" si="193"/>
        <v>35</v>
      </c>
      <c r="C498" s="891">
        <f t="shared" si="215"/>
        <v>0.14489675614077413</v>
      </c>
      <c r="D498" s="891"/>
      <c r="E498" s="891">
        <f t="shared" si="215"/>
        <v>0.03</v>
      </c>
      <c r="F498" s="891">
        <f t="shared" si="186"/>
        <v>0.03</v>
      </c>
      <c r="G498" s="893">
        <f t="shared" si="195"/>
        <v>1.151056494563818E-8</v>
      </c>
      <c r="H498" s="436">
        <f t="shared" si="187"/>
        <v>0</v>
      </c>
      <c r="I498" s="302">
        <f t="shared" si="188"/>
        <v>0</v>
      </c>
      <c r="J498" s="301">
        <f t="shared" si="213"/>
        <v>2.9176084758041223E-11</v>
      </c>
      <c r="K498" s="301">
        <f t="shared" si="196"/>
        <v>2.9176084758041223E-11</v>
      </c>
      <c r="L498" s="10">
        <f t="shared" si="197"/>
        <v>2.9176084758041223E-11</v>
      </c>
      <c r="M498" s="302"/>
      <c r="N498" s="435">
        <f t="shared" si="198"/>
        <v>0</v>
      </c>
      <c r="O498" s="436">
        <f t="shared" si="189"/>
        <v>0</v>
      </c>
      <c r="P498" s="436">
        <f t="shared" si="199"/>
        <v>0</v>
      </c>
      <c r="R498" s="354">
        <f>+Hirdetmény!$AA$46</f>
        <v>0.13400000000000001</v>
      </c>
      <c r="S498" s="301">
        <f t="shared" si="200"/>
        <v>0</v>
      </c>
      <c r="T498" s="301">
        <f t="shared" si="190"/>
        <v>0</v>
      </c>
      <c r="U498" s="301">
        <f t="shared" si="201"/>
        <v>0</v>
      </c>
      <c r="V498" s="301">
        <f t="shared" si="202"/>
        <v>0</v>
      </c>
      <c r="W498" s="301">
        <f t="shared" si="203"/>
        <v>0</v>
      </c>
      <c r="AA498" s="12">
        <f>+paraméterek!$B$346</f>
        <v>6.4600000000000005E-2</v>
      </c>
      <c r="AB498" s="301">
        <f t="shared" si="204"/>
        <v>0</v>
      </c>
      <c r="AC498" s="301">
        <f t="shared" si="191"/>
        <v>0</v>
      </c>
      <c r="AD498" s="301">
        <f t="shared" si="205"/>
        <v>0</v>
      </c>
      <c r="AE498" s="301">
        <f t="shared" si="206"/>
        <v>0</v>
      </c>
      <c r="AF498" s="477">
        <f t="shared" si="207"/>
        <v>0</v>
      </c>
      <c r="AI498" s="543">
        <f t="shared" si="192"/>
        <v>0</v>
      </c>
      <c r="AJ498" s="543">
        <f t="shared" si="208"/>
        <v>0</v>
      </c>
      <c r="AK498" s="300">
        <f t="shared" si="209"/>
        <v>0</v>
      </c>
      <c r="AL498" s="543">
        <f t="shared" si="210"/>
        <v>0</v>
      </c>
      <c r="AM498" s="10">
        <f t="shared" si="211"/>
        <v>0</v>
      </c>
      <c r="AN498" s="4"/>
      <c r="AP498" s="437">
        <f t="shared" si="212"/>
        <v>0</v>
      </c>
    </row>
    <row r="499" spans="1:42" s="11" customFormat="1" hidden="1" x14ac:dyDescent="0.3">
      <c r="A499" s="775">
        <v>420</v>
      </c>
      <c r="B499" s="775">
        <f t="shared" si="193"/>
        <v>35</v>
      </c>
      <c r="C499" s="891">
        <f t="shared" si="215"/>
        <v>0.14489675614077413</v>
      </c>
      <c r="D499" s="891"/>
      <c r="E499" s="891">
        <f t="shared" si="215"/>
        <v>0.03</v>
      </c>
      <c r="F499" s="891">
        <f t="shared" si="186"/>
        <v>0.03</v>
      </c>
      <c r="G499" s="893">
        <f t="shared" si="195"/>
        <v>1.151056494563818E-8</v>
      </c>
      <c r="H499" s="436">
        <f t="shared" si="187"/>
        <v>0</v>
      </c>
      <c r="I499" s="302">
        <f t="shared" si="188"/>
        <v>0</v>
      </c>
      <c r="J499" s="301">
        <f t="shared" si="213"/>
        <v>2.9176084758041223E-11</v>
      </c>
      <c r="K499" s="301">
        <f t="shared" si="196"/>
        <v>2.9176084758041223E-11</v>
      </c>
      <c r="L499" s="10">
        <f t="shared" si="197"/>
        <v>2.9176084758041223E-11</v>
      </c>
      <c r="M499" s="302"/>
      <c r="N499" s="435">
        <f t="shared" si="198"/>
        <v>0</v>
      </c>
      <c r="O499" s="436">
        <f t="shared" si="189"/>
        <v>0</v>
      </c>
      <c r="P499" s="436">
        <f t="shared" si="199"/>
        <v>0</v>
      </c>
      <c r="R499" s="354">
        <f>+Hirdetmény!$AA$46</f>
        <v>0.13400000000000001</v>
      </c>
      <c r="S499" s="301">
        <f t="shared" si="200"/>
        <v>0</v>
      </c>
      <c r="T499" s="301">
        <f t="shared" si="190"/>
        <v>0</v>
      </c>
      <c r="U499" s="301">
        <f t="shared" si="201"/>
        <v>0</v>
      </c>
      <c r="V499" s="301">
        <f t="shared" si="202"/>
        <v>0</v>
      </c>
      <c r="W499" s="301">
        <f t="shared" si="203"/>
        <v>0</v>
      </c>
      <c r="AA499" s="12">
        <f>+paraméterek!$B$346</f>
        <v>6.4600000000000005E-2</v>
      </c>
      <c r="AB499" s="301">
        <f t="shared" si="204"/>
        <v>0</v>
      </c>
      <c r="AC499" s="301">
        <f t="shared" si="191"/>
        <v>0</v>
      </c>
      <c r="AD499" s="301">
        <f t="shared" si="205"/>
        <v>0</v>
      </c>
      <c r="AE499" s="301">
        <f t="shared" si="206"/>
        <v>0</v>
      </c>
      <c r="AF499" s="477">
        <f t="shared" si="207"/>
        <v>0</v>
      </c>
      <c r="AI499" s="543">
        <f t="shared" si="192"/>
        <v>0</v>
      </c>
      <c r="AJ499" s="543">
        <f t="shared" si="208"/>
        <v>0</v>
      </c>
      <c r="AK499" s="300">
        <f t="shared" si="209"/>
        <v>0</v>
      </c>
      <c r="AL499" s="543">
        <f t="shared" si="210"/>
        <v>0</v>
      </c>
      <c r="AM499" s="10">
        <f t="shared" si="211"/>
        <v>0</v>
      </c>
      <c r="AN499" s="4"/>
      <c r="AP499" s="437">
        <f t="shared" si="212"/>
        <v>0</v>
      </c>
    </row>
    <row r="500" spans="1:42" s="11" customFormat="1" hidden="1" x14ac:dyDescent="0.3">
      <c r="A500" s="775">
        <v>421</v>
      </c>
      <c r="B500" s="775">
        <f t="shared" si="193"/>
        <v>36</v>
      </c>
      <c r="C500" s="891">
        <f t="shared" si="215"/>
        <v>0.14489675614077413</v>
      </c>
      <c r="D500" s="891"/>
      <c r="E500" s="891">
        <f t="shared" si="215"/>
        <v>0.03</v>
      </c>
      <c r="F500" s="891">
        <f t="shared" si="186"/>
        <v>0.03</v>
      </c>
      <c r="G500" s="893">
        <f t="shared" si="195"/>
        <v>1.151056494563818E-8</v>
      </c>
      <c r="H500" s="436">
        <f t="shared" si="187"/>
        <v>0</v>
      </c>
      <c r="I500" s="302">
        <f t="shared" si="188"/>
        <v>0</v>
      </c>
      <c r="J500" s="301">
        <f t="shared" si="213"/>
        <v>2.9176084758041223E-11</v>
      </c>
      <c r="K500" s="301">
        <f t="shared" si="196"/>
        <v>2.9176084758041223E-11</v>
      </c>
      <c r="L500" s="10">
        <f t="shared" si="197"/>
        <v>2.9176084758041223E-11</v>
      </c>
      <c r="M500" s="302"/>
      <c r="N500" s="435">
        <f t="shared" si="198"/>
        <v>0</v>
      </c>
      <c r="O500" s="436">
        <f t="shared" si="189"/>
        <v>0</v>
      </c>
      <c r="P500" s="436">
        <f t="shared" si="199"/>
        <v>0</v>
      </c>
      <c r="R500" s="354">
        <f>+Hirdetmény!$AA$46</f>
        <v>0.13400000000000001</v>
      </c>
      <c r="S500" s="301">
        <f t="shared" si="200"/>
        <v>0</v>
      </c>
      <c r="T500" s="301">
        <f t="shared" si="190"/>
        <v>0</v>
      </c>
      <c r="U500" s="301">
        <f t="shared" si="201"/>
        <v>0</v>
      </c>
      <c r="V500" s="301">
        <f t="shared" si="202"/>
        <v>0</v>
      </c>
      <c r="W500" s="301">
        <f t="shared" si="203"/>
        <v>0</v>
      </c>
      <c r="AA500" s="12">
        <f>+paraméterek!$B$346</f>
        <v>6.4600000000000005E-2</v>
      </c>
      <c r="AB500" s="301">
        <f t="shared" si="204"/>
        <v>0</v>
      </c>
      <c r="AC500" s="301">
        <f t="shared" si="191"/>
        <v>0</v>
      </c>
      <c r="AD500" s="301">
        <f t="shared" si="205"/>
        <v>0</v>
      </c>
      <c r="AE500" s="301">
        <f t="shared" si="206"/>
        <v>0</v>
      </c>
      <c r="AF500" s="477">
        <f t="shared" si="207"/>
        <v>0</v>
      </c>
    </row>
    <row r="501" spans="1:42" s="11" customFormat="1" hidden="1" x14ac:dyDescent="0.3">
      <c r="A501" s="775">
        <v>422</v>
      </c>
      <c r="B501" s="775">
        <f t="shared" si="193"/>
        <v>36</v>
      </c>
      <c r="C501" s="891">
        <f t="shared" si="215"/>
        <v>0.14489675614077413</v>
      </c>
      <c r="D501" s="891"/>
      <c r="E501" s="891">
        <f t="shared" si="215"/>
        <v>0.03</v>
      </c>
      <c r="F501" s="891">
        <f t="shared" si="186"/>
        <v>0.03</v>
      </c>
      <c r="G501" s="893">
        <f t="shared" si="195"/>
        <v>1.151056494563818E-8</v>
      </c>
      <c r="H501" s="436">
        <f t="shared" si="187"/>
        <v>0</v>
      </c>
      <c r="I501" s="302">
        <f t="shared" si="188"/>
        <v>0</v>
      </c>
      <c r="J501" s="301">
        <f t="shared" si="213"/>
        <v>2.9176084758041223E-11</v>
      </c>
      <c r="K501" s="301">
        <f t="shared" si="196"/>
        <v>2.9176084758041223E-11</v>
      </c>
      <c r="L501" s="10">
        <f t="shared" si="197"/>
        <v>2.9176084758041223E-11</v>
      </c>
      <c r="M501" s="302"/>
      <c r="N501" s="435">
        <f t="shared" si="198"/>
        <v>0</v>
      </c>
      <c r="O501" s="436">
        <f t="shared" si="189"/>
        <v>0</v>
      </c>
      <c r="P501" s="436">
        <f t="shared" si="199"/>
        <v>0</v>
      </c>
      <c r="R501" s="354">
        <f>+Hirdetmény!$AA$46</f>
        <v>0.13400000000000001</v>
      </c>
      <c r="S501" s="301">
        <f t="shared" si="200"/>
        <v>0</v>
      </c>
      <c r="T501" s="301">
        <f t="shared" si="190"/>
        <v>0</v>
      </c>
      <c r="U501" s="301">
        <f t="shared" si="201"/>
        <v>0</v>
      </c>
      <c r="V501" s="301">
        <f t="shared" si="202"/>
        <v>0</v>
      </c>
      <c r="W501" s="301">
        <f t="shared" si="203"/>
        <v>0</v>
      </c>
      <c r="AA501" s="12">
        <f>+paraméterek!$B$346</f>
        <v>6.4600000000000005E-2</v>
      </c>
      <c r="AB501" s="301">
        <f t="shared" si="204"/>
        <v>0</v>
      </c>
      <c r="AC501" s="301">
        <f t="shared" si="191"/>
        <v>0</v>
      </c>
      <c r="AD501" s="301">
        <f t="shared" si="205"/>
        <v>0</v>
      </c>
      <c r="AE501" s="301">
        <f t="shared" si="206"/>
        <v>0</v>
      </c>
      <c r="AF501" s="477">
        <f t="shared" si="207"/>
        <v>0</v>
      </c>
    </row>
    <row r="502" spans="1:42" s="11" customFormat="1" hidden="1" x14ac:dyDescent="0.3">
      <c r="A502" s="775">
        <v>423</v>
      </c>
      <c r="B502" s="775">
        <f t="shared" si="193"/>
        <v>36</v>
      </c>
      <c r="C502" s="891">
        <f t="shared" si="215"/>
        <v>0.14489675614077413</v>
      </c>
      <c r="D502" s="891"/>
      <c r="E502" s="891">
        <f t="shared" si="215"/>
        <v>0.03</v>
      </c>
      <c r="F502" s="891">
        <f t="shared" si="186"/>
        <v>0.03</v>
      </c>
      <c r="G502" s="893">
        <f t="shared" si="195"/>
        <v>1.151056494563818E-8</v>
      </c>
      <c r="H502" s="436">
        <f t="shared" si="187"/>
        <v>0</v>
      </c>
      <c r="I502" s="302">
        <f t="shared" si="188"/>
        <v>0</v>
      </c>
      <c r="J502" s="301">
        <f t="shared" si="213"/>
        <v>2.9176084758041223E-11</v>
      </c>
      <c r="K502" s="301">
        <f t="shared" si="196"/>
        <v>2.9176084758041223E-11</v>
      </c>
      <c r="L502" s="10">
        <f t="shared" si="197"/>
        <v>2.9176084758041223E-11</v>
      </c>
      <c r="M502" s="302"/>
      <c r="N502" s="435">
        <f t="shared" si="198"/>
        <v>0</v>
      </c>
      <c r="O502" s="436">
        <f t="shared" si="189"/>
        <v>0</v>
      </c>
      <c r="P502" s="436">
        <f t="shared" si="199"/>
        <v>0</v>
      </c>
      <c r="R502" s="354">
        <f>+Hirdetmény!$AA$46</f>
        <v>0.13400000000000001</v>
      </c>
      <c r="S502" s="301">
        <f t="shared" si="200"/>
        <v>0</v>
      </c>
      <c r="T502" s="301">
        <f t="shared" si="190"/>
        <v>0</v>
      </c>
      <c r="U502" s="301">
        <f t="shared" si="201"/>
        <v>0</v>
      </c>
      <c r="V502" s="301">
        <f t="shared" si="202"/>
        <v>0</v>
      </c>
      <c r="W502" s="301">
        <f t="shared" si="203"/>
        <v>0</v>
      </c>
      <c r="AA502" s="12">
        <f>+paraméterek!$B$346</f>
        <v>6.4600000000000005E-2</v>
      </c>
      <c r="AB502" s="301">
        <f t="shared" si="204"/>
        <v>0</v>
      </c>
      <c r="AC502" s="301">
        <f t="shared" si="191"/>
        <v>0</v>
      </c>
      <c r="AD502" s="301">
        <f t="shared" si="205"/>
        <v>0</v>
      </c>
      <c r="AE502" s="301">
        <f t="shared" si="206"/>
        <v>0</v>
      </c>
      <c r="AF502" s="477">
        <f t="shared" si="207"/>
        <v>0</v>
      </c>
    </row>
    <row r="503" spans="1:42" s="11" customFormat="1" hidden="1" x14ac:dyDescent="0.3">
      <c r="A503" s="775">
        <v>424</v>
      </c>
      <c r="B503" s="775">
        <f t="shared" si="193"/>
        <v>36</v>
      </c>
      <c r="C503" s="891">
        <f t="shared" si="215"/>
        <v>0.14489675614077413</v>
      </c>
      <c r="D503" s="891"/>
      <c r="E503" s="891">
        <f t="shared" si="215"/>
        <v>0.03</v>
      </c>
      <c r="F503" s="891">
        <f t="shared" si="186"/>
        <v>0.03</v>
      </c>
      <c r="G503" s="893">
        <f t="shared" si="195"/>
        <v>1.151056494563818E-8</v>
      </c>
      <c r="H503" s="436">
        <f t="shared" si="187"/>
        <v>0</v>
      </c>
      <c r="I503" s="302">
        <f t="shared" si="188"/>
        <v>0</v>
      </c>
      <c r="J503" s="301">
        <f t="shared" si="213"/>
        <v>2.9176084758041223E-11</v>
      </c>
      <c r="K503" s="301">
        <f t="shared" si="196"/>
        <v>2.9176084758041223E-11</v>
      </c>
      <c r="L503" s="10">
        <f t="shared" si="197"/>
        <v>2.9176084758041223E-11</v>
      </c>
      <c r="M503" s="302"/>
      <c r="N503" s="435">
        <f t="shared" si="198"/>
        <v>0</v>
      </c>
      <c r="O503" s="436">
        <f t="shared" si="189"/>
        <v>0</v>
      </c>
      <c r="P503" s="436">
        <f t="shared" si="199"/>
        <v>0</v>
      </c>
      <c r="R503" s="354">
        <f>+Hirdetmény!$AA$46</f>
        <v>0.13400000000000001</v>
      </c>
      <c r="S503" s="301">
        <f t="shared" si="200"/>
        <v>0</v>
      </c>
      <c r="T503" s="301">
        <f t="shared" si="190"/>
        <v>0</v>
      </c>
      <c r="U503" s="301">
        <f t="shared" si="201"/>
        <v>0</v>
      </c>
      <c r="V503" s="301">
        <f t="shared" si="202"/>
        <v>0</v>
      </c>
      <c r="W503" s="301">
        <f t="shared" si="203"/>
        <v>0</v>
      </c>
      <c r="AA503" s="12">
        <f>+paraméterek!$B$346</f>
        <v>6.4600000000000005E-2</v>
      </c>
      <c r="AB503" s="301">
        <f t="shared" si="204"/>
        <v>0</v>
      </c>
      <c r="AC503" s="301">
        <f t="shared" si="191"/>
        <v>0</v>
      </c>
      <c r="AD503" s="301">
        <f t="shared" si="205"/>
        <v>0</v>
      </c>
      <c r="AE503" s="301">
        <f t="shared" si="206"/>
        <v>0</v>
      </c>
      <c r="AF503" s="477">
        <f t="shared" si="207"/>
        <v>0</v>
      </c>
    </row>
    <row r="504" spans="1:42" s="11" customFormat="1" hidden="1" x14ac:dyDescent="0.3">
      <c r="A504" s="775">
        <v>425</v>
      </c>
      <c r="B504" s="775">
        <f t="shared" si="193"/>
        <v>36</v>
      </c>
      <c r="C504" s="891">
        <f t="shared" si="215"/>
        <v>0.14489675614077413</v>
      </c>
      <c r="D504" s="891"/>
      <c r="E504" s="891">
        <f t="shared" si="215"/>
        <v>0.03</v>
      </c>
      <c r="F504" s="891">
        <f t="shared" si="186"/>
        <v>0.03</v>
      </c>
      <c r="G504" s="893">
        <f t="shared" si="195"/>
        <v>1.151056494563818E-8</v>
      </c>
      <c r="H504" s="436">
        <f t="shared" si="187"/>
        <v>0</v>
      </c>
      <c r="I504" s="302">
        <f t="shared" si="188"/>
        <v>0</v>
      </c>
      <c r="J504" s="301">
        <f t="shared" si="213"/>
        <v>2.9176084758041223E-11</v>
      </c>
      <c r="K504" s="301">
        <f t="shared" si="196"/>
        <v>2.9176084758041223E-11</v>
      </c>
      <c r="L504" s="10">
        <f t="shared" si="197"/>
        <v>2.9176084758041223E-11</v>
      </c>
      <c r="M504" s="302"/>
      <c r="N504" s="435">
        <f t="shared" si="198"/>
        <v>0</v>
      </c>
      <c r="O504" s="436">
        <f t="shared" si="189"/>
        <v>0</v>
      </c>
      <c r="P504" s="436">
        <f t="shared" si="199"/>
        <v>0</v>
      </c>
      <c r="R504" s="354">
        <f>+Hirdetmény!$AA$46</f>
        <v>0.13400000000000001</v>
      </c>
      <c r="S504" s="301">
        <f t="shared" si="200"/>
        <v>0</v>
      </c>
      <c r="T504" s="301">
        <f t="shared" si="190"/>
        <v>0</v>
      </c>
      <c r="U504" s="301">
        <f t="shared" si="201"/>
        <v>0</v>
      </c>
      <c r="V504" s="301">
        <f t="shared" si="202"/>
        <v>0</v>
      </c>
      <c r="W504" s="301">
        <f t="shared" si="203"/>
        <v>0</v>
      </c>
      <c r="AA504" s="12">
        <f>+paraméterek!$B$346</f>
        <v>6.4600000000000005E-2</v>
      </c>
      <c r="AB504" s="301">
        <f t="shared" si="204"/>
        <v>0</v>
      </c>
      <c r="AC504" s="301">
        <f t="shared" si="191"/>
        <v>0</v>
      </c>
      <c r="AD504" s="301">
        <f t="shared" si="205"/>
        <v>0</v>
      </c>
      <c r="AE504" s="301">
        <f t="shared" si="206"/>
        <v>0</v>
      </c>
      <c r="AF504" s="477">
        <f t="shared" si="207"/>
        <v>0</v>
      </c>
    </row>
    <row r="505" spans="1:42" s="11" customFormat="1" hidden="1" x14ac:dyDescent="0.3">
      <c r="A505" s="775">
        <v>426</v>
      </c>
      <c r="B505" s="775">
        <f t="shared" si="193"/>
        <v>36</v>
      </c>
      <c r="C505" s="891">
        <f t="shared" si="215"/>
        <v>0.14489675614077413</v>
      </c>
      <c r="D505" s="891"/>
      <c r="E505" s="891">
        <f t="shared" si="215"/>
        <v>0.03</v>
      </c>
      <c r="F505" s="891">
        <f t="shared" si="186"/>
        <v>0.03</v>
      </c>
      <c r="G505" s="893">
        <f t="shared" si="195"/>
        <v>1.151056494563818E-8</v>
      </c>
      <c r="H505" s="436">
        <f t="shared" si="187"/>
        <v>0</v>
      </c>
      <c r="I505" s="302">
        <f t="shared" si="188"/>
        <v>0</v>
      </c>
      <c r="J505" s="301">
        <f t="shared" si="213"/>
        <v>2.9176084758041223E-11</v>
      </c>
      <c r="K505" s="301">
        <f t="shared" si="196"/>
        <v>2.9176084758041223E-11</v>
      </c>
      <c r="L505" s="10">
        <f t="shared" si="197"/>
        <v>2.9176084758041223E-11</v>
      </c>
      <c r="M505" s="302"/>
      <c r="N505" s="435">
        <f t="shared" si="198"/>
        <v>0</v>
      </c>
      <c r="O505" s="436">
        <f t="shared" si="189"/>
        <v>0</v>
      </c>
      <c r="P505" s="436">
        <f t="shared" si="199"/>
        <v>0</v>
      </c>
      <c r="R505" s="354">
        <f>+Hirdetmény!$AA$46</f>
        <v>0.13400000000000001</v>
      </c>
      <c r="S505" s="301">
        <f t="shared" si="200"/>
        <v>0</v>
      </c>
      <c r="T505" s="301">
        <f t="shared" si="190"/>
        <v>0</v>
      </c>
      <c r="U505" s="301">
        <f t="shared" si="201"/>
        <v>0</v>
      </c>
      <c r="V505" s="301">
        <f t="shared" si="202"/>
        <v>0</v>
      </c>
      <c r="W505" s="301">
        <f t="shared" si="203"/>
        <v>0</v>
      </c>
      <c r="AA505" s="12">
        <f>+paraméterek!$B$346</f>
        <v>6.4600000000000005E-2</v>
      </c>
      <c r="AB505" s="301">
        <f t="shared" si="204"/>
        <v>0</v>
      </c>
      <c r="AC505" s="301">
        <f t="shared" si="191"/>
        <v>0</v>
      </c>
      <c r="AD505" s="301">
        <f t="shared" si="205"/>
        <v>0</v>
      </c>
      <c r="AE505" s="301">
        <f t="shared" si="206"/>
        <v>0</v>
      </c>
      <c r="AF505" s="477">
        <f t="shared" si="207"/>
        <v>0</v>
      </c>
    </row>
    <row r="506" spans="1:42" s="11" customFormat="1" hidden="1" x14ac:dyDescent="0.3">
      <c r="A506" s="775">
        <v>427</v>
      </c>
      <c r="B506" s="775">
        <f t="shared" si="193"/>
        <v>36</v>
      </c>
      <c r="C506" s="891">
        <f t="shared" si="215"/>
        <v>0.14489675614077413</v>
      </c>
      <c r="D506" s="891"/>
      <c r="E506" s="891">
        <f t="shared" si="215"/>
        <v>0.03</v>
      </c>
      <c r="F506" s="891">
        <f t="shared" si="186"/>
        <v>0.03</v>
      </c>
      <c r="G506" s="893">
        <f t="shared" si="195"/>
        <v>1.151056494563818E-8</v>
      </c>
      <c r="H506" s="436">
        <f t="shared" si="187"/>
        <v>0</v>
      </c>
      <c r="I506" s="302">
        <f t="shared" si="188"/>
        <v>0</v>
      </c>
      <c r="J506" s="301">
        <f t="shared" si="213"/>
        <v>2.9176084758041223E-11</v>
      </c>
      <c r="K506" s="301">
        <f t="shared" si="196"/>
        <v>2.9176084758041223E-11</v>
      </c>
      <c r="L506" s="10">
        <f t="shared" si="197"/>
        <v>2.9176084758041223E-11</v>
      </c>
      <c r="M506" s="302"/>
      <c r="N506" s="435">
        <f t="shared" si="198"/>
        <v>0</v>
      </c>
      <c r="O506" s="436">
        <f t="shared" si="189"/>
        <v>0</v>
      </c>
      <c r="P506" s="436">
        <f t="shared" si="199"/>
        <v>0</v>
      </c>
      <c r="R506" s="354">
        <f>+Hirdetmény!$AA$46</f>
        <v>0.13400000000000001</v>
      </c>
      <c r="S506" s="301">
        <f t="shared" si="200"/>
        <v>0</v>
      </c>
      <c r="T506" s="301">
        <f t="shared" si="190"/>
        <v>0</v>
      </c>
      <c r="U506" s="301">
        <f t="shared" si="201"/>
        <v>0</v>
      </c>
      <c r="V506" s="301">
        <f t="shared" si="202"/>
        <v>0</v>
      </c>
      <c r="W506" s="301">
        <f t="shared" si="203"/>
        <v>0</v>
      </c>
      <c r="AA506" s="12">
        <f>+paraméterek!$B$346</f>
        <v>6.4600000000000005E-2</v>
      </c>
      <c r="AB506" s="301">
        <f t="shared" si="204"/>
        <v>0</v>
      </c>
      <c r="AC506" s="301">
        <f t="shared" si="191"/>
        <v>0</v>
      </c>
      <c r="AD506" s="301">
        <f t="shared" si="205"/>
        <v>0</v>
      </c>
      <c r="AE506" s="301">
        <f t="shared" si="206"/>
        <v>0</v>
      </c>
      <c r="AF506" s="477">
        <f t="shared" si="207"/>
        <v>0</v>
      </c>
    </row>
    <row r="507" spans="1:42" s="11" customFormat="1" hidden="1" x14ac:dyDescent="0.3">
      <c r="A507" s="775">
        <v>428</v>
      </c>
      <c r="B507" s="775">
        <f t="shared" si="193"/>
        <v>36</v>
      </c>
      <c r="C507" s="891">
        <f t="shared" si="215"/>
        <v>0.14489675614077413</v>
      </c>
      <c r="D507" s="891"/>
      <c r="E507" s="891">
        <f t="shared" si="215"/>
        <v>0.03</v>
      </c>
      <c r="F507" s="891">
        <f t="shared" si="186"/>
        <v>0.03</v>
      </c>
      <c r="G507" s="893">
        <f t="shared" si="195"/>
        <v>1.151056494563818E-8</v>
      </c>
      <c r="H507" s="436">
        <f t="shared" si="187"/>
        <v>0</v>
      </c>
      <c r="I507" s="302">
        <f t="shared" si="188"/>
        <v>0</v>
      </c>
      <c r="J507" s="301">
        <f t="shared" si="213"/>
        <v>2.9176084758041223E-11</v>
      </c>
      <c r="K507" s="301">
        <f t="shared" si="196"/>
        <v>2.9176084758041223E-11</v>
      </c>
      <c r="L507" s="10">
        <f t="shared" si="197"/>
        <v>2.9176084758041223E-11</v>
      </c>
      <c r="M507" s="302"/>
      <c r="N507" s="435">
        <f t="shared" si="198"/>
        <v>0</v>
      </c>
      <c r="O507" s="436">
        <f t="shared" si="189"/>
        <v>0</v>
      </c>
      <c r="P507" s="436">
        <f t="shared" si="199"/>
        <v>0</v>
      </c>
      <c r="R507" s="354">
        <f>+Hirdetmény!$AA$46</f>
        <v>0.13400000000000001</v>
      </c>
      <c r="S507" s="301">
        <f t="shared" si="200"/>
        <v>0</v>
      </c>
      <c r="T507" s="301">
        <f t="shared" si="190"/>
        <v>0</v>
      </c>
      <c r="U507" s="301">
        <f t="shared" si="201"/>
        <v>0</v>
      </c>
      <c r="V507" s="301">
        <f t="shared" si="202"/>
        <v>0</v>
      </c>
      <c r="W507" s="301">
        <f t="shared" si="203"/>
        <v>0</v>
      </c>
      <c r="AA507" s="12">
        <f>+paraméterek!$B$346</f>
        <v>6.4600000000000005E-2</v>
      </c>
      <c r="AB507" s="301">
        <f t="shared" si="204"/>
        <v>0</v>
      </c>
      <c r="AC507" s="301">
        <f t="shared" si="191"/>
        <v>0</v>
      </c>
      <c r="AD507" s="301">
        <f t="shared" si="205"/>
        <v>0</v>
      </c>
      <c r="AE507" s="301">
        <f t="shared" si="206"/>
        <v>0</v>
      </c>
      <c r="AF507" s="477">
        <f t="shared" si="207"/>
        <v>0</v>
      </c>
    </row>
    <row r="508" spans="1:42" s="11" customFormat="1" hidden="1" x14ac:dyDescent="0.3">
      <c r="A508" s="775">
        <v>429</v>
      </c>
      <c r="B508" s="775">
        <f t="shared" si="193"/>
        <v>36</v>
      </c>
      <c r="C508" s="891">
        <f t="shared" si="215"/>
        <v>0.14489675614077413</v>
      </c>
      <c r="D508" s="891"/>
      <c r="E508" s="891">
        <f t="shared" si="215"/>
        <v>0.03</v>
      </c>
      <c r="F508" s="891">
        <f t="shared" si="186"/>
        <v>0.03</v>
      </c>
      <c r="G508" s="893">
        <f t="shared" si="195"/>
        <v>1.151056494563818E-8</v>
      </c>
      <c r="H508" s="436">
        <f t="shared" si="187"/>
        <v>0</v>
      </c>
      <c r="I508" s="302">
        <f t="shared" si="188"/>
        <v>0</v>
      </c>
      <c r="J508" s="301">
        <f t="shared" si="213"/>
        <v>2.9176084758041223E-11</v>
      </c>
      <c r="K508" s="301">
        <f t="shared" si="196"/>
        <v>2.9176084758041223E-11</v>
      </c>
      <c r="L508" s="10">
        <f t="shared" si="197"/>
        <v>2.9176084758041223E-11</v>
      </c>
      <c r="M508" s="302"/>
      <c r="N508" s="435">
        <f t="shared" si="198"/>
        <v>0</v>
      </c>
      <c r="O508" s="436">
        <f t="shared" si="189"/>
        <v>0</v>
      </c>
      <c r="P508" s="436">
        <f t="shared" si="199"/>
        <v>0</v>
      </c>
      <c r="R508" s="354">
        <f>+Hirdetmény!$AA$46</f>
        <v>0.13400000000000001</v>
      </c>
      <c r="S508" s="301">
        <f t="shared" si="200"/>
        <v>0</v>
      </c>
      <c r="T508" s="301">
        <f t="shared" si="190"/>
        <v>0</v>
      </c>
      <c r="U508" s="301">
        <f t="shared" si="201"/>
        <v>0</v>
      </c>
      <c r="V508" s="301">
        <f t="shared" si="202"/>
        <v>0</v>
      </c>
      <c r="W508" s="301">
        <f t="shared" si="203"/>
        <v>0</v>
      </c>
      <c r="AA508" s="12">
        <f>+paraméterek!$B$346</f>
        <v>6.4600000000000005E-2</v>
      </c>
      <c r="AB508" s="301">
        <f t="shared" si="204"/>
        <v>0</v>
      </c>
      <c r="AC508" s="301">
        <f t="shared" si="191"/>
        <v>0</v>
      </c>
      <c r="AD508" s="301">
        <f t="shared" si="205"/>
        <v>0</v>
      </c>
      <c r="AE508" s="301">
        <f t="shared" si="206"/>
        <v>0</v>
      </c>
      <c r="AF508" s="477">
        <f t="shared" si="207"/>
        <v>0</v>
      </c>
    </row>
    <row r="509" spans="1:42" s="11" customFormat="1" hidden="1" x14ac:dyDescent="0.3">
      <c r="A509" s="775">
        <v>430</v>
      </c>
      <c r="B509" s="775">
        <f t="shared" si="193"/>
        <v>36</v>
      </c>
      <c r="C509" s="891">
        <f t="shared" si="215"/>
        <v>0.14489675614077413</v>
      </c>
      <c r="D509" s="891"/>
      <c r="E509" s="891">
        <f t="shared" si="215"/>
        <v>0.03</v>
      </c>
      <c r="F509" s="891">
        <f t="shared" si="186"/>
        <v>0.03</v>
      </c>
      <c r="G509" s="893">
        <f t="shared" si="195"/>
        <v>1.151056494563818E-8</v>
      </c>
      <c r="H509" s="436">
        <f t="shared" si="187"/>
        <v>0</v>
      </c>
      <c r="I509" s="302">
        <f t="shared" si="188"/>
        <v>0</v>
      </c>
      <c r="J509" s="301">
        <f t="shared" si="213"/>
        <v>2.9176084758041223E-11</v>
      </c>
      <c r="K509" s="301">
        <f t="shared" si="196"/>
        <v>2.9176084758041223E-11</v>
      </c>
      <c r="L509" s="10">
        <f t="shared" si="197"/>
        <v>2.9176084758041223E-11</v>
      </c>
      <c r="M509" s="302"/>
      <c r="N509" s="435">
        <f t="shared" si="198"/>
        <v>0</v>
      </c>
      <c r="O509" s="436">
        <f t="shared" si="189"/>
        <v>0</v>
      </c>
      <c r="P509" s="436">
        <f t="shared" si="199"/>
        <v>0</v>
      </c>
      <c r="R509" s="354">
        <f>+Hirdetmény!$AA$46</f>
        <v>0.13400000000000001</v>
      </c>
      <c r="S509" s="301">
        <f t="shared" si="200"/>
        <v>0</v>
      </c>
      <c r="T509" s="301">
        <f t="shared" si="190"/>
        <v>0</v>
      </c>
      <c r="U509" s="301">
        <f t="shared" si="201"/>
        <v>0</v>
      </c>
      <c r="V509" s="301">
        <f t="shared" si="202"/>
        <v>0</v>
      </c>
      <c r="W509" s="301">
        <f t="shared" si="203"/>
        <v>0</v>
      </c>
      <c r="AA509" s="12">
        <f>+paraméterek!$B$346</f>
        <v>6.4600000000000005E-2</v>
      </c>
      <c r="AB509" s="301">
        <f t="shared" si="204"/>
        <v>0</v>
      </c>
      <c r="AC509" s="301">
        <f t="shared" si="191"/>
        <v>0</v>
      </c>
      <c r="AD509" s="301">
        <f t="shared" si="205"/>
        <v>0</v>
      </c>
      <c r="AE509" s="301">
        <f t="shared" si="206"/>
        <v>0</v>
      </c>
      <c r="AF509" s="477">
        <f t="shared" si="207"/>
        <v>0</v>
      </c>
    </row>
    <row r="510" spans="1:42" s="11" customFormat="1" hidden="1" x14ac:dyDescent="0.3">
      <c r="A510" s="775">
        <v>431</v>
      </c>
      <c r="B510" s="775">
        <f t="shared" si="193"/>
        <v>36</v>
      </c>
      <c r="C510" s="891">
        <f t="shared" si="215"/>
        <v>0.14489675614077413</v>
      </c>
      <c r="D510" s="891"/>
      <c r="E510" s="891">
        <f t="shared" si="215"/>
        <v>0.03</v>
      </c>
      <c r="F510" s="891">
        <f t="shared" si="186"/>
        <v>0.03</v>
      </c>
      <c r="G510" s="893">
        <f t="shared" si="195"/>
        <v>1.151056494563818E-8</v>
      </c>
      <c r="H510" s="436">
        <f t="shared" si="187"/>
        <v>0</v>
      </c>
      <c r="I510" s="302">
        <f t="shared" si="188"/>
        <v>0</v>
      </c>
      <c r="J510" s="301">
        <f t="shared" si="213"/>
        <v>2.9176084758041223E-11</v>
      </c>
      <c r="K510" s="301">
        <f t="shared" si="196"/>
        <v>2.9176084758041223E-11</v>
      </c>
      <c r="L510" s="10">
        <f t="shared" si="197"/>
        <v>2.9176084758041223E-11</v>
      </c>
      <c r="M510" s="302"/>
      <c r="N510" s="435">
        <f t="shared" si="198"/>
        <v>0</v>
      </c>
      <c r="O510" s="436">
        <f t="shared" si="189"/>
        <v>0</v>
      </c>
      <c r="P510" s="436">
        <f t="shared" si="199"/>
        <v>0</v>
      </c>
      <c r="R510" s="354">
        <f>+Hirdetmény!$AA$46</f>
        <v>0.13400000000000001</v>
      </c>
      <c r="S510" s="301">
        <f t="shared" si="200"/>
        <v>0</v>
      </c>
      <c r="T510" s="301">
        <f t="shared" si="190"/>
        <v>0</v>
      </c>
      <c r="U510" s="301">
        <f t="shared" si="201"/>
        <v>0</v>
      </c>
      <c r="V510" s="301">
        <f t="shared" si="202"/>
        <v>0</v>
      </c>
      <c r="W510" s="301">
        <f t="shared" si="203"/>
        <v>0</v>
      </c>
      <c r="AA510" s="12">
        <f>+paraméterek!$B$346</f>
        <v>6.4600000000000005E-2</v>
      </c>
      <c r="AB510" s="301">
        <f t="shared" si="204"/>
        <v>0</v>
      </c>
      <c r="AC510" s="301">
        <f t="shared" si="191"/>
        <v>0</v>
      </c>
      <c r="AD510" s="301">
        <f t="shared" si="205"/>
        <v>0</v>
      </c>
      <c r="AE510" s="301">
        <f t="shared" si="206"/>
        <v>0</v>
      </c>
      <c r="AF510" s="477">
        <f t="shared" si="207"/>
        <v>0</v>
      </c>
    </row>
    <row r="511" spans="1:42" s="11" customFormat="1" hidden="1" x14ac:dyDescent="0.3">
      <c r="A511" s="775">
        <v>432</v>
      </c>
      <c r="B511" s="775">
        <f t="shared" si="193"/>
        <v>36</v>
      </c>
      <c r="C511" s="891">
        <f t="shared" si="215"/>
        <v>0.14489675614077413</v>
      </c>
      <c r="D511" s="891"/>
      <c r="E511" s="891">
        <f t="shared" si="215"/>
        <v>0.03</v>
      </c>
      <c r="F511" s="891">
        <f t="shared" si="186"/>
        <v>0.03</v>
      </c>
      <c r="G511" s="893">
        <f t="shared" si="195"/>
        <v>1.151056494563818E-8</v>
      </c>
      <c r="H511" s="436">
        <f t="shared" si="187"/>
        <v>0</v>
      </c>
      <c r="I511" s="302">
        <f t="shared" si="188"/>
        <v>0</v>
      </c>
      <c r="J511" s="301">
        <f t="shared" si="213"/>
        <v>2.9176084758041223E-11</v>
      </c>
      <c r="K511" s="301">
        <f t="shared" si="196"/>
        <v>2.9176084758041223E-11</v>
      </c>
      <c r="L511" s="10">
        <f t="shared" si="197"/>
        <v>2.9176084758041223E-11</v>
      </c>
      <c r="M511" s="302"/>
      <c r="N511" s="435">
        <f t="shared" si="198"/>
        <v>0</v>
      </c>
      <c r="O511" s="436">
        <f t="shared" si="189"/>
        <v>0</v>
      </c>
      <c r="P511" s="436">
        <f t="shared" si="199"/>
        <v>0</v>
      </c>
      <c r="R511" s="354">
        <f>+Hirdetmény!$AA$46</f>
        <v>0.13400000000000001</v>
      </c>
      <c r="S511" s="301">
        <f t="shared" si="200"/>
        <v>0</v>
      </c>
      <c r="T511" s="301">
        <f t="shared" si="190"/>
        <v>0</v>
      </c>
      <c r="U511" s="301">
        <f t="shared" si="201"/>
        <v>0</v>
      </c>
      <c r="V511" s="301">
        <f t="shared" si="202"/>
        <v>0</v>
      </c>
      <c r="W511" s="301">
        <f t="shared" si="203"/>
        <v>0</v>
      </c>
      <c r="AA511" s="12">
        <f>+paraméterek!$B$346</f>
        <v>6.4600000000000005E-2</v>
      </c>
      <c r="AB511" s="301">
        <f t="shared" si="204"/>
        <v>0</v>
      </c>
      <c r="AC511" s="301">
        <f t="shared" si="191"/>
        <v>0</v>
      </c>
      <c r="AD511" s="301">
        <f t="shared" si="205"/>
        <v>0</v>
      </c>
      <c r="AE511" s="301">
        <f t="shared" si="206"/>
        <v>0</v>
      </c>
      <c r="AF511" s="477">
        <f t="shared" si="207"/>
        <v>0</v>
      </c>
    </row>
    <row r="512" spans="1:42" s="11" customFormat="1" hidden="1" x14ac:dyDescent="0.3">
      <c r="A512" s="775">
        <v>433</v>
      </c>
      <c r="B512" s="775">
        <f t="shared" si="193"/>
        <v>37</v>
      </c>
      <c r="C512" s="891">
        <f t="shared" si="215"/>
        <v>0.14489675614077413</v>
      </c>
      <c r="D512" s="891"/>
      <c r="E512" s="891">
        <f t="shared" si="215"/>
        <v>0.03</v>
      </c>
      <c r="F512" s="891">
        <f t="shared" si="186"/>
        <v>0.03</v>
      </c>
      <c r="G512" s="893">
        <f t="shared" si="195"/>
        <v>1.151056494563818E-8</v>
      </c>
      <c r="H512" s="436">
        <f t="shared" si="187"/>
        <v>0</v>
      </c>
      <c r="I512" s="302">
        <f t="shared" si="188"/>
        <v>0</v>
      </c>
      <c r="J512" s="301">
        <f t="shared" si="213"/>
        <v>2.9176084758041223E-11</v>
      </c>
      <c r="K512" s="301">
        <f t="shared" si="196"/>
        <v>2.9176084758041223E-11</v>
      </c>
      <c r="L512" s="10">
        <f t="shared" si="197"/>
        <v>2.9176084758041223E-11</v>
      </c>
      <c r="M512" s="302"/>
      <c r="N512" s="435">
        <f t="shared" si="198"/>
        <v>0</v>
      </c>
      <c r="O512" s="436">
        <f t="shared" si="189"/>
        <v>0</v>
      </c>
      <c r="P512" s="436">
        <f t="shared" si="199"/>
        <v>0</v>
      </c>
      <c r="R512" s="354">
        <f>+Hirdetmény!$AA$46</f>
        <v>0.13400000000000001</v>
      </c>
      <c r="S512" s="301">
        <f t="shared" si="200"/>
        <v>0</v>
      </c>
      <c r="T512" s="301">
        <f t="shared" si="190"/>
        <v>0</v>
      </c>
      <c r="U512" s="301">
        <f t="shared" si="201"/>
        <v>0</v>
      </c>
      <c r="V512" s="301">
        <f t="shared" si="202"/>
        <v>0</v>
      </c>
      <c r="W512" s="301">
        <f t="shared" si="203"/>
        <v>0</v>
      </c>
      <c r="AA512" s="12">
        <f>+paraméterek!$B$346</f>
        <v>6.4600000000000005E-2</v>
      </c>
      <c r="AB512" s="301">
        <f t="shared" si="204"/>
        <v>0</v>
      </c>
      <c r="AC512" s="301">
        <f t="shared" si="191"/>
        <v>0</v>
      </c>
      <c r="AD512" s="301">
        <f t="shared" si="205"/>
        <v>0</v>
      </c>
      <c r="AE512" s="301">
        <f t="shared" si="206"/>
        <v>0</v>
      </c>
      <c r="AF512" s="477">
        <f t="shared" si="207"/>
        <v>0</v>
      </c>
    </row>
    <row r="513" spans="1:32" s="11" customFormat="1" hidden="1" x14ac:dyDescent="0.3">
      <c r="A513" s="775">
        <v>434</v>
      </c>
      <c r="B513" s="775">
        <f t="shared" si="193"/>
        <v>37</v>
      </c>
      <c r="C513" s="891">
        <f t="shared" ref="C513:E528" si="216">+C512</f>
        <v>0.14489675614077413</v>
      </c>
      <c r="D513" s="891"/>
      <c r="E513" s="891">
        <f t="shared" si="216"/>
        <v>0.03</v>
      </c>
      <c r="F513" s="891">
        <f t="shared" si="186"/>
        <v>0.03</v>
      </c>
      <c r="G513" s="893">
        <f t="shared" si="195"/>
        <v>1.151056494563818E-8</v>
      </c>
      <c r="H513" s="436">
        <f t="shared" si="187"/>
        <v>0</v>
      </c>
      <c r="I513" s="302">
        <f t="shared" si="188"/>
        <v>0</v>
      </c>
      <c r="J513" s="301">
        <f t="shared" si="213"/>
        <v>2.9176084758041223E-11</v>
      </c>
      <c r="K513" s="301">
        <f t="shared" si="196"/>
        <v>2.9176084758041223E-11</v>
      </c>
      <c r="L513" s="10">
        <f t="shared" si="197"/>
        <v>2.9176084758041223E-11</v>
      </c>
      <c r="M513" s="302"/>
      <c r="N513" s="435">
        <f t="shared" si="198"/>
        <v>0</v>
      </c>
      <c r="O513" s="436">
        <f t="shared" si="189"/>
        <v>0</v>
      </c>
      <c r="P513" s="436">
        <f t="shared" si="199"/>
        <v>0</v>
      </c>
      <c r="R513" s="354">
        <f>+Hirdetmény!$AA$46</f>
        <v>0.13400000000000001</v>
      </c>
      <c r="S513" s="301">
        <f t="shared" si="200"/>
        <v>0</v>
      </c>
      <c r="T513" s="301">
        <f t="shared" si="190"/>
        <v>0</v>
      </c>
      <c r="U513" s="301">
        <f t="shared" si="201"/>
        <v>0</v>
      </c>
      <c r="V513" s="301">
        <f t="shared" si="202"/>
        <v>0</v>
      </c>
      <c r="W513" s="301">
        <f t="shared" si="203"/>
        <v>0</v>
      </c>
      <c r="AA513" s="12">
        <f>+paraméterek!$B$346</f>
        <v>6.4600000000000005E-2</v>
      </c>
      <c r="AB513" s="301">
        <f t="shared" si="204"/>
        <v>0</v>
      </c>
      <c r="AC513" s="301">
        <f t="shared" si="191"/>
        <v>0</v>
      </c>
      <c r="AD513" s="301">
        <f t="shared" si="205"/>
        <v>0</v>
      </c>
      <c r="AE513" s="301">
        <f t="shared" si="206"/>
        <v>0</v>
      </c>
      <c r="AF513" s="477">
        <f t="shared" si="207"/>
        <v>0</v>
      </c>
    </row>
    <row r="514" spans="1:32" s="11" customFormat="1" hidden="1" x14ac:dyDescent="0.3">
      <c r="A514" s="775">
        <v>435</v>
      </c>
      <c r="B514" s="775">
        <f t="shared" si="193"/>
        <v>37</v>
      </c>
      <c r="C514" s="891">
        <f t="shared" si="216"/>
        <v>0.14489675614077413</v>
      </c>
      <c r="D514" s="891"/>
      <c r="E514" s="891">
        <f t="shared" si="216"/>
        <v>0.03</v>
      </c>
      <c r="F514" s="891">
        <f t="shared" si="186"/>
        <v>0.03</v>
      </c>
      <c r="G514" s="893">
        <f t="shared" si="195"/>
        <v>1.151056494563818E-8</v>
      </c>
      <c r="H514" s="436">
        <f t="shared" si="187"/>
        <v>0</v>
      </c>
      <c r="I514" s="302">
        <f t="shared" si="188"/>
        <v>0</v>
      </c>
      <c r="J514" s="301">
        <f t="shared" si="213"/>
        <v>2.9176084758041223E-11</v>
      </c>
      <c r="K514" s="301">
        <f t="shared" si="196"/>
        <v>2.9176084758041223E-11</v>
      </c>
      <c r="L514" s="10">
        <f t="shared" si="197"/>
        <v>2.9176084758041223E-11</v>
      </c>
      <c r="M514" s="302"/>
      <c r="N514" s="435">
        <f t="shared" si="198"/>
        <v>0</v>
      </c>
      <c r="O514" s="436">
        <f t="shared" si="189"/>
        <v>0</v>
      </c>
      <c r="P514" s="436">
        <f t="shared" si="199"/>
        <v>0</v>
      </c>
      <c r="R514" s="354">
        <f>+Hirdetmény!$AA$46</f>
        <v>0.13400000000000001</v>
      </c>
      <c r="S514" s="301">
        <f t="shared" si="200"/>
        <v>0</v>
      </c>
      <c r="T514" s="301">
        <f t="shared" si="190"/>
        <v>0</v>
      </c>
      <c r="U514" s="301">
        <f t="shared" si="201"/>
        <v>0</v>
      </c>
      <c r="V514" s="301">
        <f t="shared" si="202"/>
        <v>0</v>
      </c>
      <c r="W514" s="301">
        <f t="shared" si="203"/>
        <v>0</v>
      </c>
      <c r="AA514" s="12">
        <f>+paraméterek!$B$346</f>
        <v>6.4600000000000005E-2</v>
      </c>
      <c r="AB514" s="301">
        <f t="shared" si="204"/>
        <v>0</v>
      </c>
      <c r="AC514" s="301">
        <f t="shared" si="191"/>
        <v>0</v>
      </c>
      <c r="AD514" s="301">
        <f t="shared" si="205"/>
        <v>0</v>
      </c>
      <c r="AE514" s="301">
        <f t="shared" si="206"/>
        <v>0</v>
      </c>
      <c r="AF514" s="477">
        <f t="shared" si="207"/>
        <v>0</v>
      </c>
    </row>
    <row r="515" spans="1:32" s="11" customFormat="1" hidden="1" x14ac:dyDescent="0.3">
      <c r="A515" s="775">
        <v>436</v>
      </c>
      <c r="B515" s="775">
        <f t="shared" si="193"/>
        <v>37</v>
      </c>
      <c r="C515" s="891">
        <f t="shared" si="216"/>
        <v>0.14489675614077413</v>
      </c>
      <c r="D515" s="891"/>
      <c r="E515" s="891">
        <f t="shared" si="216"/>
        <v>0.03</v>
      </c>
      <c r="F515" s="891">
        <f t="shared" si="186"/>
        <v>0.03</v>
      </c>
      <c r="G515" s="893">
        <f t="shared" si="195"/>
        <v>1.151056494563818E-8</v>
      </c>
      <c r="H515" s="436">
        <f t="shared" si="187"/>
        <v>0</v>
      </c>
      <c r="I515" s="302">
        <f t="shared" si="188"/>
        <v>0</v>
      </c>
      <c r="J515" s="301">
        <f t="shared" si="213"/>
        <v>2.9176084758041223E-11</v>
      </c>
      <c r="K515" s="301">
        <f t="shared" si="196"/>
        <v>2.9176084758041223E-11</v>
      </c>
      <c r="L515" s="10">
        <f t="shared" si="197"/>
        <v>2.9176084758041223E-11</v>
      </c>
      <c r="M515" s="302"/>
      <c r="N515" s="435">
        <f t="shared" si="198"/>
        <v>0</v>
      </c>
      <c r="O515" s="436">
        <f t="shared" si="189"/>
        <v>0</v>
      </c>
      <c r="P515" s="436">
        <f t="shared" si="199"/>
        <v>0</v>
      </c>
      <c r="R515" s="354">
        <f>+Hirdetmény!$AA$46</f>
        <v>0.13400000000000001</v>
      </c>
      <c r="S515" s="301">
        <f t="shared" si="200"/>
        <v>0</v>
      </c>
      <c r="T515" s="301">
        <f t="shared" si="190"/>
        <v>0</v>
      </c>
      <c r="U515" s="301">
        <f t="shared" si="201"/>
        <v>0</v>
      </c>
      <c r="V515" s="301">
        <f t="shared" si="202"/>
        <v>0</v>
      </c>
      <c r="W515" s="301">
        <f t="shared" si="203"/>
        <v>0</v>
      </c>
      <c r="AA515" s="12">
        <f>+paraméterek!$B$346</f>
        <v>6.4600000000000005E-2</v>
      </c>
      <c r="AB515" s="301">
        <f t="shared" si="204"/>
        <v>0</v>
      </c>
      <c r="AC515" s="301">
        <f t="shared" si="191"/>
        <v>0</v>
      </c>
      <c r="AD515" s="301">
        <f t="shared" si="205"/>
        <v>0</v>
      </c>
      <c r="AE515" s="301">
        <f t="shared" si="206"/>
        <v>0</v>
      </c>
      <c r="AF515" s="477">
        <f t="shared" si="207"/>
        <v>0</v>
      </c>
    </row>
    <row r="516" spans="1:32" s="11" customFormat="1" hidden="1" x14ac:dyDescent="0.3">
      <c r="A516" s="775">
        <v>437</v>
      </c>
      <c r="B516" s="775">
        <f t="shared" si="193"/>
        <v>37</v>
      </c>
      <c r="C516" s="891">
        <f t="shared" si="216"/>
        <v>0.14489675614077413</v>
      </c>
      <c r="D516" s="891"/>
      <c r="E516" s="891">
        <f t="shared" si="216"/>
        <v>0.03</v>
      </c>
      <c r="F516" s="891">
        <f t="shared" si="186"/>
        <v>0.03</v>
      </c>
      <c r="G516" s="893">
        <f t="shared" si="195"/>
        <v>1.151056494563818E-8</v>
      </c>
      <c r="H516" s="436">
        <f t="shared" si="187"/>
        <v>0</v>
      </c>
      <c r="I516" s="302">
        <f t="shared" si="188"/>
        <v>0</v>
      </c>
      <c r="J516" s="301">
        <f t="shared" si="213"/>
        <v>2.9176084758041223E-11</v>
      </c>
      <c r="K516" s="301">
        <f t="shared" si="196"/>
        <v>2.9176084758041223E-11</v>
      </c>
      <c r="L516" s="10">
        <f t="shared" si="197"/>
        <v>2.9176084758041223E-11</v>
      </c>
      <c r="M516" s="302"/>
      <c r="N516" s="435">
        <f t="shared" si="198"/>
        <v>0</v>
      </c>
      <c r="O516" s="436">
        <f t="shared" si="189"/>
        <v>0</v>
      </c>
      <c r="P516" s="436">
        <f t="shared" si="199"/>
        <v>0</v>
      </c>
      <c r="R516" s="354">
        <f>+Hirdetmény!$AA$46</f>
        <v>0.13400000000000001</v>
      </c>
      <c r="S516" s="301">
        <f t="shared" si="200"/>
        <v>0</v>
      </c>
      <c r="T516" s="301">
        <f t="shared" si="190"/>
        <v>0</v>
      </c>
      <c r="U516" s="301">
        <f t="shared" si="201"/>
        <v>0</v>
      </c>
      <c r="V516" s="301">
        <f t="shared" si="202"/>
        <v>0</v>
      </c>
      <c r="W516" s="301">
        <f t="shared" si="203"/>
        <v>0</v>
      </c>
      <c r="AA516" s="12">
        <f>+paraméterek!$B$346</f>
        <v>6.4600000000000005E-2</v>
      </c>
      <c r="AB516" s="301">
        <f t="shared" si="204"/>
        <v>0</v>
      </c>
      <c r="AC516" s="301">
        <f t="shared" si="191"/>
        <v>0</v>
      </c>
      <c r="AD516" s="301">
        <f t="shared" si="205"/>
        <v>0</v>
      </c>
      <c r="AE516" s="301">
        <f t="shared" si="206"/>
        <v>0</v>
      </c>
      <c r="AF516" s="477">
        <f t="shared" si="207"/>
        <v>0</v>
      </c>
    </row>
    <row r="517" spans="1:32" s="11" customFormat="1" hidden="1" x14ac:dyDescent="0.3">
      <c r="A517" s="775">
        <v>438</v>
      </c>
      <c r="B517" s="775">
        <f t="shared" si="193"/>
        <v>37</v>
      </c>
      <c r="C517" s="891">
        <f t="shared" si="216"/>
        <v>0.14489675614077413</v>
      </c>
      <c r="D517" s="891"/>
      <c r="E517" s="891">
        <f t="shared" si="216"/>
        <v>0.03</v>
      </c>
      <c r="F517" s="891">
        <f t="shared" si="186"/>
        <v>0.03</v>
      </c>
      <c r="G517" s="893">
        <f t="shared" si="195"/>
        <v>1.151056494563818E-8</v>
      </c>
      <c r="H517" s="436">
        <f t="shared" si="187"/>
        <v>0</v>
      </c>
      <c r="I517" s="302">
        <f t="shared" si="188"/>
        <v>0</v>
      </c>
      <c r="J517" s="301">
        <f t="shared" si="213"/>
        <v>2.9176084758041223E-11</v>
      </c>
      <c r="K517" s="301">
        <f t="shared" si="196"/>
        <v>2.9176084758041223E-11</v>
      </c>
      <c r="L517" s="10">
        <f t="shared" si="197"/>
        <v>2.9176084758041223E-11</v>
      </c>
      <c r="M517" s="302"/>
      <c r="N517" s="435">
        <f t="shared" si="198"/>
        <v>0</v>
      </c>
      <c r="O517" s="436">
        <f t="shared" si="189"/>
        <v>0</v>
      </c>
      <c r="P517" s="436">
        <f t="shared" si="199"/>
        <v>0</v>
      </c>
      <c r="R517" s="354">
        <f>+Hirdetmény!$AA$46</f>
        <v>0.13400000000000001</v>
      </c>
      <c r="S517" s="301">
        <f t="shared" si="200"/>
        <v>0</v>
      </c>
      <c r="T517" s="301">
        <f t="shared" si="190"/>
        <v>0</v>
      </c>
      <c r="U517" s="301">
        <f t="shared" si="201"/>
        <v>0</v>
      </c>
      <c r="V517" s="301">
        <f t="shared" si="202"/>
        <v>0</v>
      </c>
      <c r="W517" s="301">
        <f t="shared" si="203"/>
        <v>0</v>
      </c>
      <c r="AA517" s="12">
        <f>+paraméterek!$B$346</f>
        <v>6.4600000000000005E-2</v>
      </c>
      <c r="AB517" s="301">
        <f t="shared" si="204"/>
        <v>0</v>
      </c>
      <c r="AC517" s="301">
        <f t="shared" si="191"/>
        <v>0</v>
      </c>
      <c r="AD517" s="301">
        <f t="shared" si="205"/>
        <v>0</v>
      </c>
      <c r="AE517" s="301">
        <f t="shared" si="206"/>
        <v>0</v>
      </c>
      <c r="AF517" s="477">
        <f t="shared" si="207"/>
        <v>0</v>
      </c>
    </row>
    <row r="518" spans="1:32" s="11" customFormat="1" hidden="1" x14ac:dyDescent="0.3">
      <c r="A518" s="775">
        <v>439</v>
      </c>
      <c r="B518" s="775">
        <f t="shared" si="193"/>
        <v>37</v>
      </c>
      <c r="C518" s="891">
        <f t="shared" si="216"/>
        <v>0.14489675614077413</v>
      </c>
      <c r="D518" s="891"/>
      <c r="E518" s="891">
        <f t="shared" si="216"/>
        <v>0.03</v>
      </c>
      <c r="F518" s="891">
        <f t="shared" si="186"/>
        <v>0.03</v>
      </c>
      <c r="G518" s="893">
        <f t="shared" si="195"/>
        <v>1.151056494563818E-8</v>
      </c>
      <c r="H518" s="436">
        <f t="shared" si="187"/>
        <v>0</v>
      </c>
      <c r="I518" s="302">
        <f t="shared" si="188"/>
        <v>0</v>
      </c>
      <c r="J518" s="301">
        <f t="shared" si="213"/>
        <v>2.9176084758041223E-11</v>
      </c>
      <c r="K518" s="301">
        <f t="shared" si="196"/>
        <v>2.9176084758041223E-11</v>
      </c>
      <c r="L518" s="10">
        <f t="shared" si="197"/>
        <v>2.9176084758041223E-11</v>
      </c>
      <c r="M518" s="302"/>
      <c r="N518" s="435">
        <f t="shared" si="198"/>
        <v>0</v>
      </c>
      <c r="O518" s="436">
        <f t="shared" si="189"/>
        <v>0</v>
      </c>
      <c r="P518" s="436">
        <f t="shared" si="199"/>
        <v>0</v>
      </c>
      <c r="R518" s="354">
        <f>+Hirdetmény!$AA$46</f>
        <v>0.13400000000000001</v>
      </c>
      <c r="S518" s="301">
        <f t="shared" si="200"/>
        <v>0</v>
      </c>
      <c r="T518" s="301">
        <f t="shared" si="190"/>
        <v>0</v>
      </c>
      <c r="U518" s="301">
        <f t="shared" si="201"/>
        <v>0</v>
      </c>
      <c r="V518" s="301">
        <f t="shared" si="202"/>
        <v>0</v>
      </c>
      <c r="W518" s="301">
        <f t="shared" si="203"/>
        <v>0</v>
      </c>
      <c r="AA518" s="12">
        <f>+paraméterek!$B$346</f>
        <v>6.4600000000000005E-2</v>
      </c>
      <c r="AB518" s="301">
        <f t="shared" si="204"/>
        <v>0</v>
      </c>
      <c r="AC518" s="301">
        <f t="shared" si="191"/>
        <v>0</v>
      </c>
      <c r="AD518" s="301">
        <f t="shared" si="205"/>
        <v>0</v>
      </c>
      <c r="AE518" s="301">
        <f t="shared" si="206"/>
        <v>0</v>
      </c>
      <c r="AF518" s="477">
        <f t="shared" si="207"/>
        <v>0</v>
      </c>
    </row>
    <row r="519" spans="1:32" s="11" customFormat="1" hidden="1" x14ac:dyDescent="0.3">
      <c r="A519" s="775">
        <v>440</v>
      </c>
      <c r="B519" s="775">
        <f t="shared" si="193"/>
        <v>37</v>
      </c>
      <c r="C519" s="891">
        <f t="shared" si="216"/>
        <v>0.14489675614077413</v>
      </c>
      <c r="D519" s="891"/>
      <c r="E519" s="891">
        <f t="shared" si="216"/>
        <v>0.03</v>
      </c>
      <c r="F519" s="891">
        <f t="shared" si="186"/>
        <v>0.03</v>
      </c>
      <c r="G519" s="893">
        <f t="shared" si="195"/>
        <v>1.151056494563818E-8</v>
      </c>
      <c r="H519" s="436">
        <f t="shared" si="187"/>
        <v>0</v>
      </c>
      <c r="I519" s="302">
        <f t="shared" si="188"/>
        <v>0</v>
      </c>
      <c r="J519" s="301">
        <f t="shared" si="213"/>
        <v>2.9176084758041223E-11</v>
      </c>
      <c r="K519" s="301">
        <f t="shared" si="196"/>
        <v>2.9176084758041223E-11</v>
      </c>
      <c r="L519" s="10">
        <f t="shared" si="197"/>
        <v>2.9176084758041223E-11</v>
      </c>
      <c r="M519" s="302"/>
      <c r="N519" s="435">
        <f t="shared" si="198"/>
        <v>0</v>
      </c>
      <c r="O519" s="436">
        <f t="shared" si="189"/>
        <v>0</v>
      </c>
      <c r="P519" s="436">
        <f t="shared" si="199"/>
        <v>0</v>
      </c>
      <c r="R519" s="354">
        <f>+Hirdetmény!$AA$46</f>
        <v>0.13400000000000001</v>
      </c>
      <c r="S519" s="301">
        <f t="shared" si="200"/>
        <v>0</v>
      </c>
      <c r="T519" s="301">
        <f t="shared" si="190"/>
        <v>0</v>
      </c>
      <c r="U519" s="301">
        <f t="shared" si="201"/>
        <v>0</v>
      </c>
      <c r="V519" s="301">
        <f t="shared" si="202"/>
        <v>0</v>
      </c>
      <c r="W519" s="301">
        <f t="shared" si="203"/>
        <v>0</v>
      </c>
      <c r="AA519" s="12">
        <f>+paraméterek!$B$346</f>
        <v>6.4600000000000005E-2</v>
      </c>
      <c r="AB519" s="301">
        <f t="shared" si="204"/>
        <v>0</v>
      </c>
      <c r="AC519" s="301">
        <f t="shared" si="191"/>
        <v>0</v>
      </c>
      <c r="AD519" s="301">
        <f t="shared" si="205"/>
        <v>0</v>
      </c>
      <c r="AE519" s="301">
        <f t="shared" si="206"/>
        <v>0</v>
      </c>
      <c r="AF519" s="477">
        <f t="shared" si="207"/>
        <v>0</v>
      </c>
    </row>
    <row r="520" spans="1:32" s="11" customFormat="1" hidden="1" x14ac:dyDescent="0.3">
      <c r="A520" s="775">
        <v>441</v>
      </c>
      <c r="B520" s="775">
        <f t="shared" si="193"/>
        <v>37</v>
      </c>
      <c r="C520" s="891">
        <f t="shared" si="216"/>
        <v>0.14489675614077413</v>
      </c>
      <c r="D520" s="891"/>
      <c r="E520" s="891">
        <f t="shared" si="216"/>
        <v>0.03</v>
      </c>
      <c r="F520" s="891">
        <f t="shared" si="186"/>
        <v>0.03</v>
      </c>
      <c r="G520" s="893">
        <f t="shared" si="195"/>
        <v>1.151056494563818E-8</v>
      </c>
      <c r="H520" s="436">
        <f t="shared" si="187"/>
        <v>0</v>
      </c>
      <c r="I520" s="302">
        <f t="shared" si="188"/>
        <v>0</v>
      </c>
      <c r="J520" s="301">
        <f t="shared" si="213"/>
        <v>2.9176084758041223E-11</v>
      </c>
      <c r="K520" s="301">
        <f t="shared" si="196"/>
        <v>2.9176084758041223E-11</v>
      </c>
      <c r="L520" s="10">
        <f t="shared" si="197"/>
        <v>2.9176084758041223E-11</v>
      </c>
      <c r="M520" s="302"/>
      <c r="N520" s="435">
        <f t="shared" si="198"/>
        <v>0</v>
      </c>
      <c r="O520" s="436">
        <f t="shared" si="189"/>
        <v>0</v>
      </c>
      <c r="P520" s="436">
        <f t="shared" si="199"/>
        <v>0</v>
      </c>
      <c r="R520" s="354">
        <f>+Hirdetmény!$AA$46</f>
        <v>0.13400000000000001</v>
      </c>
      <c r="S520" s="301">
        <f t="shared" si="200"/>
        <v>0</v>
      </c>
      <c r="T520" s="301">
        <f t="shared" si="190"/>
        <v>0</v>
      </c>
      <c r="U520" s="301">
        <f t="shared" si="201"/>
        <v>0</v>
      </c>
      <c r="V520" s="301">
        <f t="shared" si="202"/>
        <v>0</v>
      </c>
      <c r="W520" s="301">
        <f t="shared" si="203"/>
        <v>0</v>
      </c>
      <c r="AA520" s="12">
        <f>+paraméterek!$B$346</f>
        <v>6.4600000000000005E-2</v>
      </c>
      <c r="AB520" s="301">
        <f t="shared" si="204"/>
        <v>0</v>
      </c>
      <c r="AC520" s="301">
        <f t="shared" si="191"/>
        <v>0</v>
      </c>
      <c r="AD520" s="301">
        <f t="shared" si="205"/>
        <v>0</v>
      </c>
      <c r="AE520" s="301">
        <f t="shared" si="206"/>
        <v>0</v>
      </c>
      <c r="AF520" s="477">
        <f t="shared" si="207"/>
        <v>0</v>
      </c>
    </row>
    <row r="521" spans="1:32" s="11" customFormat="1" hidden="1" x14ac:dyDescent="0.3">
      <c r="A521" s="775">
        <v>442</v>
      </c>
      <c r="B521" s="775">
        <f t="shared" si="193"/>
        <v>37</v>
      </c>
      <c r="C521" s="891">
        <f t="shared" si="216"/>
        <v>0.14489675614077413</v>
      </c>
      <c r="D521" s="891"/>
      <c r="E521" s="891">
        <f t="shared" si="216"/>
        <v>0.03</v>
      </c>
      <c r="F521" s="891">
        <f t="shared" si="186"/>
        <v>0.03</v>
      </c>
      <c r="G521" s="893">
        <f t="shared" si="195"/>
        <v>1.151056494563818E-8</v>
      </c>
      <c r="H521" s="436">
        <f t="shared" si="187"/>
        <v>0</v>
      </c>
      <c r="I521" s="302">
        <f t="shared" si="188"/>
        <v>0</v>
      </c>
      <c r="J521" s="301">
        <f t="shared" si="213"/>
        <v>2.9176084758041223E-11</v>
      </c>
      <c r="K521" s="301">
        <f t="shared" si="196"/>
        <v>2.9176084758041223E-11</v>
      </c>
      <c r="L521" s="10">
        <f t="shared" si="197"/>
        <v>2.9176084758041223E-11</v>
      </c>
      <c r="M521" s="302"/>
      <c r="N521" s="435">
        <f t="shared" si="198"/>
        <v>0</v>
      </c>
      <c r="O521" s="436">
        <f t="shared" si="189"/>
        <v>0</v>
      </c>
      <c r="P521" s="436">
        <f t="shared" si="199"/>
        <v>0</v>
      </c>
      <c r="R521" s="354">
        <f>+Hirdetmény!$AA$46</f>
        <v>0.13400000000000001</v>
      </c>
      <c r="S521" s="301">
        <f t="shared" si="200"/>
        <v>0</v>
      </c>
      <c r="T521" s="301">
        <f t="shared" si="190"/>
        <v>0</v>
      </c>
      <c r="U521" s="301">
        <f t="shared" si="201"/>
        <v>0</v>
      </c>
      <c r="V521" s="301">
        <f t="shared" si="202"/>
        <v>0</v>
      </c>
      <c r="W521" s="301">
        <f t="shared" si="203"/>
        <v>0</v>
      </c>
      <c r="AA521" s="12">
        <f>+paraméterek!$B$346</f>
        <v>6.4600000000000005E-2</v>
      </c>
      <c r="AB521" s="301">
        <f t="shared" si="204"/>
        <v>0</v>
      </c>
      <c r="AC521" s="301">
        <f t="shared" si="191"/>
        <v>0</v>
      </c>
      <c r="AD521" s="301">
        <f t="shared" si="205"/>
        <v>0</v>
      </c>
      <c r="AE521" s="301">
        <f t="shared" si="206"/>
        <v>0</v>
      </c>
      <c r="AF521" s="477">
        <f t="shared" si="207"/>
        <v>0</v>
      </c>
    </row>
    <row r="522" spans="1:32" s="11" customFormat="1" hidden="1" x14ac:dyDescent="0.3">
      <c r="A522" s="775">
        <v>443</v>
      </c>
      <c r="B522" s="775">
        <f t="shared" si="193"/>
        <v>37</v>
      </c>
      <c r="C522" s="891">
        <f t="shared" si="216"/>
        <v>0.14489675614077413</v>
      </c>
      <c r="D522" s="891"/>
      <c r="E522" s="891">
        <f t="shared" si="216"/>
        <v>0.03</v>
      </c>
      <c r="F522" s="891">
        <f t="shared" si="186"/>
        <v>0.03</v>
      </c>
      <c r="G522" s="893">
        <f t="shared" si="195"/>
        <v>1.151056494563818E-8</v>
      </c>
      <c r="H522" s="436">
        <f t="shared" si="187"/>
        <v>0</v>
      </c>
      <c r="I522" s="302">
        <f t="shared" si="188"/>
        <v>0</v>
      </c>
      <c r="J522" s="301">
        <f t="shared" si="213"/>
        <v>2.9176084758041223E-11</v>
      </c>
      <c r="K522" s="301">
        <f t="shared" si="196"/>
        <v>2.9176084758041223E-11</v>
      </c>
      <c r="L522" s="10">
        <f t="shared" si="197"/>
        <v>2.9176084758041223E-11</v>
      </c>
      <c r="M522" s="302"/>
      <c r="N522" s="435">
        <f t="shared" si="198"/>
        <v>0</v>
      </c>
      <c r="O522" s="436">
        <f t="shared" si="189"/>
        <v>0</v>
      </c>
      <c r="P522" s="436">
        <f t="shared" si="199"/>
        <v>0</v>
      </c>
      <c r="R522" s="354">
        <f>+Hirdetmény!$AA$46</f>
        <v>0.13400000000000001</v>
      </c>
      <c r="S522" s="301">
        <f t="shared" si="200"/>
        <v>0</v>
      </c>
      <c r="T522" s="301">
        <f t="shared" si="190"/>
        <v>0</v>
      </c>
      <c r="U522" s="301">
        <f t="shared" si="201"/>
        <v>0</v>
      </c>
      <c r="V522" s="301">
        <f t="shared" si="202"/>
        <v>0</v>
      </c>
      <c r="W522" s="301">
        <f t="shared" si="203"/>
        <v>0</v>
      </c>
      <c r="AA522" s="12">
        <f>+paraméterek!$B$346</f>
        <v>6.4600000000000005E-2</v>
      </c>
      <c r="AB522" s="301">
        <f t="shared" si="204"/>
        <v>0</v>
      </c>
      <c r="AC522" s="301">
        <f t="shared" si="191"/>
        <v>0</v>
      </c>
      <c r="AD522" s="301">
        <f t="shared" si="205"/>
        <v>0</v>
      </c>
      <c r="AE522" s="301">
        <f t="shared" si="206"/>
        <v>0</v>
      </c>
      <c r="AF522" s="477">
        <f t="shared" si="207"/>
        <v>0</v>
      </c>
    </row>
    <row r="523" spans="1:32" s="11" customFormat="1" hidden="1" x14ac:dyDescent="0.3">
      <c r="A523" s="775">
        <v>444</v>
      </c>
      <c r="B523" s="775">
        <f t="shared" si="193"/>
        <v>37</v>
      </c>
      <c r="C523" s="891">
        <f t="shared" si="216"/>
        <v>0.14489675614077413</v>
      </c>
      <c r="D523" s="891"/>
      <c r="E523" s="891">
        <f t="shared" si="216"/>
        <v>0.03</v>
      </c>
      <c r="F523" s="891">
        <f t="shared" si="186"/>
        <v>0.03</v>
      </c>
      <c r="G523" s="893">
        <f t="shared" si="195"/>
        <v>1.151056494563818E-8</v>
      </c>
      <c r="H523" s="436">
        <f t="shared" si="187"/>
        <v>0</v>
      </c>
      <c r="I523" s="302">
        <f t="shared" si="188"/>
        <v>0</v>
      </c>
      <c r="J523" s="301">
        <f t="shared" si="213"/>
        <v>2.9176084758041223E-11</v>
      </c>
      <c r="K523" s="301">
        <f t="shared" si="196"/>
        <v>2.9176084758041223E-11</v>
      </c>
      <c r="L523" s="10">
        <f t="shared" si="197"/>
        <v>2.9176084758041223E-11</v>
      </c>
      <c r="M523" s="302"/>
      <c r="N523" s="435">
        <f t="shared" si="198"/>
        <v>0</v>
      </c>
      <c r="O523" s="436">
        <f t="shared" si="189"/>
        <v>0</v>
      </c>
      <c r="P523" s="436">
        <f t="shared" si="199"/>
        <v>0</v>
      </c>
      <c r="R523" s="354">
        <f>+Hirdetmény!$AA$46</f>
        <v>0.13400000000000001</v>
      </c>
      <c r="S523" s="301">
        <f t="shared" si="200"/>
        <v>0</v>
      </c>
      <c r="T523" s="301">
        <f t="shared" si="190"/>
        <v>0</v>
      </c>
      <c r="U523" s="301">
        <f t="shared" si="201"/>
        <v>0</v>
      </c>
      <c r="V523" s="301">
        <f t="shared" si="202"/>
        <v>0</v>
      </c>
      <c r="W523" s="301">
        <f t="shared" si="203"/>
        <v>0</v>
      </c>
      <c r="AA523" s="12">
        <f>+paraméterek!$B$346</f>
        <v>6.4600000000000005E-2</v>
      </c>
      <c r="AB523" s="301">
        <f t="shared" si="204"/>
        <v>0</v>
      </c>
      <c r="AC523" s="301">
        <f t="shared" si="191"/>
        <v>0</v>
      </c>
      <c r="AD523" s="301">
        <f t="shared" si="205"/>
        <v>0</v>
      </c>
      <c r="AE523" s="301">
        <f t="shared" si="206"/>
        <v>0</v>
      </c>
      <c r="AF523" s="477">
        <f t="shared" si="207"/>
        <v>0</v>
      </c>
    </row>
    <row r="524" spans="1:32" s="11" customFormat="1" hidden="1" x14ac:dyDescent="0.3">
      <c r="A524" s="775">
        <v>445</v>
      </c>
      <c r="B524" s="775">
        <f t="shared" si="193"/>
        <v>38</v>
      </c>
      <c r="C524" s="891">
        <f t="shared" si="216"/>
        <v>0.14489675614077413</v>
      </c>
      <c r="D524" s="891"/>
      <c r="E524" s="891">
        <f t="shared" si="216"/>
        <v>0.03</v>
      </c>
      <c r="F524" s="891">
        <f t="shared" si="186"/>
        <v>0.03</v>
      </c>
      <c r="G524" s="893">
        <f t="shared" si="195"/>
        <v>1.151056494563818E-8</v>
      </c>
      <c r="H524" s="436">
        <f t="shared" si="187"/>
        <v>0</v>
      </c>
      <c r="I524" s="302">
        <f t="shared" si="188"/>
        <v>0</v>
      </c>
      <c r="J524" s="301">
        <f t="shared" si="213"/>
        <v>2.9176084758041223E-11</v>
      </c>
      <c r="K524" s="301">
        <f t="shared" si="196"/>
        <v>2.9176084758041223E-11</v>
      </c>
      <c r="L524" s="10">
        <f t="shared" si="197"/>
        <v>2.9176084758041223E-11</v>
      </c>
      <c r="M524" s="302"/>
      <c r="N524" s="435">
        <f t="shared" si="198"/>
        <v>0</v>
      </c>
      <c r="O524" s="436">
        <f t="shared" si="189"/>
        <v>0</v>
      </c>
      <c r="P524" s="436">
        <f t="shared" si="199"/>
        <v>0</v>
      </c>
      <c r="R524" s="354">
        <f>+Hirdetmény!$AA$46</f>
        <v>0.13400000000000001</v>
      </c>
      <c r="S524" s="301">
        <f t="shared" si="200"/>
        <v>0</v>
      </c>
      <c r="T524" s="301">
        <f t="shared" si="190"/>
        <v>0</v>
      </c>
      <c r="U524" s="301">
        <f t="shared" si="201"/>
        <v>0</v>
      </c>
      <c r="V524" s="301">
        <f t="shared" si="202"/>
        <v>0</v>
      </c>
      <c r="W524" s="301">
        <f t="shared" si="203"/>
        <v>0</v>
      </c>
      <c r="AA524" s="12">
        <f>+paraméterek!$B$346</f>
        <v>6.4600000000000005E-2</v>
      </c>
      <c r="AB524" s="301">
        <f t="shared" si="204"/>
        <v>0</v>
      </c>
      <c r="AC524" s="301">
        <f t="shared" si="191"/>
        <v>0</v>
      </c>
      <c r="AD524" s="301">
        <f t="shared" si="205"/>
        <v>0</v>
      </c>
      <c r="AE524" s="301">
        <f t="shared" si="206"/>
        <v>0</v>
      </c>
      <c r="AF524" s="477">
        <f t="shared" si="207"/>
        <v>0</v>
      </c>
    </row>
    <row r="525" spans="1:32" s="11" customFormat="1" hidden="1" x14ac:dyDescent="0.3">
      <c r="A525" s="775">
        <v>446</v>
      </c>
      <c r="B525" s="775">
        <f t="shared" si="193"/>
        <v>38</v>
      </c>
      <c r="C525" s="891">
        <f t="shared" si="216"/>
        <v>0.14489675614077413</v>
      </c>
      <c r="D525" s="891"/>
      <c r="E525" s="891">
        <f t="shared" si="216"/>
        <v>0.03</v>
      </c>
      <c r="F525" s="891">
        <f t="shared" si="186"/>
        <v>0.03</v>
      </c>
      <c r="G525" s="893">
        <f t="shared" si="195"/>
        <v>1.151056494563818E-8</v>
      </c>
      <c r="H525" s="436">
        <f t="shared" si="187"/>
        <v>0</v>
      </c>
      <c r="I525" s="302">
        <f t="shared" si="188"/>
        <v>0</v>
      </c>
      <c r="J525" s="301">
        <f t="shared" si="213"/>
        <v>2.9176084758041223E-11</v>
      </c>
      <c r="K525" s="301">
        <f t="shared" si="196"/>
        <v>2.9176084758041223E-11</v>
      </c>
      <c r="L525" s="10">
        <f t="shared" si="197"/>
        <v>2.9176084758041223E-11</v>
      </c>
      <c r="M525" s="302"/>
      <c r="N525" s="435">
        <f t="shared" si="198"/>
        <v>0</v>
      </c>
      <c r="O525" s="436">
        <f t="shared" si="189"/>
        <v>0</v>
      </c>
      <c r="P525" s="436">
        <f t="shared" si="199"/>
        <v>0</v>
      </c>
      <c r="R525" s="354">
        <f>+Hirdetmény!$AA$46</f>
        <v>0.13400000000000001</v>
      </c>
      <c r="S525" s="301">
        <f t="shared" si="200"/>
        <v>0</v>
      </c>
      <c r="T525" s="301">
        <f t="shared" si="190"/>
        <v>0</v>
      </c>
      <c r="U525" s="301">
        <f t="shared" si="201"/>
        <v>0</v>
      </c>
      <c r="V525" s="301">
        <f t="shared" si="202"/>
        <v>0</v>
      </c>
      <c r="W525" s="301">
        <f t="shared" si="203"/>
        <v>0</v>
      </c>
      <c r="AA525" s="12">
        <f>+paraméterek!$B$346</f>
        <v>6.4600000000000005E-2</v>
      </c>
      <c r="AB525" s="301">
        <f t="shared" si="204"/>
        <v>0</v>
      </c>
      <c r="AC525" s="301">
        <f t="shared" si="191"/>
        <v>0</v>
      </c>
      <c r="AD525" s="301">
        <f t="shared" si="205"/>
        <v>0</v>
      </c>
      <c r="AE525" s="301">
        <f t="shared" si="206"/>
        <v>0</v>
      </c>
      <c r="AF525" s="477">
        <f t="shared" si="207"/>
        <v>0</v>
      </c>
    </row>
    <row r="526" spans="1:32" s="11" customFormat="1" hidden="1" x14ac:dyDescent="0.3">
      <c r="A526" s="775">
        <v>447</v>
      </c>
      <c r="B526" s="775">
        <f t="shared" si="193"/>
        <v>38</v>
      </c>
      <c r="C526" s="891">
        <f t="shared" si="216"/>
        <v>0.14489675614077413</v>
      </c>
      <c r="D526" s="891"/>
      <c r="E526" s="891">
        <f t="shared" si="216"/>
        <v>0.03</v>
      </c>
      <c r="F526" s="891">
        <f t="shared" si="186"/>
        <v>0.03</v>
      </c>
      <c r="G526" s="893">
        <f t="shared" si="195"/>
        <v>1.151056494563818E-8</v>
      </c>
      <c r="H526" s="436">
        <f t="shared" si="187"/>
        <v>0</v>
      </c>
      <c r="I526" s="302">
        <f t="shared" si="188"/>
        <v>0</v>
      </c>
      <c r="J526" s="301">
        <f t="shared" si="213"/>
        <v>2.9176084758041223E-11</v>
      </c>
      <c r="K526" s="301">
        <f t="shared" si="196"/>
        <v>2.9176084758041223E-11</v>
      </c>
      <c r="L526" s="10">
        <f t="shared" si="197"/>
        <v>2.9176084758041223E-11</v>
      </c>
      <c r="M526" s="302"/>
      <c r="N526" s="435">
        <f t="shared" si="198"/>
        <v>0</v>
      </c>
      <c r="O526" s="436">
        <f t="shared" si="189"/>
        <v>0</v>
      </c>
      <c r="P526" s="436">
        <f t="shared" si="199"/>
        <v>0</v>
      </c>
      <c r="R526" s="354">
        <f>+Hirdetmény!$AA$46</f>
        <v>0.13400000000000001</v>
      </c>
      <c r="S526" s="301">
        <f t="shared" si="200"/>
        <v>0</v>
      </c>
      <c r="T526" s="301">
        <f t="shared" si="190"/>
        <v>0</v>
      </c>
      <c r="U526" s="301">
        <f t="shared" si="201"/>
        <v>0</v>
      </c>
      <c r="V526" s="301">
        <f t="shared" si="202"/>
        <v>0</v>
      </c>
      <c r="W526" s="301">
        <f t="shared" si="203"/>
        <v>0</v>
      </c>
      <c r="AA526" s="12">
        <f>+paraméterek!$B$346</f>
        <v>6.4600000000000005E-2</v>
      </c>
      <c r="AB526" s="301">
        <f t="shared" si="204"/>
        <v>0</v>
      </c>
      <c r="AC526" s="301">
        <f t="shared" si="191"/>
        <v>0</v>
      </c>
      <c r="AD526" s="301">
        <f t="shared" si="205"/>
        <v>0</v>
      </c>
      <c r="AE526" s="301">
        <f t="shared" si="206"/>
        <v>0</v>
      </c>
      <c r="AF526" s="477">
        <f t="shared" si="207"/>
        <v>0</v>
      </c>
    </row>
    <row r="527" spans="1:32" s="11" customFormat="1" hidden="1" x14ac:dyDescent="0.3">
      <c r="A527" s="775">
        <v>448</v>
      </c>
      <c r="B527" s="775">
        <f t="shared" si="193"/>
        <v>38</v>
      </c>
      <c r="C527" s="891">
        <f t="shared" si="216"/>
        <v>0.14489675614077413</v>
      </c>
      <c r="D527" s="891"/>
      <c r="E527" s="891">
        <f t="shared" si="216"/>
        <v>0.03</v>
      </c>
      <c r="F527" s="891">
        <f t="shared" si="186"/>
        <v>0.03</v>
      </c>
      <c r="G527" s="893">
        <f t="shared" si="195"/>
        <v>1.151056494563818E-8</v>
      </c>
      <c r="H527" s="436">
        <f t="shared" si="187"/>
        <v>0</v>
      </c>
      <c r="I527" s="302">
        <f t="shared" si="188"/>
        <v>0</v>
      </c>
      <c r="J527" s="301">
        <f t="shared" si="213"/>
        <v>2.9176084758041223E-11</v>
      </c>
      <c r="K527" s="301">
        <f t="shared" si="196"/>
        <v>2.9176084758041223E-11</v>
      </c>
      <c r="L527" s="10">
        <f t="shared" si="197"/>
        <v>2.9176084758041223E-11</v>
      </c>
      <c r="M527" s="302"/>
      <c r="N527" s="435">
        <f t="shared" si="198"/>
        <v>0</v>
      </c>
      <c r="O527" s="436">
        <f t="shared" si="189"/>
        <v>0</v>
      </c>
      <c r="P527" s="436">
        <f t="shared" si="199"/>
        <v>0</v>
      </c>
      <c r="R527" s="354">
        <f>+Hirdetmény!$AA$46</f>
        <v>0.13400000000000001</v>
      </c>
      <c r="S527" s="301">
        <f t="shared" si="200"/>
        <v>0</v>
      </c>
      <c r="T527" s="301">
        <f t="shared" si="190"/>
        <v>0</v>
      </c>
      <c r="U527" s="301">
        <f t="shared" si="201"/>
        <v>0</v>
      </c>
      <c r="V527" s="301">
        <f t="shared" si="202"/>
        <v>0</v>
      </c>
      <c r="W527" s="301">
        <f t="shared" si="203"/>
        <v>0</v>
      </c>
      <c r="AA527" s="12">
        <f>+paraméterek!$B$346</f>
        <v>6.4600000000000005E-2</v>
      </c>
      <c r="AB527" s="301">
        <f t="shared" si="204"/>
        <v>0</v>
      </c>
      <c r="AC527" s="301">
        <f t="shared" si="191"/>
        <v>0</v>
      </c>
      <c r="AD527" s="301">
        <f t="shared" si="205"/>
        <v>0</v>
      </c>
      <c r="AE527" s="301">
        <f t="shared" si="206"/>
        <v>0</v>
      </c>
      <c r="AF527" s="477">
        <f t="shared" si="207"/>
        <v>0</v>
      </c>
    </row>
    <row r="528" spans="1:32" s="11" customFormat="1" hidden="1" x14ac:dyDescent="0.3">
      <c r="A528" s="775">
        <v>449</v>
      </c>
      <c r="B528" s="775">
        <f t="shared" si="193"/>
        <v>38</v>
      </c>
      <c r="C528" s="891">
        <f t="shared" si="216"/>
        <v>0.14489675614077413</v>
      </c>
      <c r="D528" s="891"/>
      <c r="E528" s="891">
        <f t="shared" si="216"/>
        <v>0.03</v>
      </c>
      <c r="F528" s="891">
        <f t="shared" ref="F528:F591" si="217">$F$7</f>
        <v>0.03</v>
      </c>
      <c r="G528" s="893">
        <f t="shared" si="195"/>
        <v>1.151056494563818E-8</v>
      </c>
      <c r="H528" s="436">
        <f t="shared" ref="H528:H591" si="218">IF(A528&lt;=$B$16,0,IF(A528&lt;=$B$10,PPMT(F528/360*(365/12),A528-$B$16,$B$10-$B$16,-$G$79),0))</f>
        <v>0</v>
      </c>
      <c r="I528" s="302">
        <f t="shared" ref="I528:I591" si="219">+IF(A528=$B$10,$C$47,0)</f>
        <v>0</v>
      </c>
      <c r="J528" s="301">
        <f t="shared" si="213"/>
        <v>2.9176084758041223E-11</v>
      </c>
      <c r="K528" s="301">
        <f t="shared" si="196"/>
        <v>2.9176084758041223E-11</v>
      </c>
      <c r="L528" s="10">
        <f t="shared" si="197"/>
        <v>2.9176084758041223E-11</v>
      </c>
      <c r="M528" s="302"/>
      <c r="N528" s="435">
        <f t="shared" si="198"/>
        <v>0</v>
      </c>
      <c r="O528" s="436">
        <f t="shared" ref="O528:O591" si="220">IF(A528&lt;=$B$10,$B$54,0)</f>
        <v>0</v>
      </c>
      <c r="P528" s="436">
        <f t="shared" si="199"/>
        <v>0</v>
      </c>
      <c r="R528" s="354">
        <f>+Hirdetmény!$AA$46</f>
        <v>0.13400000000000001</v>
      </c>
      <c r="S528" s="301">
        <f t="shared" si="200"/>
        <v>0</v>
      </c>
      <c r="T528" s="301">
        <f t="shared" ref="T528:T591" si="221">IF(A528&lt;=$B$10,IF(A528&gt;$B$16,PPMT(R528/360*(365/12),1,$B$10-A527,S527,$C$47*-1),0)*-1,0)</f>
        <v>0</v>
      </c>
      <c r="U528" s="301">
        <f t="shared" si="201"/>
        <v>0</v>
      </c>
      <c r="V528" s="301">
        <f t="shared" si="202"/>
        <v>0</v>
      </c>
      <c r="W528" s="301">
        <f t="shared" si="203"/>
        <v>0</v>
      </c>
      <c r="AA528" s="12">
        <f>+paraméterek!$B$346</f>
        <v>6.4600000000000005E-2</v>
      </c>
      <c r="AB528" s="301">
        <f t="shared" si="204"/>
        <v>0</v>
      </c>
      <c r="AC528" s="301">
        <f t="shared" ref="AC528:AC591" si="222">IF(A528&lt;=$B$10,IF(A528&gt;$B$16,PPMT(AA528/360*(365/12),1,$B$10-A527,AB527,$C$47*-1),0)*-1,0)</f>
        <v>0</v>
      </c>
      <c r="AD528" s="301">
        <f t="shared" si="205"/>
        <v>0</v>
      </c>
      <c r="AE528" s="301">
        <f t="shared" si="206"/>
        <v>0</v>
      </c>
      <c r="AF528" s="477">
        <f t="shared" si="207"/>
        <v>0</v>
      </c>
    </row>
    <row r="529" spans="1:32" s="11" customFormat="1" hidden="1" x14ac:dyDescent="0.3">
      <c r="A529" s="775">
        <v>450</v>
      </c>
      <c r="B529" s="775">
        <f t="shared" ref="B529:B592" si="223">+ROUNDUP(A529/12,0)</f>
        <v>38</v>
      </c>
      <c r="C529" s="891">
        <f t="shared" ref="C529:E544" si="224">+C528</f>
        <v>0.14489675614077413</v>
      </c>
      <c r="D529" s="891"/>
      <c r="E529" s="891">
        <f t="shared" si="224"/>
        <v>0.03</v>
      </c>
      <c r="F529" s="891">
        <f t="shared" si="217"/>
        <v>0.03</v>
      </c>
      <c r="G529" s="893">
        <f t="shared" ref="G529:G592" si="225">+G528-H529-I529</f>
        <v>1.151056494563818E-8</v>
      </c>
      <c r="H529" s="436">
        <f t="shared" si="218"/>
        <v>0</v>
      </c>
      <c r="I529" s="302">
        <f t="shared" si="219"/>
        <v>0</v>
      </c>
      <c r="J529" s="301">
        <f t="shared" si="213"/>
        <v>2.9176084758041223E-11</v>
      </c>
      <c r="K529" s="301">
        <f t="shared" ref="K529:K592" si="226">+(H529+J529)+IF($B$15="nem",$B$58,IF(A529&lt;$B$16+1,$B$57,$B$58)+O529)+P529+I529</f>
        <v>2.9176084758041223E-11</v>
      </c>
      <c r="L529" s="10">
        <f t="shared" ref="L529:L592" si="227">H529+I529+J529</f>
        <v>2.9176084758041223E-11</v>
      </c>
      <c r="M529" s="302"/>
      <c r="N529" s="435">
        <f t="shared" ref="N529:N592" si="228">IF(A529&lt;=$B$10,PMT($F$7*365/360/12,$B$10,-$F$66)+O529+P529+$F$52)+IF($B$15="nem",$B$58,IF(A529&lt;$B$16+1,$B$57,$B$58))</f>
        <v>0</v>
      </c>
      <c r="O529" s="436">
        <f t="shared" si="220"/>
        <v>0</v>
      </c>
      <c r="P529" s="436">
        <f t="shared" ref="P529:P592" si="229">IF(A529&lt;=$B$10,IF($B$30="havi",$B$28,0)+IF($B$30="negyedéves",$B$28,0)+IF($B$30="féléves",$B$28,0)+IF($B$66="éves",$B$28,0),0)</f>
        <v>0</v>
      </c>
      <c r="R529" s="354">
        <f>+Hirdetmény!$AA$46</f>
        <v>0.13400000000000001</v>
      </c>
      <c r="S529" s="301">
        <f t="shared" ref="S529:S592" si="230">+S528-T529</f>
        <v>0</v>
      </c>
      <c r="T529" s="301">
        <f t="shared" si="221"/>
        <v>0</v>
      </c>
      <c r="U529" s="301">
        <f t="shared" ref="U529:U592" si="231">+S528*R529/360*(365/12)</f>
        <v>0</v>
      </c>
      <c r="V529" s="301">
        <f t="shared" ref="V529:V592" si="232">+T529+U529</f>
        <v>0</v>
      </c>
      <c r="W529" s="301">
        <f t="shared" ref="W529:W592" si="233">+V529+IF($B$15="nem",$B$58,IF(A529&lt;$B$16+1,$B$57,$B$58))+IF(A529&lt;=$B$10,$B$54+$F$52+P529,0)</f>
        <v>0</v>
      </c>
      <c r="AA529" s="12">
        <f>+paraméterek!$B$346</f>
        <v>6.4600000000000005E-2</v>
      </c>
      <c r="AB529" s="301">
        <f t="shared" ref="AB529:AB592" si="234">+AB528-AC529</f>
        <v>0</v>
      </c>
      <c r="AC529" s="301">
        <f t="shared" si="222"/>
        <v>0</v>
      </c>
      <c r="AD529" s="301">
        <f t="shared" ref="AD529:AD592" si="235">+AB528*AA529/360*(365/12)</f>
        <v>0</v>
      </c>
      <c r="AE529" s="301">
        <f t="shared" ref="AE529:AE592" si="236">+AC529+AD529</f>
        <v>0</v>
      </c>
      <c r="AF529" s="477">
        <f t="shared" ref="AF529:AF592" si="237">+AE529+IF($B$15="nem",$B$58,IF(A529&lt;$B$16+1,$B$57,$B$58)+IF(A529&lt;=$B$10,$B$54+$F$52+P529,0))</f>
        <v>0</v>
      </c>
    </row>
    <row r="530" spans="1:32" s="11" customFormat="1" hidden="1" x14ac:dyDescent="0.3">
      <c r="A530" s="775">
        <v>451</v>
      </c>
      <c r="B530" s="775">
        <f t="shared" si="223"/>
        <v>38</v>
      </c>
      <c r="C530" s="891">
        <f t="shared" si="224"/>
        <v>0.14489675614077413</v>
      </c>
      <c r="D530" s="891"/>
      <c r="E530" s="891">
        <f t="shared" si="224"/>
        <v>0.03</v>
      </c>
      <c r="F530" s="891">
        <f t="shared" si="217"/>
        <v>0.03</v>
      </c>
      <c r="G530" s="893">
        <f t="shared" si="225"/>
        <v>1.151056494563818E-8</v>
      </c>
      <c r="H530" s="436">
        <f t="shared" si="218"/>
        <v>0</v>
      </c>
      <c r="I530" s="302">
        <f t="shared" si="219"/>
        <v>0</v>
      </c>
      <c r="J530" s="301">
        <f t="shared" ref="J530:J593" si="238">+G529*F530/360*(365/12)</f>
        <v>2.9176084758041223E-11</v>
      </c>
      <c r="K530" s="301">
        <f t="shared" si="226"/>
        <v>2.9176084758041223E-11</v>
      </c>
      <c r="L530" s="10">
        <f t="shared" si="227"/>
        <v>2.9176084758041223E-11</v>
      </c>
      <c r="M530" s="302"/>
      <c r="N530" s="435">
        <f t="shared" si="228"/>
        <v>0</v>
      </c>
      <c r="O530" s="436">
        <f t="shared" si="220"/>
        <v>0</v>
      </c>
      <c r="P530" s="436">
        <f t="shared" si="229"/>
        <v>0</v>
      </c>
      <c r="R530" s="354">
        <f>+Hirdetmény!$AA$46</f>
        <v>0.13400000000000001</v>
      </c>
      <c r="S530" s="301">
        <f t="shared" si="230"/>
        <v>0</v>
      </c>
      <c r="T530" s="301">
        <f t="shared" si="221"/>
        <v>0</v>
      </c>
      <c r="U530" s="301">
        <f t="shared" si="231"/>
        <v>0</v>
      </c>
      <c r="V530" s="301">
        <f t="shared" si="232"/>
        <v>0</v>
      </c>
      <c r="W530" s="301">
        <f t="shared" si="233"/>
        <v>0</v>
      </c>
      <c r="AA530" s="12">
        <f>+paraméterek!$B$346</f>
        <v>6.4600000000000005E-2</v>
      </c>
      <c r="AB530" s="301">
        <f t="shared" si="234"/>
        <v>0</v>
      </c>
      <c r="AC530" s="301">
        <f t="shared" si="222"/>
        <v>0</v>
      </c>
      <c r="AD530" s="301">
        <f t="shared" si="235"/>
        <v>0</v>
      </c>
      <c r="AE530" s="301">
        <f t="shared" si="236"/>
        <v>0</v>
      </c>
      <c r="AF530" s="477">
        <f t="shared" si="237"/>
        <v>0</v>
      </c>
    </row>
    <row r="531" spans="1:32" s="11" customFormat="1" hidden="1" x14ac:dyDescent="0.3">
      <c r="A531" s="775">
        <v>452</v>
      </c>
      <c r="B531" s="775">
        <f t="shared" si="223"/>
        <v>38</v>
      </c>
      <c r="C531" s="891">
        <f t="shared" si="224"/>
        <v>0.14489675614077413</v>
      </c>
      <c r="D531" s="891"/>
      <c r="E531" s="891">
        <f t="shared" si="224"/>
        <v>0.03</v>
      </c>
      <c r="F531" s="891">
        <f t="shared" si="217"/>
        <v>0.03</v>
      </c>
      <c r="G531" s="893">
        <f t="shared" si="225"/>
        <v>1.151056494563818E-8</v>
      </c>
      <c r="H531" s="436">
        <f t="shared" si="218"/>
        <v>0</v>
      </c>
      <c r="I531" s="302">
        <f t="shared" si="219"/>
        <v>0</v>
      </c>
      <c r="J531" s="301">
        <f t="shared" si="238"/>
        <v>2.9176084758041223E-11</v>
      </c>
      <c r="K531" s="301">
        <f t="shared" si="226"/>
        <v>2.9176084758041223E-11</v>
      </c>
      <c r="L531" s="10">
        <f t="shared" si="227"/>
        <v>2.9176084758041223E-11</v>
      </c>
      <c r="M531" s="302"/>
      <c r="N531" s="435">
        <f t="shared" si="228"/>
        <v>0</v>
      </c>
      <c r="O531" s="436">
        <f t="shared" si="220"/>
        <v>0</v>
      </c>
      <c r="P531" s="436">
        <f t="shared" si="229"/>
        <v>0</v>
      </c>
      <c r="R531" s="354">
        <f>+Hirdetmény!$AA$46</f>
        <v>0.13400000000000001</v>
      </c>
      <c r="S531" s="301">
        <f t="shared" si="230"/>
        <v>0</v>
      </c>
      <c r="T531" s="301">
        <f t="shared" si="221"/>
        <v>0</v>
      </c>
      <c r="U531" s="301">
        <f t="shared" si="231"/>
        <v>0</v>
      </c>
      <c r="V531" s="301">
        <f t="shared" si="232"/>
        <v>0</v>
      </c>
      <c r="W531" s="301">
        <f t="shared" si="233"/>
        <v>0</v>
      </c>
      <c r="AA531" s="12">
        <f>+paraméterek!$B$346</f>
        <v>6.4600000000000005E-2</v>
      </c>
      <c r="AB531" s="301">
        <f t="shared" si="234"/>
        <v>0</v>
      </c>
      <c r="AC531" s="301">
        <f t="shared" si="222"/>
        <v>0</v>
      </c>
      <c r="AD531" s="301">
        <f t="shared" si="235"/>
        <v>0</v>
      </c>
      <c r="AE531" s="301">
        <f t="shared" si="236"/>
        <v>0</v>
      </c>
      <c r="AF531" s="477">
        <f t="shared" si="237"/>
        <v>0</v>
      </c>
    </row>
    <row r="532" spans="1:32" s="11" customFormat="1" hidden="1" x14ac:dyDescent="0.3">
      <c r="A532" s="775">
        <v>453</v>
      </c>
      <c r="B532" s="775">
        <f t="shared" si="223"/>
        <v>38</v>
      </c>
      <c r="C532" s="891">
        <f t="shared" si="224"/>
        <v>0.14489675614077413</v>
      </c>
      <c r="D532" s="891"/>
      <c r="E532" s="891">
        <f t="shared" si="224"/>
        <v>0.03</v>
      </c>
      <c r="F532" s="891">
        <f t="shared" si="217"/>
        <v>0.03</v>
      </c>
      <c r="G532" s="893">
        <f t="shared" si="225"/>
        <v>1.151056494563818E-8</v>
      </c>
      <c r="H532" s="436">
        <f t="shared" si="218"/>
        <v>0</v>
      </c>
      <c r="I532" s="302">
        <f t="shared" si="219"/>
        <v>0</v>
      </c>
      <c r="J532" s="301">
        <f t="shared" si="238"/>
        <v>2.9176084758041223E-11</v>
      </c>
      <c r="K532" s="301">
        <f t="shared" si="226"/>
        <v>2.9176084758041223E-11</v>
      </c>
      <c r="L532" s="10">
        <f t="shared" si="227"/>
        <v>2.9176084758041223E-11</v>
      </c>
      <c r="M532" s="302"/>
      <c r="N532" s="435">
        <f t="shared" si="228"/>
        <v>0</v>
      </c>
      <c r="O532" s="436">
        <f t="shared" si="220"/>
        <v>0</v>
      </c>
      <c r="P532" s="436">
        <f t="shared" si="229"/>
        <v>0</v>
      </c>
      <c r="R532" s="354">
        <f>+Hirdetmény!$AA$46</f>
        <v>0.13400000000000001</v>
      </c>
      <c r="S532" s="301">
        <f t="shared" si="230"/>
        <v>0</v>
      </c>
      <c r="T532" s="301">
        <f t="shared" si="221"/>
        <v>0</v>
      </c>
      <c r="U532" s="301">
        <f t="shared" si="231"/>
        <v>0</v>
      </c>
      <c r="V532" s="301">
        <f t="shared" si="232"/>
        <v>0</v>
      </c>
      <c r="W532" s="301">
        <f t="shared" si="233"/>
        <v>0</v>
      </c>
      <c r="AA532" s="12">
        <f>+paraméterek!$B$346</f>
        <v>6.4600000000000005E-2</v>
      </c>
      <c r="AB532" s="301">
        <f t="shared" si="234"/>
        <v>0</v>
      </c>
      <c r="AC532" s="301">
        <f t="shared" si="222"/>
        <v>0</v>
      </c>
      <c r="AD532" s="301">
        <f t="shared" si="235"/>
        <v>0</v>
      </c>
      <c r="AE532" s="301">
        <f t="shared" si="236"/>
        <v>0</v>
      </c>
      <c r="AF532" s="477">
        <f t="shared" si="237"/>
        <v>0</v>
      </c>
    </row>
    <row r="533" spans="1:32" s="11" customFormat="1" hidden="1" x14ac:dyDescent="0.3">
      <c r="A533" s="775">
        <v>454</v>
      </c>
      <c r="B533" s="775">
        <f t="shared" si="223"/>
        <v>38</v>
      </c>
      <c r="C533" s="891">
        <f t="shared" si="224"/>
        <v>0.14489675614077413</v>
      </c>
      <c r="D533" s="891"/>
      <c r="E533" s="891">
        <f t="shared" si="224"/>
        <v>0.03</v>
      </c>
      <c r="F533" s="891">
        <f t="shared" si="217"/>
        <v>0.03</v>
      </c>
      <c r="G533" s="893">
        <f t="shared" si="225"/>
        <v>1.151056494563818E-8</v>
      </c>
      <c r="H533" s="436">
        <f t="shared" si="218"/>
        <v>0</v>
      </c>
      <c r="I533" s="302">
        <f t="shared" si="219"/>
        <v>0</v>
      </c>
      <c r="J533" s="301">
        <f t="shared" si="238"/>
        <v>2.9176084758041223E-11</v>
      </c>
      <c r="K533" s="301">
        <f t="shared" si="226"/>
        <v>2.9176084758041223E-11</v>
      </c>
      <c r="L533" s="10">
        <f t="shared" si="227"/>
        <v>2.9176084758041223E-11</v>
      </c>
      <c r="M533" s="302"/>
      <c r="N533" s="435">
        <f t="shared" si="228"/>
        <v>0</v>
      </c>
      <c r="O533" s="436">
        <f t="shared" si="220"/>
        <v>0</v>
      </c>
      <c r="P533" s="436">
        <f t="shared" si="229"/>
        <v>0</v>
      </c>
      <c r="R533" s="354">
        <f>+Hirdetmény!$AA$46</f>
        <v>0.13400000000000001</v>
      </c>
      <c r="S533" s="301">
        <f t="shared" si="230"/>
        <v>0</v>
      </c>
      <c r="T533" s="301">
        <f t="shared" si="221"/>
        <v>0</v>
      </c>
      <c r="U533" s="301">
        <f t="shared" si="231"/>
        <v>0</v>
      </c>
      <c r="V533" s="301">
        <f t="shared" si="232"/>
        <v>0</v>
      </c>
      <c r="W533" s="301">
        <f t="shared" si="233"/>
        <v>0</v>
      </c>
      <c r="AA533" s="12">
        <f>+paraméterek!$B$346</f>
        <v>6.4600000000000005E-2</v>
      </c>
      <c r="AB533" s="301">
        <f t="shared" si="234"/>
        <v>0</v>
      </c>
      <c r="AC533" s="301">
        <f t="shared" si="222"/>
        <v>0</v>
      </c>
      <c r="AD533" s="301">
        <f t="shared" si="235"/>
        <v>0</v>
      </c>
      <c r="AE533" s="301">
        <f t="shared" si="236"/>
        <v>0</v>
      </c>
      <c r="AF533" s="477">
        <f t="shared" si="237"/>
        <v>0</v>
      </c>
    </row>
    <row r="534" spans="1:32" s="11" customFormat="1" hidden="1" x14ac:dyDescent="0.3">
      <c r="A534" s="775">
        <v>455</v>
      </c>
      <c r="B534" s="775">
        <f t="shared" si="223"/>
        <v>38</v>
      </c>
      <c r="C534" s="891">
        <f t="shared" si="224"/>
        <v>0.14489675614077413</v>
      </c>
      <c r="D534" s="891"/>
      <c r="E534" s="891">
        <f t="shared" si="224"/>
        <v>0.03</v>
      </c>
      <c r="F534" s="891">
        <f t="shared" si="217"/>
        <v>0.03</v>
      </c>
      <c r="G534" s="893">
        <f t="shared" si="225"/>
        <v>1.151056494563818E-8</v>
      </c>
      <c r="H534" s="436">
        <f t="shared" si="218"/>
        <v>0</v>
      </c>
      <c r="I534" s="302">
        <f t="shared" si="219"/>
        <v>0</v>
      </c>
      <c r="J534" s="301">
        <f t="shared" si="238"/>
        <v>2.9176084758041223E-11</v>
      </c>
      <c r="K534" s="301">
        <f t="shared" si="226"/>
        <v>2.9176084758041223E-11</v>
      </c>
      <c r="L534" s="10">
        <f t="shared" si="227"/>
        <v>2.9176084758041223E-11</v>
      </c>
      <c r="M534" s="302"/>
      <c r="N534" s="435">
        <f t="shared" si="228"/>
        <v>0</v>
      </c>
      <c r="O534" s="436">
        <f t="shared" si="220"/>
        <v>0</v>
      </c>
      <c r="P534" s="436">
        <f t="shared" si="229"/>
        <v>0</v>
      </c>
      <c r="R534" s="354">
        <f>+Hirdetmény!$AA$46</f>
        <v>0.13400000000000001</v>
      </c>
      <c r="S534" s="301">
        <f t="shared" si="230"/>
        <v>0</v>
      </c>
      <c r="T534" s="301">
        <f t="shared" si="221"/>
        <v>0</v>
      </c>
      <c r="U534" s="301">
        <f t="shared" si="231"/>
        <v>0</v>
      </c>
      <c r="V534" s="301">
        <f t="shared" si="232"/>
        <v>0</v>
      </c>
      <c r="W534" s="301">
        <f t="shared" si="233"/>
        <v>0</v>
      </c>
      <c r="AA534" s="12">
        <f>+paraméterek!$B$346</f>
        <v>6.4600000000000005E-2</v>
      </c>
      <c r="AB534" s="301">
        <f t="shared" si="234"/>
        <v>0</v>
      </c>
      <c r="AC534" s="301">
        <f t="shared" si="222"/>
        <v>0</v>
      </c>
      <c r="AD534" s="301">
        <f t="shared" si="235"/>
        <v>0</v>
      </c>
      <c r="AE534" s="301">
        <f t="shared" si="236"/>
        <v>0</v>
      </c>
      <c r="AF534" s="477">
        <f t="shared" si="237"/>
        <v>0</v>
      </c>
    </row>
    <row r="535" spans="1:32" s="11" customFormat="1" hidden="1" x14ac:dyDescent="0.3">
      <c r="A535" s="775">
        <v>456</v>
      </c>
      <c r="B535" s="775">
        <f t="shared" si="223"/>
        <v>38</v>
      </c>
      <c r="C535" s="891">
        <f t="shared" si="224"/>
        <v>0.14489675614077413</v>
      </c>
      <c r="D535" s="891"/>
      <c r="E535" s="891">
        <f t="shared" si="224"/>
        <v>0.03</v>
      </c>
      <c r="F535" s="891">
        <f t="shared" si="217"/>
        <v>0.03</v>
      </c>
      <c r="G535" s="893">
        <f t="shared" si="225"/>
        <v>1.151056494563818E-8</v>
      </c>
      <c r="H535" s="436">
        <f t="shared" si="218"/>
        <v>0</v>
      </c>
      <c r="I535" s="302">
        <f t="shared" si="219"/>
        <v>0</v>
      </c>
      <c r="J535" s="301">
        <f t="shared" si="238"/>
        <v>2.9176084758041223E-11</v>
      </c>
      <c r="K535" s="301">
        <f t="shared" si="226"/>
        <v>2.9176084758041223E-11</v>
      </c>
      <c r="L535" s="10">
        <f t="shared" si="227"/>
        <v>2.9176084758041223E-11</v>
      </c>
      <c r="M535" s="302"/>
      <c r="N535" s="435">
        <f t="shared" si="228"/>
        <v>0</v>
      </c>
      <c r="O535" s="436">
        <f t="shared" si="220"/>
        <v>0</v>
      </c>
      <c r="P535" s="436">
        <f t="shared" si="229"/>
        <v>0</v>
      </c>
      <c r="R535" s="354">
        <f>+Hirdetmény!$AA$46</f>
        <v>0.13400000000000001</v>
      </c>
      <c r="S535" s="301">
        <f t="shared" si="230"/>
        <v>0</v>
      </c>
      <c r="T535" s="301">
        <f t="shared" si="221"/>
        <v>0</v>
      </c>
      <c r="U535" s="301">
        <f t="shared" si="231"/>
        <v>0</v>
      </c>
      <c r="V535" s="301">
        <f t="shared" si="232"/>
        <v>0</v>
      </c>
      <c r="W535" s="301">
        <f t="shared" si="233"/>
        <v>0</v>
      </c>
      <c r="AA535" s="12">
        <f>+paraméterek!$B$346</f>
        <v>6.4600000000000005E-2</v>
      </c>
      <c r="AB535" s="301">
        <f t="shared" si="234"/>
        <v>0</v>
      </c>
      <c r="AC535" s="301">
        <f t="shared" si="222"/>
        <v>0</v>
      </c>
      <c r="AD535" s="301">
        <f t="shared" si="235"/>
        <v>0</v>
      </c>
      <c r="AE535" s="301">
        <f t="shared" si="236"/>
        <v>0</v>
      </c>
      <c r="AF535" s="477">
        <f t="shared" si="237"/>
        <v>0</v>
      </c>
    </row>
    <row r="536" spans="1:32" s="11" customFormat="1" hidden="1" x14ac:dyDescent="0.3">
      <c r="A536" s="775">
        <v>457</v>
      </c>
      <c r="B536" s="775">
        <f t="shared" si="223"/>
        <v>39</v>
      </c>
      <c r="C536" s="891">
        <f t="shared" si="224"/>
        <v>0.14489675614077413</v>
      </c>
      <c r="D536" s="891"/>
      <c r="E536" s="891">
        <f t="shared" si="224"/>
        <v>0.03</v>
      </c>
      <c r="F536" s="891">
        <f t="shared" si="217"/>
        <v>0.03</v>
      </c>
      <c r="G536" s="893">
        <f t="shared" si="225"/>
        <v>1.151056494563818E-8</v>
      </c>
      <c r="H536" s="436">
        <f t="shared" si="218"/>
        <v>0</v>
      </c>
      <c r="I536" s="302">
        <f t="shared" si="219"/>
        <v>0</v>
      </c>
      <c r="J536" s="301">
        <f t="shared" si="238"/>
        <v>2.9176084758041223E-11</v>
      </c>
      <c r="K536" s="301">
        <f t="shared" si="226"/>
        <v>2.9176084758041223E-11</v>
      </c>
      <c r="L536" s="10">
        <f t="shared" si="227"/>
        <v>2.9176084758041223E-11</v>
      </c>
      <c r="M536" s="302"/>
      <c r="N536" s="435">
        <f t="shared" si="228"/>
        <v>0</v>
      </c>
      <c r="O536" s="436">
        <f t="shared" si="220"/>
        <v>0</v>
      </c>
      <c r="P536" s="436">
        <f t="shared" si="229"/>
        <v>0</v>
      </c>
      <c r="R536" s="354">
        <f>+Hirdetmény!$AA$46</f>
        <v>0.13400000000000001</v>
      </c>
      <c r="S536" s="301">
        <f t="shared" si="230"/>
        <v>0</v>
      </c>
      <c r="T536" s="301">
        <f t="shared" si="221"/>
        <v>0</v>
      </c>
      <c r="U536" s="301">
        <f t="shared" si="231"/>
        <v>0</v>
      </c>
      <c r="V536" s="301">
        <f t="shared" si="232"/>
        <v>0</v>
      </c>
      <c r="W536" s="301">
        <f t="shared" si="233"/>
        <v>0</v>
      </c>
      <c r="AA536" s="12">
        <f>+paraméterek!$B$346</f>
        <v>6.4600000000000005E-2</v>
      </c>
      <c r="AB536" s="301">
        <f t="shared" si="234"/>
        <v>0</v>
      </c>
      <c r="AC536" s="301">
        <f t="shared" si="222"/>
        <v>0</v>
      </c>
      <c r="AD536" s="301">
        <f t="shared" si="235"/>
        <v>0</v>
      </c>
      <c r="AE536" s="301">
        <f t="shared" si="236"/>
        <v>0</v>
      </c>
      <c r="AF536" s="477">
        <f t="shared" si="237"/>
        <v>0</v>
      </c>
    </row>
    <row r="537" spans="1:32" s="11" customFormat="1" hidden="1" x14ac:dyDescent="0.3">
      <c r="A537" s="775">
        <v>458</v>
      </c>
      <c r="B537" s="775">
        <f t="shared" si="223"/>
        <v>39</v>
      </c>
      <c r="C537" s="891">
        <f t="shared" si="224"/>
        <v>0.14489675614077413</v>
      </c>
      <c r="D537" s="891"/>
      <c r="E537" s="891">
        <f t="shared" si="224"/>
        <v>0.03</v>
      </c>
      <c r="F537" s="891">
        <f t="shared" si="217"/>
        <v>0.03</v>
      </c>
      <c r="G537" s="893">
        <f t="shared" si="225"/>
        <v>1.151056494563818E-8</v>
      </c>
      <c r="H537" s="436">
        <f t="shared" si="218"/>
        <v>0</v>
      </c>
      <c r="I537" s="302">
        <f t="shared" si="219"/>
        <v>0</v>
      </c>
      <c r="J537" s="301">
        <f t="shared" si="238"/>
        <v>2.9176084758041223E-11</v>
      </c>
      <c r="K537" s="301">
        <f t="shared" si="226"/>
        <v>2.9176084758041223E-11</v>
      </c>
      <c r="L537" s="10">
        <f t="shared" si="227"/>
        <v>2.9176084758041223E-11</v>
      </c>
      <c r="M537" s="302"/>
      <c r="N537" s="435">
        <f t="shared" si="228"/>
        <v>0</v>
      </c>
      <c r="O537" s="436">
        <f t="shared" si="220"/>
        <v>0</v>
      </c>
      <c r="P537" s="436">
        <f t="shared" si="229"/>
        <v>0</v>
      </c>
      <c r="R537" s="354">
        <f>+Hirdetmény!$AA$46</f>
        <v>0.13400000000000001</v>
      </c>
      <c r="S537" s="301">
        <f t="shared" si="230"/>
        <v>0</v>
      </c>
      <c r="T537" s="301">
        <f t="shared" si="221"/>
        <v>0</v>
      </c>
      <c r="U537" s="301">
        <f t="shared" si="231"/>
        <v>0</v>
      </c>
      <c r="V537" s="301">
        <f t="shared" si="232"/>
        <v>0</v>
      </c>
      <c r="W537" s="301">
        <f t="shared" si="233"/>
        <v>0</v>
      </c>
      <c r="AA537" s="12">
        <f>+paraméterek!$B$346</f>
        <v>6.4600000000000005E-2</v>
      </c>
      <c r="AB537" s="301">
        <f t="shared" si="234"/>
        <v>0</v>
      </c>
      <c r="AC537" s="301">
        <f t="shared" si="222"/>
        <v>0</v>
      </c>
      <c r="AD537" s="301">
        <f t="shared" si="235"/>
        <v>0</v>
      </c>
      <c r="AE537" s="301">
        <f t="shared" si="236"/>
        <v>0</v>
      </c>
      <c r="AF537" s="477">
        <f t="shared" si="237"/>
        <v>0</v>
      </c>
    </row>
    <row r="538" spans="1:32" s="11" customFormat="1" hidden="1" x14ac:dyDescent="0.3">
      <c r="A538" s="775">
        <v>459</v>
      </c>
      <c r="B538" s="775">
        <f t="shared" si="223"/>
        <v>39</v>
      </c>
      <c r="C538" s="891">
        <f t="shared" si="224"/>
        <v>0.14489675614077413</v>
      </c>
      <c r="D538" s="891"/>
      <c r="E538" s="891">
        <f t="shared" si="224"/>
        <v>0.03</v>
      </c>
      <c r="F538" s="891">
        <f t="shared" si="217"/>
        <v>0.03</v>
      </c>
      <c r="G538" s="893">
        <f t="shared" si="225"/>
        <v>1.151056494563818E-8</v>
      </c>
      <c r="H538" s="436">
        <f t="shared" si="218"/>
        <v>0</v>
      </c>
      <c r="I538" s="302">
        <f t="shared" si="219"/>
        <v>0</v>
      </c>
      <c r="J538" s="301">
        <f t="shared" si="238"/>
        <v>2.9176084758041223E-11</v>
      </c>
      <c r="K538" s="301">
        <f t="shared" si="226"/>
        <v>2.9176084758041223E-11</v>
      </c>
      <c r="L538" s="10">
        <f t="shared" si="227"/>
        <v>2.9176084758041223E-11</v>
      </c>
      <c r="M538" s="302"/>
      <c r="N538" s="435">
        <f t="shared" si="228"/>
        <v>0</v>
      </c>
      <c r="O538" s="436">
        <f t="shared" si="220"/>
        <v>0</v>
      </c>
      <c r="P538" s="436">
        <f t="shared" si="229"/>
        <v>0</v>
      </c>
      <c r="R538" s="354">
        <f>+Hirdetmény!$AA$46</f>
        <v>0.13400000000000001</v>
      </c>
      <c r="S538" s="301">
        <f t="shared" si="230"/>
        <v>0</v>
      </c>
      <c r="T538" s="301">
        <f t="shared" si="221"/>
        <v>0</v>
      </c>
      <c r="U538" s="301">
        <f t="shared" si="231"/>
        <v>0</v>
      </c>
      <c r="V538" s="301">
        <f t="shared" si="232"/>
        <v>0</v>
      </c>
      <c r="W538" s="301">
        <f t="shared" si="233"/>
        <v>0</v>
      </c>
      <c r="AA538" s="12">
        <f>+paraméterek!$B$346</f>
        <v>6.4600000000000005E-2</v>
      </c>
      <c r="AB538" s="301">
        <f t="shared" si="234"/>
        <v>0</v>
      </c>
      <c r="AC538" s="301">
        <f t="shared" si="222"/>
        <v>0</v>
      </c>
      <c r="AD538" s="301">
        <f t="shared" si="235"/>
        <v>0</v>
      </c>
      <c r="AE538" s="301">
        <f t="shared" si="236"/>
        <v>0</v>
      </c>
      <c r="AF538" s="477">
        <f t="shared" si="237"/>
        <v>0</v>
      </c>
    </row>
    <row r="539" spans="1:32" s="11" customFormat="1" hidden="1" x14ac:dyDescent="0.3">
      <c r="A539" s="775">
        <v>460</v>
      </c>
      <c r="B539" s="775">
        <f t="shared" si="223"/>
        <v>39</v>
      </c>
      <c r="C539" s="891">
        <f t="shared" si="224"/>
        <v>0.14489675614077413</v>
      </c>
      <c r="D539" s="891"/>
      <c r="E539" s="891">
        <f t="shared" si="224"/>
        <v>0.03</v>
      </c>
      <c r="F539" s="891">
        <f t="shared" si="217"/>
        <v>0.03</v>
      </c>
      <c r="G539" s="893">
        <f t="shared" si="225"/>
        <v>1.151056494563818E-8</v>
      </c>
      <c r="H539" s="436">
        <f t="shared" si="218"/>
        <v>0</v>
      </c>
      <c r="I539" s="302">
        <f t="shared" si="219"/>
        <v>0</v>
      </c>
      <c r="J539" s="301">
        <f t="shared" si="238"/>
        <v>2.9176084758041223E-11</v>
      </c>
      <c r="K539" s="301">
        <f t="shared" si="226"/>
        <v>2.9176084758041223E-11</v>
      </c>
      <c r="L539" s="10">
        <f t="shared" si="227"/>
        <v>2.9176084758041223E-11</v>
      </c>
      <c r="M539" s="302"/>
      <c r="N539" s="435">
        <f t="shared" si="228"/>
        <v>0</v>
      </c>
      <c r="O539" s="436">
        <f t="shared" si="220"/>
        <v>0</v>
      </c>
      <c r="P539" s="436">
        <f t="shared" si="229"/>
        <v>0</v>
      </c>
      <c r="R539" s="354">
        <f>+Hirdetmény!$AA$46</f>
        <v>0.13400000000000001</v>
      </c>
      <c r="S539" s="301">
        <f t="shared" si="230"/>
        <v>0</v>
      </c>
      <c r="T539" s="301">
        <f t="shared" si="221"/>
        <v>0</v>
      </c>
      <c r="U539" s="301">
        <f t="shared" si="231"/>
        <v>0</v>
      </c>
      <c r="V539" s="301">
        <f t="shared" si="232"/>
        <v>0</v>
      </c>
      <c r="W539" s="301">
        <f t="shared" si="233"/>
        <v>0</v>
      </c>
      <c r="AA539" s="12">
        <f>+paraméterek!$B$346</f>
        <v>6.4600000000000005E-2</v>
      </c>
      <c r="AB539" s="301">
        <f t="shared" si="234"/>
        <v>0</v>
      </c>
      <c r="AC539" s="301">
        <f t="shared" si="222"/>
        <v>0</v>
      </c>
      <c r="AD539" s="301">
        <f t="shared" si="235"/>
        <v>0</v>
      </c>
      <c r="AE539" s="301">
        <f t="shared" si="236"/>
        <v>0</v>
      </c>
      <c r="AF539" s="477">
        <f t="shared" si="237"/>
        <v>0</v>
      </c>
    </row>
    <row r="540" spans="1:32" s="11" customFormat="1" hidden="1" x14ac:dyDescent="0.3">
      <c r="A540" s="775">
        <v>461</v>
      </c>
      <c r="B540" s="775">
        <f t="shared" si="223"/>
        <v>39</v>
      </c>
      <c r="C540" s="891">
        <f t="shared" si="224"/>
        <v>0.14489675614077413</v>
      </c>
      <c r="D540" s="891"/>
      <c r="E540" s="891">
        <f t="shared" si="224"/>
        <v>0.03</v>
      </c>
      <c r="F540" s="891">
        <f t="shared" si="217"/>
        <v>0.03</v>
      </c>
      <c r="G540" s="893">
        <f t="shared" si="225"/>
        <v>1.151056494563818E-8</v>
      </c>
      <c r="H540" s="436">
        <f t="shared" si="218"/>
        <v>0</v>
      </c>
      <c r="I540" s="302">
        <f t="shared" si="219"/>
        <v>0</v>
      </c>
      <c r="J540" s="301">
        <f t="shared" si="238"/>
        <v>2.9176084758041223E-11</v>
      </c>
      <c r="K540" s="301">
        <f t="shared" si="226"/>
        <v>2.9176084758041223E-11</v>
      </c>
      <c r="L540" s="10">
        <f t="shared" si="227"/>
        <v>2.9176084758041223E-11</v>
      </c>
      <c r="M540" s="302"/>
      <c r="N540" s="435">
        <f t="shared" si="228"/>
        <v>0</v>
      </c>
      <c r="O540" s="436">
        <f t="shared" si="220"/>
        <v>0</v>
      </c>
      <c r="P540" s="436">
        <f t="shared" si="229"/>
        <v>0</v>
      </c>
      <c r="R540" s="354">
        <f>+Hirdetmény!$AA$46</f>
        <v>0.13400000000000001</v>
      </c>
      <c r="S540" s="301">
        <f t="shared" si="230"/>
        <v>0</v>
      </c>
      <c r="T540" s="301">
        <f t="shared" si="221"/>
        <v>0</v>
      </c>
      <c r="U540" s="301">
        <f t="shared" si="231"/>
        <v>0</v>
      </c>
      <c r="V540" s="301">
        <f t="shared" si="232"/>
        <v>0</v>
      </c>
      <c r="W540" s="301">
        <f t="shared" si="233"/>
        <v>0</v>
      </c>
      <c r="AA540" s="12">
        <f>+paraméterek!$B$346</f>
        <v>6.4600000000000005E-2</v>
      </c>
      <c r="AB540" s="301">
        <f t="shared" si="234"/>
        <v>0</v>
      </c>
      <c r="AC540" s="301">
        <f t="shared" si="222"/>
        <v>0</v>
      </c>
      <c r="AD540" s="301">
        <f t="shared" si="235"/>
        <v>0</v>
      </c>
      <c r="AE540" s="301">
        <f t="shared" si="236"/>
        <v>0</v>
      </c>
      <c r="AF540" s="477">
        <f t="shared" si="237"/>
        <v>0</v>
      </c>
    </row>
    <row r="541" spans="1:32" s="11" customFormat="1" hidden="1" x14ac:dyDescent="0.3">
      <c r="A541" s="775">
        <v>462</v>
      </c>
      <c r="B541" s="775">
        <f t="shared" si="223"/>
        <v>39</v>
      </c>
      <c r="C541" s="891">
        <f t="shared" si="224"/>
        <v>0.14489675614077413</v>
      </c>
      <c r="D541" s="891"/>
      <c r="E541" s="891">
        <f t="shared" si="224"/>
        <v>0.03</v>
      </c>
      <c r="F541" s="891">
        <f t="shared" si="217"/>
        <v>0.03</v>
      </c>
      <c r="G541" s="893">
        <f t="shared" si="225"/>
        <v>1.151056494563818E-8</v>
      </c>
      <c r="H541" s="436">
        <f t="shared" si="218"/>
        <v>0</v>
      </c>
      <c r="I541" s="302">
        <f t="shared" si="219"/>
        <v>0</v>
      </c>
      <c r="J541" s="301">
        <f t="shared" si="238"/>
        <v>2.9176084758041223E-11</v>
      </c>
      <c r="K541" s="301">
        <f t="shared" si="226"/>
        <v>2.9176084758041223E-11</v>
      </c>
      <c r="L541" s="10">
        <f t="shared" si="227"/>
        <v>2.9176084758041223E-11</v>
      </c>
      <c r="M541" s="302"/>
      <c r="N541" s="435">
        <f t="shared" si="228"/>
        <v>0</v>
      </c>
      <c r="O541" s="436">
        <f t="shared" si="220"/>
        <v>0</v>
      </c>
      <c r="P541" s="436">
        <f t="shared" si="229"/>
        <v>0</v>
      </c>
      <c r="R541" s="354">
        <f>+Hirdetmény!$AA$46</f>
        <v>0.13400000000000001</v>
      </c>
      <c r="S541" s="301">
        <f t="shared" si="230"/>
        <v>0</v>
      </c>
      <c r="T541" s="301">
        <f t="shared" si="221"/>
        <v>0</v>
      </c>
      <c r="U541" s="301">
        <f t="shared" si="231"/>
        <v>0</v>
      </c>
      <c r="V541" s="301">
        <f t="shared" si="232"/>
        <v>0</v>
      </c>
      <c r="W541" s="301">
        <f t="shared" si="233"/>
        <v>0</v>
      </c>
      <c r="AA541" s="12">
        <f>+paraméterek!$B$346</f>
        <v>6.4600000000000005E-2</v>
      </c>
      <c r="AB541" s="301">
        <f t="shared" si="234"/>
        <v>0</v>
      </c>
      <c r="AC541" s="301">
        <f t="shared" si="222"/>
        <v>0</v>
      </c>
      <c r="AD541" s="301">
        <f t="shared" si="235"/>
        <v>0</v>
      </c>
      <c r="AE541" s="301">
        <f t="shared" si="236"/>
        <v>0</v>
      </c>
      <c r="AF541" s="477">
        <f t="shared" si="237"/>
        <v>0</v>
      </c>
    </row>
    <row r="542" spans="1:32" s="11" customFormat="1" hidden="1" x14ac:dyDescent="0.3">
      <c r="A542" s="775">
        <v>463</v>
      </c>
      <c r="B542" s="775">
        <f t="shared" si="223"/>
        <v>39</v>
      </c>
      <c r="C542" s="891">
        <f t="shared" si="224"/>
        <v>0.14489675614077413</v>
      </c>
      <c r="D542" s="891"/>
      <c r="E542" s="891">
        <f t="shared" si="224"/>
        <v>0.03</v>
      </c>
      <c r="F542" s="891">
        <f t="shared" si="217"/>
        <v>0.03</v>
      </c>
      <c r="G542" s="893">
        <f t="shared" si="225"/>
        <v>1.151056494563818E-8</v>
      </c>
      <c r="H542" s="436">
        <f t="shared" si="218"/>
        <v>0</v>
      </c>
      <c r="I542" s="302">
        <f t="shared" si="219"/>
        <v>0</v>
      </c>
      <c r="J542" s="301">
        <f t="shared" si="238"/>
        <v>2.9176084758041223E-11</v>
      </c>
      <c r="K542" s="301">
        <f t="shared" si="226"/>
        <v>2.9176084758041223E-11</v>
      </c>
      <c r="L542" s="10">
        <f t="shared" si="227"/>
        <v>2.9176084758041223E-11</v>
      </c>
      <c r="M542" s="302"/>
      <c r="N542" s="435">
        <f t="shared" si="228"/>
        <v>0</v>
      </c>
      <c r="O542" s="436">
        <f t="shared" si="220"/>
        <v>0</v>
      </c>
      <c r="P542" s="436">
        <f t="shared" si="229"/>
        <v>0</v>
      </c>
      <c r="R542" s="354">
        <f>+Hirdetmény!$AA$46</f>
        <v>0.13400000000000001</v>
      </c>
      <c r="S542" s="301">
        <f t="shared" si="230"/>
        <v>0</v>
      </c>
      <c r="T542" s="301">
        <f t="shared" si="221"/>
        <v>0</v>
      </c>
      <c r="U542" s="301">
        <f t="shared" si="231"/>
        <v>0</v>
      </c>
      <c r="V542" s="301">
        <f t="shared" si="232"/>
        <v>0</v>
      </c>
      <c r="W542" s="301">
        <f t="shared" si="233"/>
        <v>0</v>
      </c>
      <c r="AA542" s="12">
        <f>+paraméterek!$B$346</f>
        <v>6.4600000000000005E-2</v>
      </c>
      <c r="AB542" s="301">
        <f t="shared" si="234"/>
        <v>0</v>
      </c>
      <c r="AC542" s="301">
        <f t="shared" si="222"/>
        <v>0</v>
      </c>
      <c r="AD542" s="301">
        <f t="shared" si="235"/>
        <v>0</v>
      </c>
      <c r="AE542" s="301">
        <f t="shared" si="236"/>
        <v>0</v>
      </c>
      <c r="AF542" s="477">
        <f t="shared" si="237"/>
        <v>0</v>
      </c>
    </row>
    <row r="543" spans="1:32" s="11" customFormat="1" hidden="1" x14ac:dyDescent="0.3">
      <c r="A543" s="775">
        <v>464</v>
      </c>
      <c r="B543" s="775">
        <f t="shared" si="223"/>
        <v>39</v>
      </c>
      <c r="C543" s="891">
        <f t="shared" si="224"/>
        <v>0.14489675614077413</v>
      </c>
      <c r="D543" s="891"/>
      <c r="E543" s="891">
        <f t="shared" si="224"/>
        <v>0.03</v>
      </c>
      <c r="F543" s="891">
        <f t="shared" si="217"/>
        <v>0.03</v>
      </c>
      <c r="G543" s="893">
        <f t="shared" si="225"/>
        <v>1.151056494563818E-8</v>
      </c>
      <c r="H543" s="436">
        <f t="shared" si="218"/>
        <v>0</v>
      </c>
      <c r="I543" s="302">
        <f t="shared" si="219"/>
        <v>0</v>
      </c>
      <c r="J543" s="301">
        <f t="shared" si="238"/>
        <v>2.9176084758041223E-11</v>
      </c>
      <c r="K543" s="301">
        <f t="shared" si="226"/>
        <v>2.9176084758041223E-11</v>
      </c>
      <c r="L543" s="10">
        <f t="shared" si="227"/>
        <v>2.9176084758041223E-11</v>
      </c>
      <c r="M543" s="302"/>
      <c r="N543" s="435">
        <f t="shared" si="228"/>
        <v>0</v>
      </c>
      <c r="O543" s="436">
        <f t="shared" si="220"/>
        <v>0</v>
      </c>
      <c r="P543" s="436">
        <f t="shared" si="229"/>
        <v>0</v>
      </c>
      <c r="R543" s="354">
        <f>+Hirdetmény!$AA$46</f>
        <v>0.13400000000000001</v>
      </c>
      <c r="S543" s="301">
        <f t="shared" si="230"/>
        <v>0</v>
      </c>
      <c r="T543" s="301">
        <f t="shared" si="221"/>
        <v>0</v>
      </c>
      <c r="U543" s="301">
        <f t="shared" si="231"/>
        <v>0</v>
      </c>
      <c r="V543" s="301">
        <f t="shared" si="232"/>
        <v>0</v>
      </c>
      <c r="W543" s="301">
        <f t="shared" si="233"/>
        <v>0</v>
      </c>
      <c r="AA543" s="12">
        <f>+paraméterek!$B$346</f>
        <v>6.4600000000000005E-2</v>
      </c>
      <c r="AB543" s="301">
        <f t="shared" si="234"/>
        <v>0</v>
      </c>
      <c r="AC543" s="301">
        <f t="shared" si="222"/>
        <v>0</v>
      </c>
      <c r="AD543" s="301">
        <f t="shared" si="235"/>
        <v>0</v>
      </c>
      <c r="AE543" s="301">
        <f t="shared" si="236"/>
        <v>0</v>
      </c>
      <c r="AF543" s="477">
        <f t="shared" si="237"/>
        <v>0</v>
      </c>
    </row>
    <row r="544" spans="1:32" s="11" customFormat="1" hidden="1" x14ac:dyDescent="0.3">
      <c r="A544" s="775">
        <v>465</v>
      </c>
      <c r="B544" s="775">
        <f t="shared" si="223"/>
        <v>39</v>
      </c>
      <c r="C544" s="891">
        <f t="shared" si="224"/>
        <v>0.14489675614077413</v>
      </c>
      <c r="D544" s="891"/>
      <c r="E544" s="891">
        <f t="shared" si="224"/>
        <v>0.03</v>
      </c>
      <c r="F544" s="891">
        <f t="shared" si="217"/>
        <v>0.03</v>
      </c>
      <c r="G544" s="893">
        <f t="shared" si="225"/>
        <v>1.151056494563818E-8</v>
      </c>
      <c r="H544" s="436">
        <f t="shared" si="218"/>
        <v>0</v>
      </c>
      <c r="I544" s="302">
        <f t="shared" si="219"/>
        <v>0</v>
      </c>
      <c r="J544" s="301">
        <f t="shared" si="238"/>
        <v>2.9176084758041223E-11</v>
      </c>
      <c r="K544" s="301">
        <f t="shared" si="226"/>
        <v>2.9176084758041223E-11</v>
      </c>
      <c r="L544" s="10">
        <f t="shared" si="227"/>
        <v>2.9176084758041223E-11</v>
      </c>
      <c r="M544" s="302"/>
      <c r="N544" s="435">
        <f t="shared" si="228"/>
        <v>0</v>
      </c>
      <c r="O544" s="436">
        <f t="shared" si="220"/>
        <v>0</v>
      </c>
      <c r="P544" s="436">
        <f t="shared" si="229"/>
        <v>0</v>
      </c>
      <c r="R544" s="354">
        <f>+Hirdetmény!$AA$46</f>
        <v>0.13400000000000001</v>
      </c>
      <c r="S544" s="301">
        <f t="shared" si="230"/>
        <v>0</v>
      </c>
      <c r="T544" s="301">
        <f t="shared" si="221"/>
        <v>0</v>
      </c>
      <c r="U544" s="301">
        <f t="shared" si="231"/>
        <v>0</v>
      </c>
      <c r="V544" s="301">
        <f t="shared" si="232"/>
        <v>0</v>
      </c>
      <c r="W544" s="301">
        <f t="shared" si="233"/>
        <v>0</v>
      </c>
      <c r="AA544" s="12">
        <f>+paraméterek!$B$346</f>
        <v>6.4600000000000005E-2</v>
      </c>
      <c r="AB544" s="301">
        <f t="shared" si="234"/>
        <v>0</v>
      </c>
      <c r="AC544" s="301">
        <f t="shared" si="222"/>
        <v>0</v>
      </c>
      <c r="AD544" s="301">
        <f t="shared" si="235"/>
        <v>0</v>
      </c>
      <c r="AE544" s="301">
        <f t="shared" si="236"/>
        <v>0</v>
      </c>
      <c r="AF544" s="477">
        <f t="shared" si="237"/>
        <v>0</v>
      </c>
    </row>
    <row r="545" spans="1:32" s="11" customFormat="1" hidden="1" x14ac:dyDescent="0.3">
      <c r="A545" s="775">
        <v>466</v>
      </c>
      <c r="B545" s="775">
        <f t="shared" si="223"/>
        <v>39</v>
      </c>
      <c r="C545" s="891">
        <f t="shared" ref="C545:E560" si="239">+C544</f>
        <v>0.14489675614077413</v>
      </c>
      <c r="D545" s="891"/>
      <c r="E545" s="891">
        <f t="shared" si="239"/>
        <v>0.03</v>
      </c>
      <c r="F545" s="891">
        <f t="shared" si="217"/>
        <v>0.03</v>
      </c>
      <c r="G545" s="893">
        <f t="shared" si="225"/>
        <v>1.151056494563818E-8</v>
      </c>
      <c r="H545" s="436">
        <f t="shared" si="218"/>
        <v>0</v>
      </c>
      <c r="I545" s="302">
        <f t="shared" si="219"/>
        <v>0</v>
      </c>
      <c r="J545" s="301">
        <f t="shared" si="238"/>
        <v>2.9176084758041223E-11</v>
      </c>
      <c r="K545" s="301">
        <f t="shared" si="226"/>
        <v>2.9176084758041223E-11</v>
      </c>
      <c r="L545" s="10">
        <f t="shared" si="227"/>
        <v>2.9176084758041223E-11</v>
      </c>
      <c r="M545" s="302"/>
      <c r="N545" s="435">
        <f t="shared" si="228"/>
        <v>0</v>
      </c>
      <c r="O545" s="436">
        <f t="shared" si="220"/>
        <v>0</v>
      </c>
      <c r="P545" s="436">
        <f t="shared" si="229"/>
        <v>0</v>
      </c>
      <c r="R545" s="354">
        <f>+Hirdetmény!$AA$46</f>
        <v>0.13400000000000001</v>
      </c>
      <c r="S545" s="301">
        <f t="shared" si="230"/>
        <v>0</v>
      </c>
      <c r="T545" s="301">
        <f t="shared" si="221"/>
        <v>0</v>
      </c>
      <c r="U545" s="301">
        <f t="shared" si="231"/>
        <v>0</v>
      </c>
      <c r="V545" s="301">
        <f t="shared" si="232"/>
        <v>0</v>
      </c>
      <c r="W545" s="301">
        <f t="shared" si="233"/>
        <v>0</v>
      </c>
      <c r="AA545" s="12">
        <f>+paraméterek!$B$346</f>
        <v>6.4600000000000005E-2</v>
      </c>
      <c r="AB545" s="301">
        <f t="shared" si="234"/>
        <v>0</v>
      </c>
      <c r="AC545" s="301">
        <f t="shared" si="222"/>
        <v>0</v>
      </c>
      <c r="AD545" s="301">
        <f t="shared" si="235"/>
        <v>0</v>
      </c>
      <c r="AE545" s="301">
        <f t="shared" si="236"/>
        <v>0</v>
      </c>
      <c r="AF545" s="477">
        <f t="shared" si="237"/>
        <v>0</v>
      </c>
    </row>
    <row r="546" spans="1:32" s="11" customFormat="1" hidden="1" x14ac:dyDescent="0.3">
      <c r="A546" s="775">
        <v>467</v>
      </c>
      <c r="B546" s="775">
        <f t="shared" si="223"/>
        <v>39</v>
      </c>
      <c r="C546" s="891">
        <f t="shared" si="239"/>
        <v>0.14489675614077413</v>
      </c>
      <c r="D546" s="891"/>
      <c r="E546" s="891">
        <f t="shared" si="239"/>
        <v>0.03</v>
      </c>
      <c r="F546" s="891">
        <f t="shared" si="217"/>
        <v>0.03</v>
      </c>
      <c r="G546" s="893">
        <f t="shared" si="225"/>
        <v>1.151056494563818E-8</v>
      </c>
      <c r="H546" s="436">
        <f t="shared" si="218"/>
        <v>0</v>
      </c>
      <c r="I546" s="302">
        <f t="shared" si="219"/>
        <v>0</v>
      </c>
      <c r="J546" s="301">
        <f t="shared" si="238"/>
        <v>2.9176084758041223E-11</v>
      </c>
      <c r="K546" s="301">
        <f t="shared" si="226"/>
        <v>2.9176084758041223E-11</v>
      </c>
      <c r="L546" s="10">
        <f t="shared" si="227"/>
        <v>2.9176084758041223E-11</v>
      </c>
      <c r="M546" s="302"/>
      <c r="N546" s="435">
        <f t="shared" si="228"/>
        <v>0</v>
      </c>
      <c r="O546" s="436">
        <f t="shared" si="220"/>
        <v>0</v>
      </c>
      <c r="P546" s="436">
        <f t="shared" si="229"/>
        <v>0</v>
      </c>
      <c r="R546" s="354">
        <f>+Hirdetmény!$AA$46</f>
        <v>0.13400000000000001</v>
      </c>
      <c r="S546" s="301">
        <f t="shared" si="230"/>
        <v>0</v>
      </c>
      <c r="T546" s="301">
        <f t="shared" si="221"/>
        <v>0</v>
      </c>
      <c r="U546" s="301">
        <f t="shared" si="231"/>
        <v>0</v>
      </c>
      <c r="V546" s="301">
        <f t="shared" si="232"/>
        <v>0</v>
      </c>
      <c r="W546" s="301">
        <f t="shared" si="233"/>
        <v>0</v>
      </c>
      <c r="AA546" s="12">
        <f>+paraméterek!$B$346</f>
        <v>6.4600000000000005E-2</v>
      </c>
      <c r="AB546" s="301">
        <f t="shared" si="234"/>
        <v>0</v>
      </c>
      <c r="AC546" s="301">
        <f t="shared" si="222"/>
        <v>0</v>
      </c>
      <c r="AD546" s="301">
        <f t="shared" si="235"/>
        <v>0</v>
      </c>
      <c r="AE546" s="301">
        <f t="shared" si="236"/>
        <v>0</v>
      </c>
      <c r="AF546" s="477">
        <f t="shared" si="237"/>
        <v>0</v>
      </c>
    </row>
    <row r="547" spans="1:32" s="11" customFormat="1" hidden="1" x14ac:dyDescent="0.3">
      <c r="A547" s="775">
        <v>468</v>
      </c>
      <c r="B547" s="775">
        <f t="shared" si="223"/>
        <v>39</v>
      </c>
      <c r="C547" s="891">
        <f t="shared" si="239"/>
        <v>0.14489675614077413</v>
      </c>
      <c r="D547" s="891"/>
      <c r="E547" s="891">
        <f t="shared" si="239"/>
        <v>0.03</v>
      </c>
      <c r="F547" s="891">
        <f t="shared" si="217"/>
        <v>0.03</v>
      </c>
      <c r="G547" s="893">
        <f t="shared" si="225"/>
        <v>1.151056494563818E-8</v>
      </c>
      <c r="H547" s="436">
        <f t="shared" si="218"/>
        <v>0</v>
      </c>
      <c r="I547" s="302">
        <f t="shared" si="219"/>
        <v>0</v>
      </c>
      <c r="J547" s="301">
        <f t="shared" si="238"/>
        <v>2.9176084758041223E-11</v>
      </c>
      <c r="K547" s="301">
        <f t="shared" si="226"/>
        <v>2.9176084758041223E-11</v>
      </c>
      <c r="L547" s="10">
        <f t="shared" si="227"/>
        <v>2.9176084758041223E-11</v>
      </c>
      <c r="M547" s="302"/>
      <c r="N547" s="435">
        <f t="shared" si="228"/>
        <v>0</v>
      </c>
      <c r="O547" s="436">
        <f t="shared" si="220"/>
        <v>0</v>
      </c>
      <c r="P547" s="436">
        <f t="shared" si="229"/>
        <v>0</v>
      </c>
      <c r="R547" s="354">
        <f>+Hirdetmény!$AA$46</f>
        <v>0.13400000000000001</v>
      </c>
      <c r="S547" s="301">
        <f t="shared" si="230"/>
        <v>0</v>
      </c>
      <c r="T547" s="301">
        <f t="shared" si="221"/>
        <v>0</v>
      </c>
      <c r="U547" s="301">
        <f t="shared" si="231"/>
        <v>0</v>
      </c>
      <c r="V547" s="301">
        <f t="shared" si="232"/>
        <v>0</v>
      </c>
      <c r="W547" s="301">
        <f t="shared" si="233"/>
        <v>0</v>
      </c>
      <c r="AA547" s="12">
        <f>+paraméterek!$B$346</f>
        <v>6.4600000000000005E-2</v>
      </c>
      <c r="AB547" s="301">
        <f t="shared" si="234"/>
        <v>0</v>
      </c>
      <c r="AC547" s="301">
        <f t="shared" si="222"/>
        <v>0</v>
      </c>
      <c r="AD547" s="301">
        <f t="shared" si="235"/>
        <v>0</v>
      </c>
      <c r="AE547" s="301">
        <f t="shared" si="236"/>
        <v>0</v>
      </c>
      <c r="AF547" s="477">
        <f t="shared" si="237"/>
        <v>0</v>
      </c>
    </row>
    <row r="548" spans="1:32" s="11" customFormat="1" hidden="1" x14ac:dyDescent="0.3">
      <c r="A548" s="775">
        <v>469</v>
      </c>
      <c r="B548" s="775">
        <f t="shared" si="223"/>
        <v>40</v>
      </c>
      <c r="C548" s="891">
        <f t="shared" si="239"/>
        <v>0.14489675614077413</v>
      </c>
      <c r="D548" s="891"/>
      <c r="E548" s="891">
        <f t="shared" si="239"/>
        <v>0.03</v>
      </c>
      <c r="F548" s="891">
        <f t="shared" si="217"/>
        <v>0.03</v>
      </c>
      <c r="G548" s="893">
        <f t="shared" si="225"/>
        <v>1.151056494563818E-8</v>
      </c>
      <c r="H548" s="436">
        <f t="shared" si="218"/>
        <v>0</v>
      </c>
      <c r="I548" s="302">
        <f t="shared" si="219"/>
        <v>0</v>
      </c>
      <c r="J548" s="301">
        <f t="shared" si="238"/>
        <v>2.9176084758041223E-11</v>
      </c>
      <c r="K548" s="301">
        <f t="shared" si="226"/>
        <v>2.9176084758041223E-11</v>
      </c>
      <c r="L548" s="10">
        <f t="shared" si="227"/>
        <v>2.9176084758041223E-11</v>
      </c>
      <c r="M548" s="302"/>
      <c r="N548" s="435">
        <f t="shared" si="228"/>
        <v>0</v>
      </c>
      <c r="O548" s="436">
        <f t="shared" si="220"/>
        <v>0</v>
      </c>
      <c r="P548" s="436">
        <f t="shared" si="229"/>
        <v>0</v>
      </c>
      <c r="R548" s="354">
        <f>+Hirdetmény!$AA$46</f>
        <v>0.13400000000000001</v>
      </c>
      <c r="S548" s="301">
        <f t="shared" si="230"/>
        <v>0</v>
      </c>
      <c r="T548" s="301">
        <f t="shared" si="221"/>
        <v>0</v>
      </c>
      <c r="U548" s="301">
        <f t="shared" si="231"/>
        <v>0</v>
      </c>
      <c r="V548" s="301">
        <f t="shared" si="232"/>
        <v>0</v>
      </c>
      <c r="W548" s="301">
        <f t="shared" si="233"/>
        <v>0</v>
      </c>
      <c r="AA548" s="12">
        <f>+paraméterek!$B$346</f>
        <v>6.4600000000000005E-2</v>
      </c>
      <c r="AB548" s="301">
        <f t="shared" si="234"/>
        <v>0</v>
      </c>
      <c r="AC548" s="301">
        <f t="shared" si="222"/>
        <v>0</v>
      </c>
      <c r="AD548" s="301">
        <f t="shared" si="235"/>
        <v>0</v>
      </c>
      <c r="AE548" s="301">
        <f t="shared" si="236"/>
        <v>0</v>
      </c>
      <c r="AF548" s="477">
        <f t="shared" si="237"/>
        <v>0</v>
      </c>
    </row>
    <row r="549" spans="1:32" s="11" customFormat="1" hidden="1" x14ac:dyDescent="0.3">
      <c r="A549" s="775">
        <v>470</v>
      </c>
      <c r="B549" s="775">
        <f t="shared" si="223"/>
        <v>40</v>
      </c>
      <c r="C549" s="891">
        <f t="shared" si="239"/>
        <v>0.14489675614077413</v>
      </c>
      <c r="D549" s="891"/>
      <c r="E549" s="891">
        <f t="shared" si="239"/>
        <v>0.03</v>
      </c>
      <c r="F549" s="891">
        <f t="shared" si="217"/>
        <v>0.03</v>
      </c>
      <c r="G549" s="893">
        <f t="shared" si="225"/>
        <v>1.151056494563818E-8</v>
      </c>
      <c r="H549" s="436">
        <f t="shared" si="218"/>
        <v>0</v>
      </c>
      <c r="I549" s="302">
        <f t="shared" si="219"/>
        <v>0</v>
      </c>
      <c r="J549" s="301">
        <f t="shared" si="238"/>
        <v>2.9176084758041223E-11</v>
      </c>
      <c r="K549" s="301">
        <f t="shared" si="226"/>
        <v>2.9176084758041223E-11</v>
      </c>
      <c r="L549" s="10">
        <f t="shared" si="227"/>
        <v>2.9176084758041223E-11</v>
      </c>
      <c r="M549" s="302"/>
      <c r="N549" s="435">
        <f t="shared" si="228"/>
        <v>0</v>
      </c>
      <c r="O549" s="436">
        <f t="shared" si="220"/>
        <v>0</v>
      </c>
      <c r="P549" s="436">
        <f t="shared" si="229"/>
        <v>0</v>
      </c>
      <c r="R549" s="354">
        <f>+Hirdetmény!$AA$46</f>
        <v>0.13400000000000001</v>
      </c>
      <c r="S549" s="301">
        <f t="shared" si="230"/>
        <v>0</v>
      </c>
      <c r="T549" s="301">
        <f t="shared" si="221"/>
        <v>0</v>
      </c>
      <c r="U549" s="301">
        <f t="shared" si="231"/>
        <v>0</v>
      </c>
      <c r="V549" s="301">
        <f t="shared" si="232"/>
        <v>0</v>
      </c>
      <c r="W549" s="301">
        <f t="shared" si="233"/>
        <v>0</v>
      </c>
      <c r="AA549" s="12">
        <f>+paraméterek!$B$346</f>
        <v>6.4600000000000005E-2</v>
      </c>
      <c r="AB549" s="301">
        <f t="shared" si="234"/>
        <v>0</v>
      </c>
      <c r="AC549" s="301">
        <f t="shared" si="222"/>
        <v>0</v>
      </c>
      <c r="AD549" s="301">
        <f t="shared" si="235"/>
        <v>0</v>
      </c>
      <c r="AE549" s="301">
        <f t="shared" si="236"/>
        <v>0</v>
      </c>
      <c r="AF549" s="477">
        <f t="shared" si="237"/>
        <v>0</v>
      </c>
    </row>
    <row r="550" spans="1:32" s="11" customFormat="1" hidden="1" x14ac:dyDescent="0.3">
      <c r="A550" s="775">
        <v>471</v>
      </c>
      <c r="B550" s="775">
        <f t="shared" si="223"/>
        <v>40</v>
      </c>
      <c r="C550" s="891">
        <f t="shared" si="239"/>
        <v>0.14489675614077413</v>
      </c>
      <c r="D550" s="891"/>
      <c r="E550" s="891">
        <f t="shared" si="239"/>
        <v>0.03</v>
      </c>
      <c r="F550" s="891">
        <f t="shared" si="217"/>
        <v>0.03</v>
      </c>
      <c r="G550" s="893">
        <f t="shared" si="225"/>
        <v>1.151056494563818E-8</v>
      </c>
      <c r="H550" s="436">
        <f t="shared" si="218"/>
        <v>0</v>
      </c>
      <c r="I550" s="302">
        <f t="shared" si="219"/>
        <v>0</v>
      </c>
      <c r="J550" s="301">
        <f t="shared" si="238"/>
        <v>2.9176084758041223E-11</v>
      </c>
      <c r="K550" s="301">
        <f t="shared" si="226"/>
        <v>2.9176084758041223E-11</v>
      </c>
      <c r="L550" s="10">
        <f t="shared" si="227"/>
        <v>2.9176084758041223E-11</v>
      </c>
      <c r="M550" s="302"/>
      <c r="N550" s="435">
        <f t="shared" si="228"/>
        <v>0</v>
      </c>
      <c r="O550" s="436">
        <f t="shared" si="220"/>
        <v>0</v>
      </c>
      <c r="P550" s="436">
        <f t="shared" si="229"/>
        <v>0</v>
      </c>
      <c r="R550" s="354">
        <f>+Hirdetmény!$AA$46</f>
        <v>0.13400000000000001</v>
      </c>
      <c r="S550" s="301">
        <f t="shared" si="230"/>
        <v>0</v>
      </c>
      <c r="T550" s="301">
        <f t="shared" si="221"/>
        <v>0</v>
      </c>
      <c r="U550" s="301">
        <f t="shared" si="231"/>
        <v>0</v>
      </c>
      <c r="V550" s="301">
        <f t="shared" si="232"/>
        <v>0</v>
      </c>
      <c r="W550" s="301">
        <f t="shared" si="233"/>
        <v>0</v>
      </c>
      <c r="AA550" s="12">
        <f>+paraméterek!$B$346</f>
        <v>6.4600000000000005E-2</v>
      </c>
      <c r="AB550" s="301">
        <f t="shared" si="234"/>
        <v>0</v>
      </c>
      <c r="AC550" s="301">
        <f t="shared" si="222"/>
        <v>0</v>
      </c>
      <c r="AD550" s="301">
        <f t="shared" si="235"/>
        <v>0</v>
      </c>
      <c r="AE550" s="301">
        <f t="shared" si="236"/>
        <v>0</v>
      </c>
      <c r="AF550" s="477">
        <f t="shared" si="237"/>
        <v>0</v>
      </c>
    </row>
    <row r="551" spans="1:32" s="11" customFormat="1" hidden="1" x14ac:dyDescent="0.3">
      <c r="A551" s="775">
        <v>472</v>
      </c>
      <c r="B551" s="775">
        <f t="shared" si="223"/>
        <v>40</v>
      </c>
      <c r="C551" s="891">
        <f t="shared" si="239"/>
        <v>0.14489675614077413</v>
      </c>
      <c r="D551" s="891"/>
      <c r="E551" s="891">
        <f t="shared" si="239"/>
        <v>0.03</v>
      </c>
      <c r="F551" s="891">
        <f t="shared" si="217"/>
        <v>0.03</v>
      </c>
      <c r="G551" s="893">
        <f t="shared" si="225"/>
        <v>1.151056494563818E-8</v>
      </c>
      <c r="H551" s="436">
        <f t="shared" si="218"/>
        <v>0</v>
      </c>
      <c r="I551" s="302">
        <f t="shared" si="219"/>
        <v>0</v>
      </c>
      <c r="J551" s="301">
        <f t="shared" si="238"/>
        <v>2.9176084758041223E-11</v>
      </c>
      <c r="K551" s="301">
        <f t="shared" si="226"/>
        <v>2.9176084758041223E-11</v>
      </c>
      <c r="L551" s="10">
        <f t="shared" si="227"/>
        <v>2.9176084758041223E-11</v>
      </c>
      <c r="M551" s="302"/>
      <c r="N551" s="435">
        <f t="shared" si="228"/>
        <v>0</v>
      </c>
      <c r="O551" s="436">
        <f t="shared" si="220"/>
        <v>0</v>
      </c>
      <c r="P551" s="436">
        <f t="shared" si="229"/>
        <v>0</v>
      </c>
      <c r="R551" s="354">
        <f>+Hirdetmény!$AA$46</f>
        <v>0.13400000000000001</v>
      </c>
      <c r="S551" s="301">
        <f t="shared" si="230"/>
        <v>0</v>
      </c>
      <c r="T551" s="301">
        <f t="shared" si="221"/>
        <v>0</v>
      </c>
      <c r="U551" s="301">
        <f t="shared" si="231"/>
        <v>0</v>
      </c>
      <c r="V551" s="301">
        <f t="shared" si="232"/>
        <v>0</v>
      </c>
      <c r="W551" s="301">
        <f t="shared" si="233"/>
        <v>0</v>
      </c>
      <c r="AA551" s="12">
        <f>+paraméterek!$B$346</f>
        <v>6.4600000000000005E-2</v>
      </c>
      <c r="AB551" s="301">
        <f t="shared" si="234"/>
        <v>0</v>
      </c>
      <c r="AC551" s="301">
        <f t="shared" si="222"/>
        <v>0</v>
      </c>
      <c r="AD551" s="301">
        <f t="shared" si="235"/>
        <v>0</v>
      </c>
      <c r="AE551" s="301">
        <f t="shared" si="236"/>
        <v>0</v>
      </c>
      <c r="AF551" s="477">
        <f t="shared" si="237"/>
        <v>0</v>
      </c>
    </row>
    <row r="552" spans="1:32" s="11" customFormat="1" hidden="1" x14ac:dyDescent="0.3">
      <c r="A552" s="775">
        <v>473</v>
      </c>
      <c r="B552" s="775">
        <f t="shared" si="223"/>
        <v>40</v>
      </c>
      <c r="C552" s="891">
        <f t="shared" si="239"/>
        <v>0.14489675614077413</v>
      </c>
      <c r="D552" s="891"/>
      <c r="E552" s="891">
        <f t="shared" si="239"/>
        <v>0.03</v>
      </c>
      <c r="F552" s="891">
        <f t="shared" si="217"/>
        <v>0.03</v>
      </c>
      <c r="G552" s="893">
        <f t="shared" si="225"/>
        <v>1.151056494563818E-8</v>
      </c>
      <c r="H552" s="436">
        <f t="shared" si="218"/>
        <v>0</v>
      </c>
      <c r="I552" s="302">
        <f t="shared" si="219"/>
        <v>0</v>
      </c>
      <c r="J552" s="301">
        <f t="shared" si="238"/>
        <v>2.9176084758041223E-11</v>
      </c>
      <c r="K552" s="301">
        <f t="shared" si="226"/>
        <v>2.9176084758041223E-11</v>
      </c>
      <c r="L552" s="10">
        <f t="shared" si="227"/>
        <v>2.9176084758041223E-11</v>
      </c>
      <c r="M552" s="302"/>
      <c r="N552" s="435">
        <f t="shared" si="228"/>
        <v>0</v>
      </c>
      <c r="O552" s="436">
        <f t="shared" si="220"/>
        <v>0</v>
      </c>
      <c r="P552" s="436">
        <f t="shared" si="229"/>
        <v>0</v>
      </c>
      <c r="R552" s="354">
        <f>+Hirdetmény!$AA$46</f>
        <v>0.13400000000000001</v>
      </c>
      <c r="S552" s="301">
        <f t="shared" si="230"/>
        <v>0</v>
      </c>
      <c r="T552" s="301">
        <f t="shared" si="221"/>
        <v>0</v>
      </c>
      <c r="U552" s="301">
        <f t="shared" si="231"/>
        <v>0</v>
      </c>
      <c r="V552" s="301">
        <f t="shared" si="232"/>
        <v>0</v>
      </c>
      <c r="W552" s="301">
        <f t="shared" si="233"/>
        <v>0</v>
      </c>
      <c r="AA552" s="12">
        <f>+paraméterek!$B$346</f>
        <v>6.4600000000000005E-2</v>
      </c>
      <c r="AB552" s="301">
        <f t="shared" si="234"/>
        <v>0</v>
      </c>
      <c r="AC552" s="301">
        <f t="shared" si="222"/>
        <v>0</v>
      </c>
      <c r="AD552" s="301">
        <f t="shared" si="235"/>
        <v>0</v>
      </c>
      <c r="AE552" s="301">
        <f t="shared" si="236"/>
        <v>0</v>
      </c>
      <c r="AF552" s="477">
        <f t="shared" si="237"/>
        <v>0</v>
      </c>
    </row>
    <row r="553" spans="1:32" s="11" customFormat="1" hidden="1" x14ac:dyDescent="0.3">
      <c r="A553" s="775">
        <v>474</v>
      </c>
      <c r="B553" s="775">
        <f t="shared" si="223"/>
        <v>40</v>
      </c>
      <c r="C553" s="891">
        <f t="shared" si="239"/>
        <v>0.14489675614077413</v>
      </c>
      <c r="D553" s="891"/>
      <c r="E553" s="891">
        <f t="shared" si="239"/>
        <v>0.03</v>
      </c>
      <c r="F553" s="891">
        <f t="shared" si="217"/>
        <v>0.03</v>
      </c>
      <c r="G553" s="893">
        <f t="shared" si="225"/>
        <v>1.151056494563818E-8</v>
      </c>
      <c r="H553" s="436">
        <f t="shared" si="218"/>
        <v>0</v>
      </c>
      <c r="I553" s="302">
        <f t="shared" si="219"/>
        <v>0</v>
      </c>
      <c r="J553" s="301">
        <f t="shared" si="238"/>
        <v>2.9176084758041223E-11</v>
      </c>
      <c r="K553" s="301">
        <f t="shared" si="226"/>
        <v>2.9176084758041223E-11</v>
      </c>
      <c r="L553" s="10">
        <f t="shared" si="227"/>
        <v>2.9176084758041223E-11</v>
      </c>
      <c r="M553" s="302"/>
      <c r="N553" s="435">
        <f t="shared" si="228"/>
        <v>0</v>
      </c>
      <c r="O553" s="436">
        <f t="shared" si="220"/>
        <v>0</v>
      </c>
      <c r="P553" s="436">
        <f t="shared" si="229"/>
        <v>0</v>
      </c>
      <c r="R553" s="354">
        <f>+Hirdetmény!$AA$46</f>
        <v>0.13400000000000001</v>
      </c>
      <c r="S553" s="301">
        <f t="shared" si="230"/>
        <v>0</v>
      </c>
      <c r="T553" s="301">
        <f t="shared" si="221"/>
        <v>0</v>
      </c>
      <c r="U553" s="301">
        <f t="shared" si="231"/>
        <v>0</v>
      </c>
      <c r="V553" s="301">
        <f t="shared" si="232"/>
        <v>0</v>
      </c>
      <c r="W553" s="301">
        <f t="shared" si="233"/>
        <v>0</v>
      </c>
      <c r="AA553" s="12">
        <f>+paraméterek!$B$346</f>
        <v>6.4600000000000005E-2</v>
      </c>
      <c r="AB553" s="301">
        <f t="shared" si="234"/>
        <v>0</v>
      </c>
      <c r="AC553" s="301">
        <f t="shared" si="222"/>
        <v>0</v>
      </c>
      <c r="AD553" s="301">
        <f t="shared" si="235"/>
        <v>0</v>
      </c>
      <c r="AE553" s="301">
        <f t="shared" si="236"/>
        <v>0</v>
      </c>
      <c r="AF553" s="477">
        <f t="shared" si="237"/>
        <v>0</v>
      </c>
    </row>
    <row r="554" spans="1:32" s="11" customFormat="1" hidden="1" x14ac:dyDescent="0.3">
      <c r="A554" s="775">
        <v>475</v>
      </c>
      <c r="B554" s="775">
        <f t="shared" si="223"/>
        <v>40</v>
      </c>
      <c r="C554" s="891">
        <f t="shared" si="239"/>
        <v>0.14489675614077413</v>
      </c>
      <c r="D554" s="891"/>
      <c r="E554" s="891">
        <f t="shared" si="239"/>
        <v>0.03</v>
      </c>
      <c r="F554" s="891">
        <f t="shared" si="217"/>
        <v>0.03</v>
      </c>
      <c r="G554" s="893">
        <f t="shared" si="225"/>
        <v>1.151056494563818E-8</v>
      </c>
      <c r="H554" s="436">
        <f t="shared" si="218"/>
        <v>0</v>
      </c>
      <c r="I554" s="302">
        <f t="shared" si="219"/>
        <v>0</v>
      </c>
      <c r="J554" s="301">
        <f t="shared" si="238"/>
        <v>2.9176084758041223E-11</v>
      </c>
      <c r="K554" s="301">
        <f t="shared" si="226"/>
        <v>2.9176084758041223E-11</v>
      </c>
      <c r="L554" s="10">
        <f t="shared" si="227"/>
        <v>2.9176084758041223E-11</v>
      </c>
      <c r="M554" s="302"/>
      <c r="N554" s="435">
        <f t="shared" si="228"/>
        <v>0</v>
      </c>
      <c r="O554" s="436">
        <f t="shared" si="220"/>
        <v>0</v>
      </c>
      <c r="P554" s="436">
        <f t="shared" si="229"/>
        <v>0</v>
      </c>
      <c r="R554" s="354">
        <f>+Hirdetmény!$AA$46</f>
        <v>0.13400000000000001</v>
      </c>
      <c r="S554" s="301">
        <f t="shared" si="230"/>
        <v>0</v>
      </c>
      <c r="T554" s="301">
        <f t="shared" si="221"/>
        <v>0</v>
      </c>
      <c r="U554" s="301">
        <f t="shared" si="231"/>
        <v>0</v>
      </c>
      <c r="V554" s="301">
        <f t="shared" si="232"/>
        <v>0</v>
      </c>
      <c r="W554" s="301">
        <f t="shared" si="233"/>
        <v>0</v>
      </c>
      <c r="AA554" s="12">
        <f>+paraméterek!$B$346</f>
        <v>6.4600000000000005E-2</v>
      </c>
      <c r="AB554" s="301">
        <f t="shared" si="234"/>
        <v>0</v>
      </c>
      <c r="AC554" s="301">
        <f t="shared" si="222"/>
        <v>0</v>
      </c>
      <c r="AD554" s="301">
        <f t="shared" si="235"/>
        <v>0</v>
      </c>
      <c r="AE554" s="301">
        <f t="shared" si="236"/>
        <v>0</v>
      </c>
      <c r="AF554" s="477">
        <f t="shared" si="237"/>
        <v>0</v>
      </c>
    </row>
    <row r="555" spans="1:32" s="11" customFormat="1" hidden="1" x14ac:dyDescent="0.3">
      <c r="A555" s="775">
        <v>476</v>
      </c>
      <c r="B555" s="775">
        <f t="shared" si="223"/>
        <v>40</v>
      </c>
      <c r="C555" s="891">
        <f t="shared" si="239"/>
        <v>0.14489675614077413</v>
      </c>
      <c r="D555" s="891"/>
      <c r="E555" s="891">
        <f t="shared" si="239"/>
        <v>0.03</v>
      </c>
      <c r="F555" s="891">
        <f t="shared" si="217"/>
        <v>0.03</v>
      </c>
      <c r="G555" s="893">
        <f t="shared" si="225"/>
        <v>1.151056494563818E-8</v>
      </c>
      <c r="H555" s="436">
        <f t="shared" si="218"/>
        <v>0</v>
      </c>
      <c r="I555" s="302">
        <f t="shared" si="219"/>
        <v>0</v>
      </c>
      <c r="J555" s="301">
        <f t="shared" si="238"/>
        <v>2.9176084758041223E-11</v>
      </c>
      <c r="K555" s="301">
        <f t="shared" si="226"/>
        <v>2.9176084758041223E-11</v>
      </c>
      <c r="L555" s="10">
        <f t="shared" si="227"/>
        <v>2.9176084758041223E-11</v>
      </c>
      <c r="M555" s="302"/>
      <c r="N555" s="435">
        <f t="shared" si="228"/>
        <v>0</v>
      </c>
      <c r="O555" s="436">
        <f t="shared" si="220"/>
        <v>0</v>
      </c>
      <c r="P555" s="436">
        <f t="shared" si="229"/>
        <v>0</v>
      </c>
      <c r="R555" s="354">
        <f>+Hirdetmény!$AA$46</f>
        <v>0.13400000000000001</v>
      </c>
      <c r="S555" s="301">
        <f t="shared" si="230"/>
        <v>0</v>
      </c>
      <c r="T555" s="301">
        <f t="shared" si="221"/>
        <v>0</v>
      </c>
      <c r="U555" s="301">
        <f t="shared" si="231"/>
        <v>0</v>
      </c>
      <c r="V555" s="301">
        <f t="shared" si="232"/>
        <v>0</v>
      </c>
      <c r="W555" s="301">
        <f t="shared" si="233"/>
        <v>0</v>
      </c>
      <c r="AA555" s="12">
        <f>+paraméterek!$B$346</f>
        <v>6.4600000000000005E-2</v>
      </c>
      <c r="AB555" s="301">
        <f t="shared" si="234"/>
        <v>0</v>
      </c>
      <c r="AC555" s="301">
        <f t="shared" si="222"/>
        <v>0</v>
      </c>
      <c r="AD555" s="301">
        <f t="shared" si="235"/>
        <v>0</v>
      </c>
      <c r="AE555" s="301">
        <f t="shared" si="236"/>
        <v>0</v>
      </c>
      <c r="AF555" s="477">
        <f t="shared" si="237"/>
        <v>0</v>
      </c>
    </row>
    <row r="556" spans="1:32" s="11" customFormat="1" hidden="1" x14ac:dyDescent="0.3">
      <c r="A556" s="775">
        <v>477</v>
      </c>
      <c r="B556" s="775">
        <f t="shared" si="223"/>
        <v>40</v>
      </c>
      <c r="C556" s="891">
        <f t="shared" si="239"/>
        <v>0.14489675614077413</v>
      </c>
      <c r="D556" s="891"/>
      <c r="E556" s="891">
        <f t="shared" si="239"/>
        <v>0.03</v>
      </c>
      <c r="F556" s="891">
        <f t="shared" si="217"/>
        <v>0.03</v>
      </c>
      <c r="G556" s="893">
        <f t="shared" si="225"/>
        <v>1.151056494563818E-8</v>
      </c>
      <c r="H556" s="436">
        <f t="shared" si="218"/>
        <v>0</v>
      </c>
      <c r="I556" s="302">
        <f t="shared" si="219"/>
        <v>0</v>
      </c>
      <c r="J556" s="301">
        <f t="shared" si="238"/>
        <v>2.9176084758041223E-11</v>
      </c>
      <c r="K556" s="301">
        <f t="shared" si="226"/>
        <v>2.9176084758041223E-11</v>
      </c>
      <c r="L556" s="10">
        <f t="shared" si="227"/>
        <v>2.9176084758041223E-11</v>
      </c>
      <c r="M556" s="302"/>
      <c r="N556" s="435">
        <f t="shared" si="228"/>
        <v>0</v>
      </c>
      <c r="O556" s="436">
        <f t="shared" si="220"/>
        <v>0</v>
      </c>
      <c r="P556" s="436">
        <f t="shared" si="229"/>
        <v>0</v>
      </c>
      <c r="R556" s="354">
        <f>+Hirdetmény!$AA$46</f>
        <v>0.13400000000000001</v>
      </c>
      <c r="S556" s="301">
        <f t="shared" si="230"/>
        <v>0</v>
      </c>
      <c r="T556" s="301">
        <f t="shared" si="221"/>
        <v>0</v>
      </c>
      <c r="U556" s="301">
        <f t="shared" si="231"/>
        <v>0</v>
      </c>
      <c r="V556" s="301">
        <f t="shared" si="232"/>
        <v>0</v>
      </c>
      <c r="W556" s="301">
        <f t="shared" si="233"/>
        <v>0</v>
      </c>
      <c r="AA556" s="12">
        <f>+paraméterek!$B$346</f>
        <v>6.4600000000000005E-2</v>
      </c>
      <c r="AB556" s="301">
        <f t="shared" si="234"/>
        <v>0</v>
      </c>
      <c r="AC556" s="301">
        <f t="shared" si="222"/>
        <v>0</v>
      </c>
      <c r="AD556" s="301">
        <f t="shared" si="235"/>
        <v>0</v>
      </c>
      <c r="AE556" s="301">
        <f t="shared" si="236"/>
        <v>0</v>
      </c>
      <c r="AF556" s="477">
        <f t="shared" si="237"/>
        <v>0</v>
      </c>
    </row>
    <row r="557" spans="1:32" s="11" customFormat="1" hidden="1" x14ac:dyDescent="0.3">
      <c r="A557" s="775">
        <v>478</v>
      </c>
      <c r="B557" s="775">
        <f t="shared" si="223"/>
        <v>40</v>
      </c>
      <c r="C557" s="891">
        <f t="shared" si="239"/>
        <v>0.14489675614077413</v>
      </c>
      <c r="D557" s="891"/>
      <c r="E557" s="891">
        <f t="shared" si="239"/>
        <v>0.03</v>
      </c>
      <c r="F557" s="891">
        <f t="shared" si="217"/>
        <v>0.03</v>
      </c>
      <c r="G557" s="893">
        <f t="shared" si="225"/>
        <v>1.151056494563818E-8</v>
      </c>
      <c r="H557" s="436">
        <f t="shared" si="218"/>
        <v>0</v>
      </c>
      <c r="I557" s="302">
        <f t="shared" si="219"/>
        <v>0</v>
      </c>
      <c r="J557" s="301">
        <f t="shared" si="238"/>
        <v>2.9176084758041223E-11</v>
      </c>
      <c r="K557" s="301">
        <f t="shared" si="226"/>
        <v>2.9176084758041223E-11</v>
      </c>
      <c r="L557" s="10">
        <f t="shared" si="227"/>
        <v>2.9176084758041223E-11</v>
      </c>
      <c r="M557" s="302"/>
      <c r="N557" s="435">
        <f t="shared" si="228"/>
        <v>0</v>
      </c>
      <c r="O557" s="436">
        <f t="shared" si="220"/>
        <v>0</v>
      </c>
      <c r="P557" s="436">
        <f t="shared" si="229"/>
        <v>0</v>
      </c>
      <c r="R557" s="354">
        <f>+Hirdetmény!$AA$46</f>
        <v>0.13400000000000001</v>
      </c>
      <c r="S557" s="301">
        <f t="shared" si="230"/>
        <v>0</v>
      </c>
      <c r="T557" s="301">
        <f t="shared" si="221"/>
        <v>0</v>
      </c>
      <c r="U557" s="301">
        <f t="shared" si="231"/>
        <v>0</v>
      </c>
      <c r="V557" s="301">
        <f t="shared" si="232"/>
        <v>0</v>
      </c>
      <c r="W557" s="301">
        <f t="shared" si="233"/>
        <v>0</v>
      </c>
      <c r="AA557" s="12">
        <f>+paraméterek!$B$346</f>
        <v>6.4600000000000005E-2</v>
      </c>
      <c r="AB557" s="301">
        <f t="shared" si="234"/>
        <v>0</v>
      </c>
      <c r="AC557" s="301">
        <f t="shared" si="222"/>
        <v>0</v>
      </c>
      <c r="AD557" s="301">
        <f t="shared" si="235"/>
        <v>0</v>
      </c>
      <c r="AE557" s="301">
        <f t="shared" si="236"/>
        <v>0</v>
      </c>
      <c r="AF557" s="477">
        <f t="shared" si="237"/>
        <v>0</v>
      </c>
    </row>
    <row r="558" spans="1:32" s="11" customFormat="1" hidden="1" x14ac:dyDescent="0.3">
      <c r="A558" s="775">
        <v>479</v>
      </c>
      <c r="B558" s="775">
        <f t="shared" si="223"/>
        <v>40</v>
      </c>
      <c r="C558" s="891">
        <f t="shared" si="239"/>
        <v>0.14489675614077413</v>
      </c>
      <c r="D558" s="891"/>
      <c r="E558" s="891">
        <f t="shared" si="239"/>
        <v>0.03</v>
      </c>
      <c r="F558" s="891">
        <f t="shared" si="217"/>
        <v>0.03</v>
      </c>
      <c r="G558" s="893">
        <f t="shared" si="225"/>
        <v>1.151056494563818E-8</v>
      </c>
      <c r="H558" s="436">
        <f t="shared" si="218"/>
        <v>0</v>
      </c>
      <c r="I558" s="302">
        <f t="shared" si="219"/>
        <v>0</v>
      </c>
      <c r="J558" s="301">
        <f t="shared" si="238"/>
        <v>2.9176084758041223E-11</v>
      </c>
      <c r="K558" s="301">
        <f t="shared" si="226"/>
        <v>2.9176084758041223E-11</v>
      </c>
      <c r="L558" s="10">
        <f t="shared" si="227"/>
        <v>2.9176084758041223E-11</v>
      </c>
      <c r="M558" s="302"/>
      <c r="N558" s="435">
        <f t="shared" si="228"/>
        <v>0</v>
      </c>
      <c r="O558" s="436">
        <f t="shared" si="220"/>
        <v>0</v>
      </c>
      <c r="P558" s="436">
        <f t="shared" si="229"/>
        <v>0</v>
      </c>
      <c r="R558" s="354">
        <f>+Hirdetmény!$AA$46</f>
        <v>0.13400000000000001</v>
      </c>
      <c r="S558" s="301">
        <f t="shared" si="230"/>
        <v>0</v>
      </c>
      <c r="T558" s="301">
        <f t="shared" si="221"/>
        <v>0</v>
      </c>
      <c r="U558" s="301">
        <f t="shared" si="231"/>
        <v>0</v>
      </c>
      <c r="V558" s="301">
        <f t="shared" si="232"/>
        <v>0</v>
      </c>
      <c r="W558" s="301">
        <f t="shared" si="233"/>
        <v>0</v>
      </c>
      <c r="AA558" s="12">
        <f>+paraméterek!$B$346</f>
        <v>6.4600000000000005E-2</v>
      </c>
      <c r="AB558" s="301">
        <f t="shared" si="234"/>
        <v>0</v>
      </c>
      <c r="AC558" s="301">
        <f t="shared" si="222"/>
        <v>0</v>
      </c>
      <c r="AD558" s="301">
        <f t="shared" si="235"/>
        <v>0</v>
      </c>
      <c r="AE558" s="301">
        <f t="shared" si="236"/>
        <v>0</v>
      </c>
      <c r="AF558" s="477">
        <f t="shared" si="237"/>
        <v>0</v>
      </c>
    </row>
    <row r="559" spans="1:32" s="11" customFormat="1" hidden="1" x14ac:dyDescent="0.3">
      <c r="A559" s="775">
        <v>480</v>
      </c>
      <c r="B559" s="775">
        <f t="shared" si="223"/>
        <v>40</v>
      </c>
      <c r="C559" s="891">
        <f t="shared" si="239"/>
        <v>0.14489675614077413</v>
      </c>
      <c r="D559" s="891"/>
      <c r="E559" s="891">
        <f t="shared" si="239"/>
        <v>0.03</v>
      </c>
      <c r="F559" s="891">
        <f t="shared" si="217"/>
        <v>0.03</v>
      </c>
      <c r="G559" s="893">
        <f t="shared" si="225"/>
        <v>1.151056494563818E-8</v>
      </c>
      <c r="H559" s="436">
        <f t="shared" si="218"/>
        <v>0</v>
      </c>
      <c r="I559" s="302">
        <f t="shared" si="219"/>
        <v>0</v>
      </c>
      <c r="J559" s="301">
        <f t="shared" si="238"/>
        <v>2.9176084758041223E-11</v>
      </c>
      <c r="K559" s="301">
        <f t="shared" si="226"/>
        <v>2.9176084758041223E-11</v>
      </c>
      <c r="L559" s="10">
        <f t="shared" si="227"/>
        <v>2.9176084758041223E-11</v>
      </c>
      <c r="M559" s="302"/>
      <c r="N559" s="435">
        <f t="shared" si="228"/>
        <v>0</v>
      </c>
      <c r="O559" s="436">
        <f t="shared" si="220"/>
        <v>0</v>
      </c>
      <c r="P559" s="436">
        <f t="shared" si="229"/>
        <v>0</v>
      </c>
      <c r="R559" s="354">
        <f>+Hirdetmény!$AA$46</f>
        <v>0.13400000000000001</v>
      </c>
      <c r="S559" s="301">
        <f t="shared" si="230"/>
        <v>0</v>
      </c>
      <c r="T559" s="301">
        <f t="shared" si="221"/>
        <v>0</v>
      </c>
      <c r="U559" s="301">
        <f t="shared" si="231"/>
        <v>0</v>
      </c>
      <c r="V559" s="301">
        <f t="shared" si="232"/>
        <v>0</v>
      </c>
      <c r="W559" s="301">
        <f t="shared" si="233"/>
        <v>0</v>
      </c>
      <c r="AA559" s="12">
        <f>+paraméterek!$B$346</f>
        <v>6.4600000000000005E-2</v>
      </c>
      <c r="AB559" s="301">
        <f t="shared" si="234"/>
        <v>0</v>
      </c>
      <c r="AC559" s="301">
        <f t="shared" si="222"/>
        <v>0</v>
      </c>
      <c r="AD559" s="301">
        <f t="shared" si="235"/>
        <v>0</v>
      </c>
      <c r="AE559" s="301">
        <f t="shared" si="236"/>
        <v>0</v>
      </c>
      <c r="AF559" s="477">
        <f t="shared" si="237"/>
        <v>0</v>
      </c>
    </row>
    <row r="560" spans="1:32" s="11" customFormat="1" hidden="1" x14ac:dyDescent="0.3">
      <c r="A560" s="775">
        <v>481</v>
      </c>
      <c r="B560" s="775">
        <f t="shared" si="223"/>
        <v>41</v>
      </c>
      <c r="C560" s="891">
        <f t="shared" si="239"/>
        <v>0.14489675614077413</v>
      </c>
      <c r="D560" s="891"/>
      <c r="E560" s="891">
        <f t="shared" si="239"/>
        <v>0.03</v>
      </c>
      <c r="F560" s="891">
        <f t="shared" si="217"/>
        <v>0.03</v>
      </c>
      <c r="G560" s="893">
        <f t="shared" si="225"/>
        <v>1.151056494563818E-8</v>
      </c>
      <c r="H560" s="436">
        <f t="shared" si="218"/>
        <v>0</v>
      </c>
      <c r="I560" s="302">
        <f t="shared" si="219"/>
        <v>0</v>
      </c>
      <c r="J560" s="301">
        <f t="shared" si="238"/>
        <v>2.9176084758041223E-11</v>
      </c>
      <c r="K560" s="301">
        <f t="shared" si="226"/>
        <v>2.9176084758041223E-11</v>
      </c>
      <c r="L560" s="10">
        <f t="shared" si="227"/>
        <v>2.9176084758041223E-11</v>
      </c>
      <c r="M560" s="302"/>
      <c r="N560" s="435">
        <f t="shared" si="228"/>
        <v>0</v>
      </c>
      <c r="O560" s="436">
        <f t="shared" si="220"/>
        <v>0</v>
      </c>
      <c r="P560" s="436">
        <f t="shared" si="229"/>
        <v>0</v>
      </c>
      <c r="R560" s="354">
        <f>+Hirdetmény!$AA$46</f>
        <v>0.13400000000000001</v>
      </c>
      <c r="S560" s="301">
        <f t="shared" si="230"/>
        <v>0</v>
      </c>
      <c r="T560" s="301">
        <f t="shared" si="221"/>
        <v>0</v>
      </c>
      <c r="U560" s="301">
        <f t="shared" si="231"/>
        <v>0</v>
      </c>
      <c r="V560" s="301">
        <f t="shared" si="232"/>
        <v>0</v>
      </c>
      <c r="W560" s="301">
        <f t="shared" si="233"/>
        <v>0</v>
      </c>
      <c r="AA560" s="12">
        <f>+paraméterek!$B$346</f>
        <v>6.4600000000000005E-2</v>
      </c>
      <c r="AB560" s="301">
        <f t="shared" si="234"/>
        <v>0</v>
      </c>
      <c r="AC560" s="301">
        <f t="shared" si="222"/>
        <v>0</v>
      </c>
      <c r="AD560" s="301">
        <f t="shared" si="235"/>
        <v>0</v>
      </c>
      <c r="AE560" s="301">
        <f t="shared" si="236"/>
        <v>0</v>
      </c>
      <c r="AF560" s="477">
        <f t="shared" si="237"/>
        <v>0</v>
      </c>
    </row>
    <row r="561" spans="1:32" s="11" customFormat="1" hidden="1" x14ac:dyDescent="0.3">
      <c r="A561" s="775">
        <v>482</v>
      </c>
      <c r="B561" s="775">
        <f t="shared" si="223"/>
        <v>41</v>
      </c>
      <c r="C561" s="891">
        <f t="shared" ref="C561:E576" si="240">+C560</f>
        <v>0.14489675614077413</v>
      </c>
      <c r="D561" s="891"/>
      <c r="E561" s="891">
        <f t="shared" si="240"/>
        <v>0.03</v>
      </c>
      <c r="F561" s="891">
        <f t="shared" si="217"/>
        <v>0.03</v>
      </c>
      <c r="G561" s="893">
        <f t="shared" si="225"/>
        <v>1.151056494563818E-8</v>
      </c>
      <c r="H561" s="436">
        <f t="shared" si="218"/>
        <v>0</v>
      </c>
      <c r="I561" s="302">
        <f t="shared" si="219"/>
        <v>0</v>
      </c>
      <c r="J561" s="301">
        <f t="shared" si="238"/>
        <v>2.9176084758041223E-11</v>
      </c>
      <c r="K561" s="301">
        <f t="shared" si="226"/>
        <v>2.9176084758041223E-11</v>
      </c>
      <c r="L561" s="10">
        <f t="shared" si="227"/>
        <v>2.9176084758041223E-11</v>
      </c>
      <c r="M561" s="302"/>
      <c r="N561" s="435">
        <f t="shared" si="228"/>
        <v>0</v>
      </c>
      <c r="O561" s="436">
        <f t="shared" si="220"/>
        <v>0</v>
      </c>
      <c r="P561" s="436">
        <f t="shared" si="229"/>
        <v>0</v>
      </c>
      <c r="R561" s="354">
        <f>+Hirdetmény!$AA$46</f>
        <v>0.13400000000000001</v>
      </c>
      <c r="S561" s="301">
        <f t="shared" si="230"/>
        <v>0</v>
      </c>
      <c r="T561" s="301">
        <f t="shared" si="221"/>
        <v>0</v>
      </c>
      <c r="U561" s="301">
        <f t="shared" si="231"/>
        <v>0</v>
      </c>
      <c r="V561" s="301">
        <f t="shared" si="232"/>
        <v>0</v>
      </c>
      <c r="W561" s="301">
        <f t="shared" si="233"/>
        <v>0</v>
      </c>
      <c r="AA561" s="12">
        <f>+paraméterek!$B$346</f>
        <v>6.4600000000000005E-2</v>
      </c>
      <c r="AB561" s="301">
        <f t="shared" si="234"/>
        <v>0</v>
      </c>
      <c r="AC561" s="301">
        <f t="shared" si="222"/>
        <v>0</v>
      </c>
      <c r="AD561" s="301">
        <f t="shared" si="235"/>
        <v>0</v>
      </c>
      <c r="AE561" s="301">
        <f t="shared" si="236"/>
        <v>0</v>
      </c>
      <c r="AF561" s="477">
        <f t="shared" si="237"/>
        <v>0</v>
      </c>
    </row>
    <row r="562" spans="1:32" s="11" customFormat="1" hidden="1" x14ac:dyDescent="0.3">
      <c r="A562" s="775">
        <v>483</v>
      </c>
      <c r="B562" s="775">
        <f t="shared" si="223"/>
        <v>41</v>
      </c>
      <c r="C562" s="891">
        <f t="shared" si="240"/>
        <v>0.14489675614077413</v>
      </c>
      <c r="D562" s="891"/>
      <c r="E562" s="891">
        <f t="shared" si="240"/>
        <v>0.03</v>
      </c>
      <c r="F562" s="891">
        <f t="shared" si="217"/>
        <v>0.03</v>
      </c>
      <c r="G562" s="893">
        <f t="shared" si="225"/>
        <v>1.151056494563818E-8</v>
      </c>
      <c r="H562" s="436">
        <f t="shared" si="218"/>
        <v>0</v>
      </c>
      <c r="I562" s="302">
        <f t="shared" si="219"/>
        <v>0</v>
      </c>
      <c r="J562" s="301">
        <f t="shared" si="238"/>
        <v>2.9176084758041223E-11</v>
      </c>
      <c r="K562" s="301">
        <f t="shared" si="226"/>
        <v>2.9176084758041223E-11</v>
      </c>
      <c r="L562" s="10">
        <f t="shared" si="227"/>
        <v>2.9176084758041223E-11</v>
      </c>
      <c r="M562" s="302"/>
      <c r="N562" s="435">
        <f t="shared" si="228"/>
        <v>0</v>
      </c>
      <c r="O562" s="436">
        <f t="shared" si="220"/>
        <v>0</v>
      </c>
      <c r="P562" s="436">
        <f t="shared" si="229"/>
        <v>0</v>
      </c>
      <c r="R562" s="354">
        <f>+Hirdetmény!$AA$46</f>
        <v>0.13400000000000001</v>
      </c>
      <c r="S562" s="301">
        <f t="shared" si="230"/>
        <v>0</v>
      </c>
      <c r="T562" s="301">
        <f t="shared" si="221"/>
        <v>0</v>
      </c>
      <c r="U562" s="301">
        <f t="shared" si="231"/>
        <v>0</v>
      </c>
      <c r="V562" s="301">
        <f t="shared" si="232"/>
        <v>0</v>
      </c>
      <c r="W562" s="301">
        <f t="shared" si="233"/>
        <v>0</v>
      </c>
      <c r="AA562" s="12">
        <f>+paraméterek!$B$346</f>
        <v>6.4600000000000005E-2</v>
      </c>
      <c r="AB562" s="301">
        <f t="shared" si="234"/>
        <v>0</v>
      </c>
      <c r="AC562" s="301">
        <f t="shared" si="222"/>
        <v>0</v>
      </c>
      <c r="AD562" s="301">
        <f t="shared" si="235"/>
        <v>0</v>
      </c>
      <c r="AE562" s="301">
        <f t="shared" si="236"/>
        <v>0</v>
      </c>
      <c r="AF562" s="477">
        <f t="shared" si="237"/>
        <v>0</v>
      </c>
    </row>
    <row r="563" spans="1:32" s="11" customFormat="1" hidden="1" x14ac:dyDescent="0.3">
      <c r="A563" s="775">
        <v>484</v>
      </c>
      <c r="B563" s="775">
        <f t="shared" si="223"/>
        <v>41</v>
      </c>
      <c r="C563" s="891">
        <f t="shared" si="240"/>
        <v>0.14489675614077413</v>
      </c>
      <c r="D563" s="891"/>
      <c r="E563" s="891">
        <f t="shared" si="240"/>
        <v>0.03</v>
      </c>
      <c r="F563" s="891">
        <f t="shared" si="217"/>
        <v>0.03</v>
      </c>
      <c r="G563" s="893">
        <f t="shared" si="225"/>
        <v>1.151056494563818E-8</v>
      </c>
      <c r="H563" s="436">
        <f t="shared" si="218"/>
        <v>0</v>
      </c>
      <c r="I563" s="302">
        <f t="shared" si="219"/>
        <v>0</v>
      </c>
      <c r="J563" s="301">
        <f t="shared" si="238"/>
        <v>2.9176084758041223E-11</v>
      </c>
      <c r="K563" s="301">
        <f t="shared" si="226"/>
        <v>2.9176084758041223E-11</v>
      </c>
      <c r="L563" s="10">
        <f t="shared" si="227"/>
        <v>2.9176084758041223E-11</v>
      </c>
      <c r="M563" s="302"/>
      <c r="N563" s="435">
        <f t="shared" si="228"/>
        <v>0</v>
      </c>
      <c r="O563" s="436">
        <f t="shared" si="220"/>
        <v>0</v>
      </c>
      <c r="P563" s="436">
        <f t="shared" si="229"/>
        <v>0</v>
      </c>
      <c r="R563" s="354">
        <f>+Hirdetmény!$AA$46</f>
        <v>0.13400000000000001</v>
      </c>
      <c r="S563" s="301">
        <f t="shared" si="230"/>
        <v>0</v>
      </c>
      <c r="T563" s="301">
        <f t="shared" si="221"/>
        <v>0</v>
      </c>
      <c r="U563" s="301">
        <f t="shared" si="231"/>
        <v>0</v>
      </c>
      <c r="V563" s="301">
        <f t="shared" si="232"/>
        <v>0</v>
      </c>
      <c r="W563" s="301">
        <f t="shared" si="233"/>
        <v>0</v>
      </c>
      <c r="AA563" s="12">
        <f>+paraméterek!$B$346</f>
        <v>6.4600000000000005E-2</v>
      </c>
      <c r="AB563" s="301">
        <f t="shared" si="234"/>
        <v>0</v>
      </c>
      <c r="AC563" s="301">
        <f t="shared" si="222"/>
        <v>0</v>
      </c>
      <c r="AD563" s="301">
        <f t="shared" si="235"/>
        <v>0</v>
      </c>
      <c r="AE563" s="301">
        <f t="shared" si="236"/>
        <v>0</v>
      </c>
      <c r="AF563" s="477">
        <f t="shared" si="237"/>
        <v>0</v>
      </c>
    </row>
    <row r="564" spans="1:32" s="11" customFormat="1" hidden="1" x14ac:dyDescent="0.3">
      <c r="A564" s="775">
        <v>485</v>
      </c>
      <c r="B564" s="775">
        <f t="shared" si="223"/>
        <v>41</v>
      </c>
      <c r="C564" s="891">
        <f t="shared" si="240"/>
        <v>0.14489675614077413</v>
      </c>
      <c r="D564" s="891"/>
      <c r="E564" s="891">
        <f t="shared" si="240"/>
        <v>0.03</v>
      </c>
      <c r="F564" s="891">
        <f t="shared" si="217"/>
        <v>0.03</v>
      </c>
      <c r="G564" s="893">
        <f t="shared" si="225"/>
        <v>1.151056494563818E-8</v>
      </c>
      <c r="H564" s="436">
        <f t="shared" si="218"/>
        <v>0</v>
      </c>
      <c r="I564" s="302">
        <f t="shared" si="219"/>
        <v>0</v>
      </c>
      <c r="J564" s="301">
        <f t="shared" si="238"/>
        <v>2.9176084758041223E-11</v>
      </c>
      <c r="K564" s="301">
        <f t="shared" si="226"/>
        <v>2.9176084758041223E-11</v>
      </c>
      <c r="L564" s="10">
        <f t="shared" si="227"/>
        <v>2.9176084758041223E-11</v>
      </c>
      <c r="M564" s="302"/>
      <c r="N564" s="435">
        <f t="shared" si="228"/>
        <v>0</v>
      </c>
      <c r="O564" s="436">
        <f t="shared" si="220"/>
        <v>0</v>
      </c>
      <c r="P564" s="436">
        <f t="shared" si="229"/>
        <v>0</v>
      </c>
      <c r="R564" s="354">
        <f>+Hirdetmény!$AA$46</f>
        <v>0.13400000000000001</v>
      </c>
      <c r="S564" s="301">
        <f t="shared" si="230"/>
        <v>0</v>
      </c>
      <c r="T564" s="301">
        <f t="shared" si="221"/>
        <v>0</v>
      </c>
      <c r="U564" s="301">
        <f t="shared" si="231"/>
        <v>0</v>
      </c>
      <c r="V564" s="301">
        <f t="shared" si="232"/>
        <v>0</v>
      </c>
      <c r="W564" s="301">
        <f t="shared" si="233"/>
        <v>0</v>
      </c>
      <c r="AA564" s="12">
        <f>+paraméterek!$B$346</f>
        <v>6.4600000000000005E-2</v>
      </c>
      <c r="AB564" s="301">
        <f t="shared" si="234"/>
        <v>0</v>
      </c>
      <c r="AC564" s="301">
        <f t="shared" si="222"/>
        <v>0</v>
      </c>
      <c r="AD564" s="301">
        <f t="shared" si="235"/>
        <v>0</v>
      </c>
      <c r="AE564" s="301">
        <f t="shared" si="236"/>
        <v>0</v>
      </c>
      <c r="AF564" s="477">
        <f t="shared" si="237"/>
        <v>0</v>
      </c>
    </row>
    <row r="565" spans="1:32" s="11" customFormat="1" hidden="1" x14ac:dyDescent="0.3">
      <c r="A565" s="775">
        <v>486</v>
      </c>
      <c r="B565" s="775">
        <f t="shared" si="223"/>
        <v>41</v>
      </c>
      <c r="C565" s="891">
        <f t="shared" si="240"/>
        <v>0.14489675614077413</v>
      </c>
      <c r="D565" s="891"/>
      <c r="E565" s="891">
        <f t="shared" si="240"/>
        <v>0.03</v>
      </c>
      <c r="F565" s="891">
        <f t="shared" si="217"/>
        <v>0.03</v>
      </c>
      <c r="G565" s="893">
        <f t="shared" si="225"/>
        <v>1.151056494563818E-8</v>
      </c>
      <c r="H565" s="436">
        <f t="shared" si="218"/>
        <v>0</v>
      </c>
      <c r="I565" s="302">
        <f t="shared" si="219"/>
        <v>0</v>
      </c>
      <c r="J565" s="301">
        <f t="shared" si="238"/>
        <v>2.9176084758041223E-11</v>
      </c>
      <c r="K565" s="301">
        <f t="shared" si="226"/>
        <v>2.9176084758041223E-11</v>
      </c>
      <c r="L565" s="10">
        <f t="shared" si="227"/>
        <v>2.9176084758041223E-11</v>
      </c>
      <c r="M565" s="302"/>
      <c r="N565" s="435">
        <f t="shared" si="228"/>
        <v>0</v>
      </c>
      <c r="O565" s="436">
        <f t="shared" si="220"/>
        <v>0</v>
      </c>
      <c r="P565" s="436">
        <f t="shared" si="229"/>
        <v>0</v>
      </c>
      <c r="R565" s="354">
        <f>+Hirdetmény!$AA$46</f>
        <v>0.13400000000000001</v>
      </c>
      <c r="S565" s="301">
        <f t="shared" si="230"/>
        <v>0</v>
      </c>
      <c r="T565" s="301">
        <f t="shared" si="221"/>
        <v>0</v>
      </c>
      <c r="U565" s="301">
        <f t="shared" si="231"/>
        <v>0</v>
      </c>
      <c r="V565" s="301">
        <f t="shared" si="232"/>
        <v>0</v>
      </c>
      <c r="W565" s="301">
        <f t="shared" si="233"/>
        <v>0</v>
      </c>
      <c r="AA565" s="12">
        <f>+paraméterek!$B$346</f>
        <v>6.4600000000000005E-2</v>
      </c>
      <c r="AB565" s="301">
        <f t="shared" si="234"/>
        <v>0</v>
      </c>
      <c r="AC565" s="301">
        <f t="shared" si="222"/>
        <v>0</v>
      </c>
      <c r="AD565" s="301">
        <f t="shared" si="235"/>
        <v>0</v>
      </c>
      <c r="AE565" s="301">
        <f t="shared" si="236"/>
        <v>0</v>
      </c>
      <c r="AF565" s="477">
        <f t="shared" si="237"/>
        <v>0</v>
      </c>
    </row>
    <row r="566" spans="1:32" s="11" customFormat="1" hidden="1" x14ac:dyDescent="0.3">
      <c r="A566" s="775">
        <v>487</v>
      </c>
      <c r="B566" s="775">
        <f t="shared" si="223"/>
        <v>41</v>
      </c>
      <c r="C566" s="891">
        <f t="shared" si="240"/>
        <v>0.14489675614077413</v>
      </c>
      <c r="D566" s="891"/>
      <c r="E566" s="891">
        <f t="shared" si="240"/>
        <v>0.03</v>
      </c>
      <c r="F566" s="891">
        <f t="shared" si="217"/>
        <v>0.03</v>
      </c>
      <c r="G566" s="893">
        <f t="shared" si="225"/>
        <v>1.151056494563818E-8</v>
      </c>
      <c r="H566" s="436">
        <f t="shared" si="218"/>
        <v>0</v>
      </c>
      <c r="I566" s="302">
        <f t="shared" si="219"/>
        <v>0</v>
      </c>
      <c r="J566" s="301">
        <f t="shared" si="238"/>
        <v>2.9176084758041223E-11</v>
      </c>
      <c r="K566" s="301">
        <f t="shared" si="226"/>
        <v>2.9176084758041223E-11</v>
      </c>
      <c r="L566" s="10">
        <f t="shared" si="227"/>
        <v>2.9176084758041223E-11</v>
      </c>
      <c r="M566" s="302"/>
      <c r="N566" s="435">
        <f t="shared" si="228"/>
        <v>0</v>
      </c>
      <c r="O566" s="436">
        <f t="shared" si="220"/>
        <v>0</v>
      </c>
      <c r="P566" s="436">
        <f t="shared" si="229"/>
        <v>0</v>
      </c>
      <c r="R566" s="354">
        <f>+Hirdetmény!$AA$46</f>
        <v>0.13400000000000001</v>
      </c>
      <c r="S566" s="301">
        <f t="shared" si="230"/>
        <v>0</v>
      </c>
      <c r="T566" s="301">
        <f t="shared" si="221"/>
        <v>0</v>
      </c>
      <c r="U566" s="301">
        <f t="shared" si="231"/>
        <v>0</v>
      </c>
      <c r="V566" s="301">
        <f t="shared" si="232"/>
        <v>0</v>
      </c>
      <c r="W566" s="301">
        <f t="shared" si="233"/>
        <v>0</v>
      </c>
      <c r="AA566" s="12">
        <f>+paraméterek!$B$346</f>
        <v>6.4600000000000005E-2</v>
      </c>
      <c r="AB566" s="301">
        <f t="shared" si="234"/>
        <v>0</v>
      </c>
      <c r="AC566" s="301">
        <f t="shared" si="222"/>
        <v>0</v>
      </c>
      <c r="AD566" s="301">
        <f t="shared" si="235"/>
        <v>0</v>
      </c>
      <c r="AE566" s="301">
        <f t="shared" si="236"/>
        <v>0</v>
      </c>
      <c r="AF566" s="477">
        <f t="shared" si="237"/>
        <v>0</v>
      </c>
    </row>
    <row r="567" spans="1:32" s="11" customFormat="1" hidden="1" x14ac:dyDescent="0.3">
      <c r="A567" s="775">
        <v>488</v>
      </c>
      <c r="B567" s="775">
        <f t="shared" si="223"/>
        <v>41</v>
      </c>
      <c r="C567" s="891">
        <f t="shared" si="240"/>
        <v>0.14489675614077413</v>
      </c>
      <c r="D567" s="891"/>
      <c r="E567" s="891">
        <f t="shared" si="240"/>
        <v>0.03</v>
      </c>
      <c r="F567" s="891">
        <f t="shared" si="217"/>
        <v>0.03</v>
      </c>
      <c r="G567" s="893">
        <f t="shared" si="225"/>
        <v>1.151056494563818E-8</v>
      </c>
      <c r="H567" s="436">
        <f t="shared" si="218"/>
        <v>0</v>
      </c>
      <c r="I567" s="302">
        <f t="shared" si="219"/>
        <v>0</v>
      </c>
      <c r="J567" s="301">
        <f t="shared" si="238"/>
        <v>2.9176084758041223E-11</v>
      </c>
      <c r="K567" s="301">
        <f t="shared" si="226"/>
        <v>2.9176084758041223E-11</v>
      </c>
      <c r="L567" s="10">
        <f t="shared" si="227"/>
        <v>2.9176084758041223E-11</v>
      </c>
      <c r="M567" s="302"/>
      <c r="N567" s="435">
        <f t="shared" si="228"/>
        <v>0</v>
      </c>
      <c r="O567" s="436">
        <f t="shared" si="220"/>
        <v>0</v>
      </c>
      <c r="P567" s="436">
        <f t="shared" si="229"/>
        <v>0</v>
      </c>
      <c r="R567" s="354">
        <f>+Hirdetmény!$AA$46</f>
        <v>0.13400000000000001</v>
      </c>
      <c r="S567" s="301">
        <f t="shared" si="230"/>
        <v>0</v>
      </c>
      <c r="T567" s="301">
        <f t="shared" si="221"/>
        <v>0</v>
      </c>
      <c r="U567" s="301">
        <f t="shared" si="231"/>
        <v>0</v>
      </c>
      <c r="V567" s="301">
        <f t="shared" si="232"/>
        <v>0</v>
      </c>
      <c r="W567" s="301">
        <f t="shared" si="233"/>
        <v>0</v>
      </c>
      <c r="AA567" s="12">
        <f>+paraméterek!$B$346</f>
        <v>6.4600000000000005E-2</v>
      </c>
      <c r="AB567" s="301">
        <f t="shared" si="234"/>
        <v>0</v>
      </c>
      <c r="AC567" s="301">
        <f t="shared" si="222"/>
        <v>0</v>
      </c>
      <c r="AD567" s="301">
        <f t="shared" si="235"/>
        <v>0</v>
      </c>
      <c r="AE567" s="301">
        <f t="shared" si="236"/>
        <v>0</v>
      </c>
      <c r="AF567" s="477">
        <f t="shared" si="237"/>
        <v>0</v>
      </c>
    </row>
    <row r="568" spans="1:32" s="11" customFormat="1" hidden="1" x14ac:dyDescent="0.3">
      <c r="A568" s="775">
        <v>489</v>
      </c>
      <c r="B568" s="775">
        <f t="shared" si="223"/>
        <v>41</v>
      </c>
      <c r="C568" s="891">
        <f t="shared" si="240"/>
        <v>0.14489675614077413</v>
      </c>
      <c r="D568" s="891"/>
      <c r="E568" s="891">
        <f t="shared" si="240"/>
        <v>0.03</v>
      </c>
      <c r="F568" s="891">
        <f t="shared" si="217"/>
        <v>0.03</v>
      </c>
      <c r="G568" s="893">
        <f t="shared" si="225"/>
        <v>1.151056494563818E-8</v>
      </c>
      <c r="H568" s="436">
        <f t="shared" si="218"/>
        <v>0</v>
      </c>
      <c r="I568" s="302">
        <f t="shared" si="219"/>
        <v>0</v>
      </c>
      <c r="J568" s="301">
        <f t="shared" si="238"/>
        <v>2.9176084758041223E-11</v>
      </c>
      <c r="K568" s="301">
        <f t="shared" si="226"/>
        <v>2.9176084758041223E-11</v>
      </c>
      <c r="L568" s="10">
        <f t="shared" si="227"/>
        <v>2.9176084758041223E-11</v>
      </c>
      <c r="M568" s="302"/>
      <c r="N568" s="435">
        <f t="shared" si="228"/>
        <v>0</v>
      </c>
      <c r="O568" s="436">
        <f t="shared" si="220"/>
        <v>0</v>
      </c>
      <c r="P568" s="436">
        <f t="shared" si="229"/>
        <v>0</v>
      </c>
      <c r="R568" s="354">
        <f>+Hirdetmény!$AA$46</f>
        <v>0.13400000000000001</v>
      </c>
      <c r="S568" s="301">
        <f t="shared" si="230"/>
        <v>0</v>
      </c>
      <c r="T568" s="301">
        <f t="shared" si="221"/>
        <v>0</v>
      </c>
      <c r="U568" s="301">
        <f t="shared" si="231"/>
        <v>0</v>
      </c>
      <c r="V568" s="301">
        <f t="shared" si="232"/>
        <v>0</v>
      </c>
      <c r="W568" s="301">
        <f t="shared" si="233"/>
        <v>0</v>
      </c>
      <c r="AA568" s="12">
        <f>+paraméterek!$B$346</f>
        <v>6.4600000000000005E-2</v>
      </c>
      <c r="AB568" s="301">
        <f t="shared" si="234"/>
        <v>0</v>
      </c>
      <c r="AC568" s="301">
        <f t="shared" si="222"/>
        <v>0</v>
      </c>
      <c r="AD568" s="301">
        <f t="shared" si="235"/>
        <v>0</v>
      </c>
      <c r="AE568" s="301">
        <f t="shared" si="236"/>
        <v>0</v>
      </c>
      <c r="AF568" s="477">
        <f t="shared" si="237"/>
        <v>0</v>
      </c>
    </row>
    <row r="569" spans="1:32" s="11" customFormat="1" hidden="1" x14ac:dyDescent="0.3">
      <c r="A569" s="775">
        <v>490</v>
      </c>
      <c r="B569" s="775">
        <f t="shared" si="223"/>
        <v>41</v>
      </c>
      <c r="C569" s="891">
        <f t="shared" si="240"/>
        <v>0.14489675614077413</v>
      </c>
      <c r="D569" s="891"/>
      <c r="E569" s="891">
        <f t="shared" si="240"/>
        <v>0.03</v>
      </c>
      <c r="F569" s="891">
        <f t="shared" si="217"/>
        <v>0.03</v>
      </c>
      <c r="G569" s="893">
        <f t="shared" si="225"/>
        <v>1.151056494563818E-8</v>
      </c>
      <c r="H569" s="436">
        <f t="shared" si="218"/>
        <v>0</v>
      </c>
      <c r="I569" s="302">
        <f t="shared" si="219"/>
        <v>0</v>
      </c>
      <c r="J569" s="301">
        <f t="shared" si="238"/>
        <v>2.9176084758041223E-11</v>
      </c>
      <c r="K569" s="301">
        <f t="shared" si="226"/>
        <v>2.9176084758041223E-11</v>
      </c>
      <c r="L569" s="10">
        <f t="shared" si="227"/>
        <v>2.9176084758041223E-11</v>
      </c>
      <c r="M569" s="302"/>
      <c r="N569" s="435">
        <f t="shared" si="228"/>
        <v>0</v>
      </c>
      <c r="O569" s="436">
        <f t="shared" si="220"/>
        <v>0</v>
      </c>
      <c r="P569" s="436">
        <f t="shared" si="229"/>
        <v>0</v>
      </c>
      <c r="R569" s="354">
        <f>+Hirdetmény!$AA$46</f>
        <v>0.13400000000000001</v>
      </c>
      <c r="S569" s="301">
        <f t="shared" si="230"/>
        <v>0</v>
      </c>
      <c r="T569" s="301">
        <f t="shared" si="221"/>
        <v>0</v>
      </c>
      <c r="U569" s="301">
        <f t="shared" si="231"/>
        <v>0</v>
      </c>
      <c r="V569" s="301">
        <f t="shared" si="232"/>
        <v>0</v>
      </c>
      <c r="W569" s="301">
        <f t="shared" si="233"/>
        <v>0</v>
      </c>
      <c r="AA569" s="12">
        <f>+paraméterek!$B$346</f>
        <v>6.4600000000000005E-2</v>
      </c>
      <c r="AB569" s="301">
        <f t="shared" si="234"/>
        <v>0</v>
      </c>
      <c r="AC569" s="301">
        <f t="shared" si="222"/>
        <v>0</v>
      </c>
      <c r="AD569" s="301">
        <f t="shared" si="235"/>
        <v>0</v>
      </c>
      <c r="AE569" s="301">
        <f t="shared" si="236"/>
        <v>0</v>
      </c>
      <c r="AF569" s="477">
        <f t="shared" si="237"/>
        <v>0</v>
      </c>
    </row>
    <row r="570" spans="1:32" s="11" customFormat="1" hidden="1" x14ac:dyDescent="0.3">
      <c r="A570" s="775">
        <v>491</v>
      </c>
      <c r="B570" s="775">
        <f t="shared" si="223"/>
        <v>41</v>
      </c>
      <c r="C570" s="891">
        <f t="shared" si="240"/>
        <v>0.14489675614077413</v>
      </c>
      <c r="D570" s="891"/>
      <c r="E570" s="891">
        <f t="shared" si="240"/>
        <v>0.03</v>
      </c>
      <c r="F570" s="891">
        <f t="shared" si="217"/>
        <v>0.03</v>
      </c>
      <c r="G570" s="893">
        <f t="shared" si="225"/>
        <v>1.151056494563818E-8</v>
      </c>
      <c r="H570" s="436">
        <f t="shared" si="218"/>
        <v>0</v>
      </c>
      <c r="I570" s="302">
        <f t="shared" si="219"/>
        <v>0</v>
      </c>
      <c r="J570" s="301">
        <f t="shared" si="238"/>
        <v>2.9176084758041223E-11</v>
      </c>
      <c r="K570" s="301">
        <f t="shared" si="226"/>
        <v>2.9176084758041223E-11</v>
      </c>
      <c r="L570" s="10">
        <f t="shared" si="227"/>
        <v>2.9176084758041223E-11</v>
      </c>
      <c r="M570" s="302"/>
      <c r="N570" s="435">
        <f t="shared" si="228"/>
        <v>0</v>
      </c>
      <c r="O570" s="436">
        <f t="shared" si="220"/>
        <v>0</v>
      </c>
      <c r="P570" s="436">
        <f t="shared" si="229"/>
        <v>0</v>
      </c>
      <c r="R570" s="354">
        <f>+Hirdetmény!$AA$46</f>
        <v>0.13400000000000001</v>
      </c>
      <c r="S570" s="301">
        <f t="shared" si="230"/>
        <v>0</v>
      </c>
      <c r="T570" s="301">
        <f t="shared" si="221"/>
        <v>0</v>
      </c>
      <c r="U570" s="301">
        <f t="shared" si="231"/>
        <v>0</v>
      </c>
      <c r="V570" s="301">
        <f t="shared" si="232"/>
        <v>0</v>
      </c>
      <c r="W570" s="301">
        <f t="shared" si="233"/>
        <v>0</v>
      </c>
      <c r="AA570" s="12">
        <f>+paraméterek!$B$346</f>
        <v>6.4600000000000005E-2</v>
      </c>
      <c r="AB570" s="301">
        <f t="shared" si="234"/>
        <v>0</v>
      </c>
      <c r="AC570" s="301">
        <f t="shared" si="222"/>
        <v>0</v>
      </c>
      <c r="AD570" s="301">
        <f t="shared" si="235"/>
        <v>0</v>
      </c>
      <c r="AE570" s="301">
        <f t="shared" si="236"/>
        <v>0</v>
      </c>
      <c r="AF570" s="477">
        <f t="shared" si="237"/>
        <v>0</v>
      </c>
    </row>
    <row r="571" spans="1:32" s="11" customFormat="1" hidden="1" x14ac:dyDescent="0.3">
      <c r="A571" s="775">
        <v>492</v>
      </c>
      <c r="B571" s="775">
        <f t="shared" si="223"/>
        <v>41</v>
      </c>
      <c r="C571" s="891">
        <f t="shared" si="240"/>
        <v>0.14489675614077413</v>
      </c>
      <c r="D571" s="891"/>
      <c r="E571" s="891">
        <f t="shared" si="240"/>
        <v>0.03</v>
      </c>
      <c r="F571" s="891">
        <f t="shared" si="217"/>
        <v>0.03</v>
      </c>
      <c r="G571" s="893">
        <f t="shared" si="225"/>
        <v>1.151056494563818E-8</v>
      </c>
      <c r="H571" s="436">
        <f t="shared" si="218"/>
        <v>0</v>
      </c>
      <c r="I571" s="302">
        <f t="shared" si="219"/>
        <v>0</v>
      </c>
      <c r="J571" s="301">
        <f t="shared" si="238"/>
        <v>2.9176084758041223E-11</v>
      </c>
      <c r="K571" s="301">
        <f t="shared" si="226"/>
        <v>2.9176084758041223E-11</v>
      </c>
      <c r="L571" s="10">
        <f t="shared" si="227"/>
        <v>2.9176084758041223E-11</v>
      </c>
      <c r="M571" s="302"/>
      <c r="N571" s="435">
        <f t="shared" si="228"/>
        <v>0</v>
      </c>
      <c r="O571" s="436">
        <f t="shared" si="220"/>
        <v>0</v>
      </c>
      <c r="P571" s="436">
        <f t="shared" si="229"/>
        <v>0</v>
      </c>
      <c r="R571" s="354">
        <f>+Hirdetmény!$AA$46</f>
        <v>0.13400000000000001</v>
      </c>
      <c r="S571" s="301">
        <f t="shared" si="230"/>
        <v>0</v>
      </c>
      <c r="T571" s="301">
        <f t="shared" si="221"/>
        <v>0</v>
      </c>
      <c r="U571" s="301">
        <f t="shared" si="231"/>
        <v>0</v>
      </c>
      <c r="V571" s="301">
        <f t="shared" si="232"/>
        <v>0</v>
      </c>
      <c r="W571" s="301">
        <f t="shared" si="233"/>
        <v>0</v>
      </c>
      <c r="AA571" s="12">
        <f>+paraméterek!$B$346</f>
        <v>6.4600000000000005E-2</v>
      </c>
      <c r="AB571" s="301">
        <f t="shared" si="234"/>
        <v>0</v>
      </c>
      <c r="AC571" s="301">
        <f t="shared" si="222"/>
        <v>0</v>
      </c>
      <c r="AD571" s="301">
        <f t="shared" si="235"/>
        <v>0</v>
      </c>
      <c r="AE571" s="301">
        <f t="shared" si="236"/>
        <v>0</v>
      </c>
      <c r="AF571" s="477">
        <f t="shared" si="237"/>
        <v>0</v>
      </c>
    </row>
    <row r="572" spans="1:32" s="11" customFormat="1" hidden="1" x14ac:dyDescent="0.3">
      <c r="A572" s="775">
        <v>493</v>
      </c>
      <c r="B572" s="775">
        <f t="shared" si="223"/>
        <v>42</v>
      </c>
      <c r="C572" s="891">
        <f t="shared" si="240"/>
        <v>0.14489675614077413</v>
      </c>
      <c r="D572" s="891"/>
      <c r="E572" s="891">
        <f t="shared" si="240"/>
        <v>0.03</v>
      </c>
      <c r="F572" s="891">
        <f t="shared" si="217"/>
        <v>0.03</v>
      </c>
      <c r="G572" s="893">
        <f t="shared" si="225"/>
        <v>1.151056494563818E-8</v>
      </c>
      <c r="H572" s="436">
        <f t="shared" si="218"/>
        <v>0</v>
      </c>
      <c r="I572" s="302">
        <f t="shared" si="219"/>
        <v>0</v>
      </c>
      <c r="J572" s="301">
        <f t="shared" si="238"/>
        <v>2.9176084758041223E-11</v>
      </c>
      <c r="K572" s="301">
        <f t="shared" si="226"/>
        <v>2.9176084758041223E-11</v>
      </c>
      <c r="L572" s="10">
        <f t="shared" si="227"/>
        <v>2.9176084758041223E-11</v>
      </c>
      <c r="M572" s="302"/>
      <c r="N572" s="435">
        <f t="shared" si="228"/>
        <v>0</v>
      </c>
      <c r="O572" s="436">
        <f t="shared" si="220"/>
        <v>0</v>
      </c>
      <c r="P572" s="436">
        <f t="shared" si="229"/>
        <v>0</v>
      </c>
      <c r="R572" s="354">
        <f>+Hirdetmény!$AA$46</f>
        <v>0.13400000000000001</v>
      </c>
      <c r="S572" s="301">
        <f t="shared" si="230"/>
        <v>0</v>
      </c>
      <c r="T572" s="301">
        <f t="shared" si="221"/>
        <v>0</v>
      </c>
      <c r="U572" s="301">
        <f t="shared" si="231"/>
        <v>0</v>
      </c>
      <c r="V572" s="301">
        <f t="shared" si="232"/>
        <v>0</v>
      </c>
      <c r="W572" s="301">
        <f t="shared" si="233"/>
        <v>0</v>
      </c>
      <c r="AA572" s="12">
        <f>+paraméterek!$B$346</f>
        <v>6.4600000000000005E-2</v>
      </c>
      <c r="AB572" s="301">
        <f t="shared" si="234"/>
        <v>0</v>
      </c>
      <c r="AC572" s="301">
        <f t="shared" si="222"/>
        <v>0</v>
      </c>
      <c r="AD572" s="301">
        <f t="shared" si="235"/>
        <v>0</v>
      </c>
      <c r="AE572" s="301">
        <f t="shared" si="236"/>
        <v>0</v>
      </c>
      <c r="AF572" s="477">
        <f t="shared" si="237"/>
        <v>0</v>
      </c>
    </row>
    <row r="573" spans="1:32" s="11" customFormat="1" hidden="1" x14ac:dyDescent="0.3">
      <c r="A573" s="775">
        <v>494</v>
      </c>
      <c r="B573" s="775">
        <f t="shared" si="223"/>
        <v>42</v>
      </c>
      <c r="C573" s="891">
        <f t="shared" si="240"/>
        <v>0.14489675614077413</v>
      </c>
      <c r="D573" s="891"/>
      <c r="E573" s="891">
        <f t="shared" si="240"/>
        <v>0.03</v>
      </c>
      <c r="F573" s="891">
        <f t="shared" si="217"/>
        <v>0.03</v>
      </c>
      <c r="G573" s="893">
        <f t="shared" si="225"/>
        <v>1.151056494563818E-8</v>
      </c>
      <c r="H573" s="436">
        <f t="shared" si="218"/>
        <v>0</v>
      </c>
      <c r="I573" s="302">
        <f t="shared" si="219"/>
        <v>0</v>
      </c>
      <c r="J573" s="301">
        <f t="shared" si="238"/>
        <v>2.9176084758041223E-11</v>
      </c>
      <c r="K573" s="301">
        <f t="shared" si="226"/>
        <v>2.9176084758041223E-11</v>
      </c>
      <c r="L573" s="10">
        <f t="shared" si="227"/>
        <v>2.9176084758041223E-11</v>
      </c>
      <c r="M573" s="302"/>
      <c r="N573" s="435">
        <f t="shared" si="228"/>
        <v>0</v>
      </c>
      <c r="O573" s="436">
        <f t="shared" si="220"/>
        <v>0</v>
      </c>
      <c r="P573" s="436">
        <f t="shared" si="229"/>
        <v>0</v>
      </c>
      <c r="R573" s="354">
        <f>+Hirdetmény!$AA$46</f>
        <v>0.13400000000000001</v>
      </c>
      <c r="S573" s="301">
        <f t="shared" si="230"/>
        <v>0</v>
      </c>
      <c r="T573" s="301">
        <f t="shared" si="221"/>
        <v>0</v>
      </c>
      <c r="U573" s="301">
        <f t="shared" si="231"/>
        <v>0</v>
      </c>
      <c r="V573" s="301">
        <f t="shared" si="232"/>
        <v>0</v>
      </c>
      <c r="W573" s="301">
        <f t="shared" si="233"/>
        <v>0</v>
      </c>
      <c r="AA573" s="12">
        <f>+paraméterek!$B$346</f>
        <v>6.4600000000000005E-2</v>
      </c>
      <c r="AB573" s="301">
        <f t="shared" si="234"/>
        <v>0</v>
      </c>
      <c r="AC573" s="301">
        <f t="shared" si="222"/>
        <v>0</v>
      </c>
      <c r="AD573" s="301">
        <f t="shared" si="235"/>
        <v>0</v>
      </c>
      <c r="AE573" s="301">
        <f t="shared" si="236"/>
        <v>0</v>
      </c>
      <c r="AF573" s="477">
        <f t="shared" si="237"/>
        <v>0</v>
      </c>
    </row>
    <row r="574" spans="1:32" s="11" customFormat="1" hidden="1" x14ac:dyDescent="0.3">
      <c r="A574" s="775">
        <v>495</v>
      </c>
      <c r="B574" s="775">
        <f t="shared" si="223"/>
        <v>42</v>
      </c>
      <c r="C574" s="891">
        <f t="shared" si="240"/>
        <v>0.14489675614077413</v>
      </c>
      <c r="D574" s="891"/>
      <c r="E574" s="891">
        <f t="shared" si="240"/>
        <v>0.03</v>
      </c>
      <c r="F574" s="891">
        <f t="shared" si="217"/>
        <v>0.03</v>
      </c>
      <c r="G574" s="893">
        <f t="shared" si="225"/>
        <v>1.151056494563818E-8</v>
      </c>
      <c r="H574" s="436">
        <f t="shared" si="218"/>
        <v>0</v>
      </c>
      <c r="I574" s="302">
        <f t="shared" si="219"/>
        <v>0</v>
      </c>
      <c r="J574" s="301">
        <f t="shared" si="238"/>
        <v>2.9176084758041223E-11</v>
      </c>
      <c r="K574" s="301">
        <f t="shared" si="226"/>
        <v>2.9176084758041223E-11</v>
      </c>
      <c r="L574" s="10">
        <f t="shared" si="227"/>
        <v>2.9176084758041223E-11</v>
      </c>
      <c r="M574" s="302"/>
      <c r="N574" s="435">
        <f t="shared" si="228"/>
        <v>0</v>
      </c>
      <c r="O574" s="436">
        <f t="shared" si="220"/>
        <v>0</v>
      </c>
      <c r="P574" s="436">
        <f t="shared" si="229"/>
        <v>0</v>
      </c>
      <c r="R574" s="354">
        <f>+Hirdetmény!$AA$46</f>
        <v>0.13400000000000001</v>
      </c>
      <c r="S574" s="301">
        <f t="shared" si="230"/>
        <v>0</v>
      </c>
      <c r="T574" s="301">
        <f t="shared" si="221"/>
        <v>0</v>
      </c>
      <c r="U574" s="301">
        <f t="shared" si="231"/>
        <v>0</v>
      </c>
      <c r="V574" s="301">
        <f t="shared" si="232"/>
        <v>0</v>
      </c>
      <c r="W574" s="301">
        <f t="shared" si="233"/>
        <v>0</v>
      </c>
      <c r="AA574" s="12">
        <f>+paraméterek!$B$346</f>
        <v>6.4600000000000005E-2</v>
      </c>
      <c r="AB574" s="301">
        <f t="shared" si="234"/>
        <v>0</v>
      </c>
      <c r="AC574" s="301">
        <f t="shared" si="222"/>
        <v>0</v>
      </c>
      <c r="AD574" s="301">
        <f t="shared" si="235"/>
        <v>0</v>
      </c>
      <c r="AE574" s="301">
        <f t="shared" si="236"/>
        <v>0</v>
      </c>
      <c r="AF574" s="477">
        <f t="shared" si="237"/>
        <v>0</v>
      </c>
    </row>
    <row r="575" spans="1:32" s="11" customFormat="1" hidden="1" x14ac:dyDescent="0.3">
      <c r="A575" s="775">
        <v>496</v>
      </c>
      <c r="B575" s="775">
        <f t="shared" si="223"/>
        <v>42</v>
      </c>
      <c r="C575" s="891">
        <f t="shared" si="240"/>
        <v>0.14489675614077413</v>
      </c>
      <c r="D575" s="891"/>
      <c r="E575" s="891">
        <f t="shared" si="240"/>
        <v>0.03</v>
      </c>
      <c r="F575" s="891">
        <f t="shared" si="217"/>
        <v>0.03</v>
      </c>
      <c r="G575" s="893">
        <f t="shared" si="225"/>
        <v>1.151056494563818E-8</v>
      </c>
      <c r="H575" s="436">
        <f t="shared" si="218"/>
        <v>0</v>
      </c>
      <c r="I575" s="302">
        <f t="shared" si="219"/>
        <v>0</v>
      </c>
      <c r="J575" s="301">
        <f t="shared" si="238"/>
        <v>2.9176084758041223E-11</v>
      </c>
      <c r="K575" s="301">
        <f t="shared" si="226"/>
        <v>2.9176084758041223E-11</v>
      </c>
      <c r="L575" s="10">
        <f t="shared" si="227"/>
        <v>2.9176084758041223E-11</v>
      </c>
      <c r="M575" s="302"/>
      <c r="N575" s="435">
        <f t="shared" si="228"/>
        <v>0</v>
      </c>
      <c r="O575" s="436">
        <f t="shared" si="220"/>
        <v>0</v>
      </c>
      <c r="P575" s="436">
        <f t="shared" si="229"/>
        <v>0</v>
      </c>
      <c r="R575" s="354">
        <f>+Hirdetmény!$AA$46</f>
        <v>0.13400000000000001</v>
      </c>
      <c r="S575" s="301">
        <f t="shared" si="230"/>
        <v>0</v>
      </c>
      <c r="T575" s="301">
        <f t="shared" si="221"/>
        <v>0</v>
      </c>
      <c r="U575" s="301">
        <f t="shared" si="231"/>
        <v>0</v>
      </c>
      <c r="V575" s="301">
        <f t="shared" si="232"/>
        <v>0</v>
      </c>
      <c r="W575" s="301">
        <f t="shared" si="233"/>
        <v>0</v>
      </c>
      <c r="AA575" s="12">
        <f>+paraméterek!$B$346</f>
        <v>6.4600000000000005E-2</v>
      </c>
      <c r="AB575" s="301">
        <f t="shared" si="234"/>
        <v>0</v>
      </c>
      <c r="AC575" s="301">
        <f t="shared" si="222"/>
        <v>0</v>
      </c>
      <c r="AD575" s="301">
        <f t="shared" si="235"/>
        <v>0</v>
      </c>
      <c r="AE575" s="301">
        <f t="shared" si="236"/>
        <v>0</v>
      </c>
      <c r="AF575" s="477">
        <f t="shared" si="237"/>
        <v>0</v>
      </c>
    </row>
    <row r="576" spans="1:32" s="11" customFormat="1" hidden="1" x14ac:dyDescent="0.3">
      <c r="A576" s="775">
        <v>497</v>
      </c>
      <c r="B576" s="775">
        <f t="shared" si="223"/>
        <v>42</v>
      </c>
      <c r="C576" s="891">
        <f t="shared" si="240"/>
        <v>0.14489675614077413</v>
      </c>
      <c r="D576" s="891"/>
      <c r="E576" s="891">
        <f t="shared" si="240"/>
        <v>0.03</v>
      </c>
      <c r="F576" s="891">
        <f t="shared" si="217"/>
        <v>0.03</v>
      </c>
      <c r="G576" s="893">
        <f t="shared" si="225"/>
        <v>1.151056494563818E-8</v>
      </c>
      <c r="H576" s="436">
        <f t="shared" si="218"/>
        <v>0</v>
      </c>
      <c r="I576" s="302">
        <f t="shared" si="219"/>
        <v>0</v>
      </c>
      <c r="J576" s="301">
        <f t="shared" si="238"/>
        <v>2.9176084758041223E-11</v>
      </c>
      <c r="K576" s="301">
        <f t="shared" si="226"/>
        <v>2.9176084758041223E-11</v>
      </c>
      <c r="L576" s="10">
        <f t="shared" si="227"/>
        <v>2.9176084758041223E-11</v>
      </c>
      <c r="M576" s="302"/>
      <c r="N576" s="435">
        <f t="shared" si="228"/>
        <v>0</v>
      </c>
      <c r="O576" s="436">
        <f t="shared" si="220"/>
        <v>0</v>
      </c>
      <c r="P576" s="436">
        <f t="shared" si="229"/>
        <v>0</v>
      </c>
      <c r="R576" s="354">
        <f>+Hirdetmény!$AA$46</f>
        <v>0.13400000000000001</v>
      </c>
      <c r="S576" s="301">
        <f t="shared" si="230"/>
        <v>0</v>
      </c>
      <c r="T576" s="301">
        <f t="shared" si="221"/>
        <v>0</v>
      </c>
      <c r="U576" s="301">
        <f t="shared" si="231"/>
        <v>0</v>
      </c>
      <c r="V576" s="301">
        <f t="shared" si="232"/>
        <v>0</v>
      </c>
      <c r="W576" s="301">
        <f t="shared" si="233"/>
        <v>0</v>
      </c>
      <c r="AA576" s="12">
        <f>+paraméterek!$B$346</f>
        <v>6.4600000000000005E-2</v>
      </c>
      <c r="AB576" s="301">
        <f t="shared" si="234"/>
        <v>0</v>
      </c>
      <c r="AC576" s="301">
        <f t="shared" si="222"/>
        <v>0</v>
      </c>
      <c r="AD576" s="301">
        <f t="shared" si="235"/>
        <v>0</v>
      </c>
      <c r="AE576" s="301">
        <f t="shared" si="236"/>
        <v>0</v>
      </c>
      <c r="AF576" s="477">
        <f t="shared" si="237"/>
        <v>0</v>
      </c>
    </row>
    <row r="577" spans="1:32" s="11" customFormat="1" hidden="1" x14ac:dyDescent="0.3">
      <c r="A577" s="775">
        <v>498</v>
      </c>
      <c r="B577" s="775">
        <f t="shared" si="223"/>
        <v>42</v>
      </c>
      <c r="C577" s="891">
        <f t="shared" ref="C577:E592" si="241">+C576</f>
        <v>0.14489675614077413</v>
      </c>
      <c r="D577" s="891"/>
      <c r="E577" s="891">
        <f t="shared" si="241"/>
        <v>0.03</v>
      </c>
      <c r="F577" s="891">
        <f t="shared" si="217"/>
        <v>0.03</v>
      </c>
      <c r="G577" s="893">
        <f t="shared" si="225"/>
        <v>1.151056494563818E-8</v>
      </c>
      <c r="H577" s="436">
        <f t="shared" si="218"/>
        <v>0</v>
      </c>
      <c r="I577" s="302">
        <f t="shared" si="219"/>
        <v>0</v>
      </c>
      <c r="J577" s="301">
        <f t="shared" si="238"/>
        <v>2.9176084758041223E-11</v>
      </c>
      <c r="K577" s="301">
        <f t="shared" si="226"/>
        <v>2.9176084758041223E-11</v>
      </c>
      <c r="L577" s="10">
        <f t="shared" si="227"/>
        <v>2.9176084758041223E-11</v>
      </c>
      <c r="M577" s="302"/>
      <c r="N577" s="435">
        <f t="shared" si="228"/>
        <v>0</v>
      </c>
      <c r="O577" s="436">
        <f t="shared" si="220"/>
        <v>0</v>
      </c>
      <c r="P577" s="436">
        <f t="shared" si="229"/>
        <v>0</v>
      </c>
      <c r="R577" s="354">
        <f>+Hirdetmény!$AA$46</f>
        <v>0.13400000000000001</v>
      </c>
      <c r="S577" s="301">
        <f t="shared" si="230"/>
        <v>0</v>
      </c>
      <c r="T577" s="301">
        <f t="shared" si="221"/>
        <v>0</v>
      </c>
      <c r="U577" s="301">
        <f t="shared" si="231"/>
        <v>0</v>
      </c>
      <c r="V577" s="301">
        <f t="shared" si="232"/>
        <v>0</v>
      </c>
      <c r="W577" s="301">
        <f t="shared" si="233"/>
        <v>0</v>
      </c>
      <c r="AA577" s="12">
        <f>+paraméterek!$B$346</f>
        <v>6.4600000000000005E-2</v>
      </c>
      <c r="AB577" s="301">
        <f t="shared" si="234"/>
        <v>0</v>
      </c>
      <c r="AC577" s="301">
        <f t="shared" si="222"/>
        <v>0</v>
      </c>
      <c r="AD577" s="301">
        <f t="shared" si="235"/>
        <v>0</v>
      </c>
      <c r="AE577" s="301">
        <f t="shared" si="236"/>
        <v>0</v>
      </c>
      <c r="AF577" s="477">
        <f t="shared" si="237"/>
        <v>0</v>
      </c>
    </row>
    <row r="578" spans="1:32" s="11" customFormat="1" hidden="1" x14ac:dyDescent="0.3">
      <c r="A578" s="775">
        <v>499</v>
      </c>
      <c r="B578" s="775">
        <f t="shared" si="223"/>
        <v>42</v>
      </c>
      <c r="C578" s="891">
        <f t="shared" si="241"/>
        <v>0.14489675614077413</v>
      </c>
      <c r="D578" s="891"/>
      <c r="E578" s="891">
        <f t="shared" si="241"/>
        <v>0.03</v>
      </c>
      <c r="F578" s="891">
        <f t="shared" si="217"/>
        <v>0.03</v>
      </c>
      <c r="G578" s="893">
        <f t="shared" si="225"/>
        <v>1.151056494563818E-8</v>
      </c>
      <c r="H578" s="436">
        <f t="shared" si="218"/>
        <v>0</v>
      </c>
      <c r="I578" s="302">
        <f t="shared" si="219"/>
        <v>0</v>
      </c>
      <c r="J578" s="301">
        <f t="shared" si="238"/>
        <v>2.9176084758041223E-11</v>
      </c>
      <c r="K578" s="301">
        <f t="shared" si="226"/>
        <v>2.9176084758041223E-11</v>
      </c>
      <c r="L578" s="10">
        <f t="shared" si="227"/>
        <v>2.9176084758041223E-11</v>
      </c>
      <c r="M578" s="302"/>
      <c r="N578" s="435">
        <f t="shared" si="228"/>
        <v>0</v>
      </c>
      <c r="O578" s="436">
        <f t="shared" si="220"/>
        <v>0</v>
      </c>
      <c r="P578" s="436">
        <f t="shared" si="229"/>
        <v>0</v>
      </c>
      <c r="R578" s="354">
        <f>+Hirdetmény!$AA$46</f>
        <v>0.13400000000000001</v>
      </c>
      <c r="S578" s="301">
        <f t="shared" si="230"/>
        <v>0</v>
      </c>
      <c r="T578" s="301">
        <f t="shared" si="221"/>
        <v>0</v>
      </c>
      <c r="U578" s="301">
        <f t="shared" si="231"/>
        <v>0</v>
      </c>
      <c r="V578" s="301">
        <f t="shared" si="232"/>
        <v>0</v>
      </c>
      <c r="W578" s="301">
        <f t="shared" si="233"/>
        <v>0</v>
      </c>
      <c r="AA578" s="12">
        <f>+paraméterek!$B$346</f>
        <v>6.4600000000000005E-2</v>
      </c>
      <c r="AB578" s="301">
        <f t="shared" si="234"/>
        <v>0</v>
      </c>
      <c r="AC578" s="301">
        <f t="shared" si="222"/>
        <v>0</v>
      </c>
      <c r="AD578" s="301">
        <f t="shared" si="235"/>
        <v>0</v>
      </c>
      <c r="AE578" s="301">
        <f t="shared" si="236"/>
        <v>0</v>
      </c>
      <c r="AF578" s="477">
        <f t="shared" si="237"/>
        <v>0</v>
      </c>
    </row>
    <row r="579" spans="1:32" s="11" customFormat="1" hidden="1" x14ac:dyDescent="0.3">
      <c r="A579" s="775">
        <v>500</v>
      </c>
      <c r="B579" s="775">
        <f t="shared" si="223"/>
        <v>42</v>
      </c>
      <c r="C579" s="891">
        <f t="shared" si="241"/>
        <v>0.14489675614077413</v>
      </c>
      <c r="D579" s="891"/>
      <c r="E579" s="891">
        <f t="shared" si="241"/>
        <v>0.03</v>
      </c>
      <c r="F579" s="891">
        <f t="shared" si="217"/>
        <v>0.03</v>
      </c>
      <c r="G579" s="893">
        <f t="shared" si="225"/>
        <v>1.151056494563818E-8</v>
      </c>
      <c r="H579" s="436">
        <f t="shared" si="218"/>
        <v>0</v>
      </c>
      <c r="I579" s="302">
        <f t="shared" si="219"/>
        <v>0</v>
      </c>
      <c r="J579" s="301">
        <f t="shared" si="238"/>
        <v>2.9176084758041223E-11</v>
      </c>
      <c r="K579" s="301">
        <f t="shared" si="226"/>
        <v>2.9176084758041223E-11</v>
      </c>
      <c r="L579" s="10">
        <f t="shared" si="227"/>
        <v>2.9176084758041223E-11</v>
      </c>
      <c r="M579" s="302"/>
      <c r="N579" s="435">
        <f t="shared" si="228"/>
        <v>0</v>
      </c>
      <c r="O579" s="436">
        <f t="shared" si="220"/>
        <v>0</v>
      </c>
      <c r="P579" s="436">
        <f t="shared" si="229"/>
        <v>0</v>
      </c>
      <c r="R579" s="354">
        <f>+Hirdetmény!$AA$46</f>
        <v>0.13400000000000001</v>
      </c>
      <c r="S579" s="301">
        <f t="shared" si="230"/>
        <v>0</v>
      </c>
      <c r="T579" s="301">
        <f t="shared" si="221"/>
        <v>0</v>
      </c>
      <c r="U579" s="301">
        <f t="shared" si="231"/>
        <v>0</v>
      </c>
      <c r="V579" s="301">
        <f t="shared" si="232"/>
        <v>0</v>
      </c>
      <c r="W579" s="301">
        <f t="shared" si="233"/>
        <v>0</v>
      </c>
      <c r="AA579" s="12">
        <f>+paraméterek!$B$346</f>
        <v>6.4600000000000005E-2</v>
      </c>
      <c r="AB579" s="301">
        <f t="shared" si="234"/>
        <v>0</v>
      </c>
      <c r="AC579" s="301">
        <f t="shared" si="222"/>
        <v>0</v>
      </c>
      <c r="AD579" s="301">
        <f t="shared" si="235"/>
        <v>0</v>
      </c>
      <c r="AE579" s="301">
        <f t="shared" si="236"/>
        <v>0</v>
      </c>
      <c r="AF579" s="477">
        <f t="shared" si="237"/>
        <v>0</v>
      </c>
    </row>
    <row r="580" spans="1:32" s="11" customFormat="1" hidden="1" x14ac:dyDescent="0.3">
      <c r="A580" s="775">
        <v>501</v>
      </c>
      <c r="B580" s="775">
        <f t="shared" si="223"/>
        <v>42</v>
      </c>
      <c r="C580" s="891">
        <f t="shared" si="241"/>
        <v>0.14489675614077413</v>
      </c>
      <c r="D580" s="891"/>
      <c r="E580" s="891">
        <f t="shared" si="241"/>
        <v>0.03</v>
      </c>
      <c r="F580" s="891">
        <f t="shared" si="217"/>
        <v>0.03</v>
      </c>
      <c r="G580" s="893">
        <f t="shared" si="225"/>
        <v>1.151056494563818E-8</v>
      </c>
      <c r="H580" s="436">
        <f t="shared" si="218"/>
        <v>0</v>
      </c>
      <c r="I580" s="302">
        <f t="shared" si="219"/>
        <v>0</v>
      </c>
      <c r="J580" s="301">
        <f t="shared" si="238"/>
        <v>2.9176084758041223E-11</v>
      </c>
      <c r="K580" s="301">
        <f t="shared" si="226"/>
        <v>2.9176084758041223E-11</v>
      </c>
      <c r="L580" s="10">
        <f t="shared" si="227"/>
        <v>2.9176084758041223E-11</v>
      </c>
      <c r="M580" s="302"/>
      <c r="N580" s="435">
        <f t="shared" si="228"/>
        <v>0</v>
      </c>
      <c r="O580" s="436">
        <f t="shared" si="220"/>
        <v>0</v>
      </c>
      <c r="P580" s="436">
        <f t="shared" si="229"/>
        <v>0</v>
      </c>
      <c r="R580" s="354">
        <f>+Hirdetmény!$AA$46</f>
        <v>0.13400000000000001</v>
      </c>
      <c r="S580" s="301">
        <f t="shared" si="230"/>
        <v>0</v>
      </c>
      <c r="T580" s="301">
        <f t="shared" si="221"/>
        <v>0</v>
      </c>
      <c r="U580" s="301">
        <f t="shared" si="231"/>
        <v>0</v>
      </c>
      <c r="V580" s="301">
        <f t="shared" si="232"/>
        <v>0</v>
      </c>
      <c r="W580" s="301">
        <f t="shared" si="233"/>
        <v>0</v>
      </c>
      <c r="AA580" s="12">
        <f>+paraméterek!$B$346</f>
        <v>6.4600000000000005E-2</v>
      </c>
      <c r="AB580" s="301">
        <f t="shared" si="234"/>
        <v>0</v>
      </c>
      <c r="AC580" s="301">
        <f t="shared" si="222"/>
        <v>0</v>
      </c>
      <c r="AD580" s="301">
        <f t="shared" si="235"/>
        <v>0</v>
      </c>
      <c r="AE580" s="301">
        <f t="shared" si="236"/>
        <v>0</v>
      </c>
      <c r="AF580" s="477">
        <f t="shared" si="237"/>
        <v>0</v>
      </c>
    </row>
    <row r="581" spans="1:32" s="11" customFormat="1" hidden="1" x14ac:dyDescent="0.3">
      <c r="A581" s="775">
        <v>502</v>
      </c>
      <c r="B581" s="775">
        <f t="shared" si="223"/>
        <v>42</v>
      </c>
      <c r="C581" s="891">
        <f t="shared" si="241"/>
        <v>0.14489675614077413</v>
      </c>
      <c r="D581" s="891"/>
      <c r="E581" s="891">
        <f t="shared" si="241"/>
        <v>0.03</v>
      </c>
      <c r="F581" s="891">
        <f t="shared" si="217"/>
        <v>0.03</v>
      </c>
      <c r="G581" s="893">
        <f t="shared" si="225"/>
        <v>1.151056494563818E-8</v>
      </c>
      <c r="H581" s="436">
        <f t="shared" si="218"/>
        <v>0</v>
      </c>
      <c r="I581" s="302">
        <f t="shared" si="219"/>
        <v>0</v>
      </c>
      <c r="J581" s="301">
        <f t="shared" si="238"/>
        <v>2.9176084758041223E-11</v>
      </c>
      <c r="K581" s="301">
        <f t="shared" si="226"/>
        <v>2.9176084758041223E-11</v>
      </c>
      <c r="L581" s="10">
        <f t="shared" si="227"/>
        <v>2.9176084758041223E-11</v>
      </c>
      <c r="M581" s="302"/>
      <c r="N581" s="435">
        <f t="shared" si="228"/>
        <v>0</v>
      </c>
      <c r="O581" s="436">
        <f t="shared" si="220"/>
        <v>0</v>
      </c>
      <c r="P581" s="436">
        <f t="shared" si="229"/>
        <v>0</v>
      </c>
      <c r="R581" s="354">
        <f>+Hirdetmény!$AA$46</f>
        <v>0.13400000000000001</v>
      </c>
      <c r="S581" s="301">
        <f t="shared" si="230"/>
        <v>0</v>
      </c>
      <c r="T581" s="301">
        <f t="shared" si="221"/>
        <v>0</v>
      </c>
      <c r="U581" s="301">
        <f t="shared" si="231"/>
        <v>0</v>
      </c>
      <c r="V581" s="301">
        <f t="shared" si="232"/>
        <v>0</v>
      </c>
      <c r="W581" s="301">
        <f t="shared" si="233"/>
        <v>0</v>
      </c>
      <c r="AA581" s="12">
        <f>+paraméterek!$B$346</f>
        <v>6.4600000000000005E-2</v>
      </c>
      <c r="AB581" s="301">
        <f t="shared" si="234"/>
        <v>0</v>
      </c>
      <c r="AC581" s="301">
        <f t="shared" si="222"/>
        <v>0</v>
      </c>
      <c r="AD581" s="301">
        <f t="shared" si="235"/>
        <v>0</v>
      </c>
      <c r="AE581" s="301">
        <f t="shared" si="236"/>
        <v>0</v>
      </c>
      <c r="AF581" s="477">
        <f t="shared" si="237"/>
        <v>0</v>
      </c>
    </row>
    <row r="582" spans="1:32" s="11" customFormat="1" hidden="1" x14ac:dyDescent="0.3">
      <c r="A582" s="775">
        <v>503</v>
      </c>
      <c r="B582" s="775">
        <f t="shared" si="223"/>
        <v>42</v>
      </c>
      <c r="C582" s="891">
        <f t="shared" si="241"/>
        <v>0.14489675614077413</v>
      </c>
      <c r="D582" s="891"/>
      <c r="E582" s="891">
        <f t="shared" si="241"/>
        <v>0.03</v>
      </c>
      <c r="F582" s="891">
        <f t="shared" si="217"/>
        <v>0.03</v>
      </c>
      <c r="G582" s="893">
        <f t="shared" si="225"/>
        <v>1.151056494563818E-8</v>
      </c>
      <c r="H582" s="436">
        <f t="shared" si="218"/>
        <v>0</v>
      </c>
      <c r="I582" s="302">
        <f t="shared" si="219"/>
        <v>0</v>
      </c>
      <c r="J582" s="301">
        <f t="shared" si="238"/>
        <v>2.9176084758041223E-11</v>
      </c>
      <c r="K582" s="301">
        <f t="shared" si="226"/>
        <v>2.9176084758041223E-11</v>
      </c>
      <c r="L582" s="10">
        <f t="shared" si="227"/>
        <v>2.9176084758041223E-11</v>
      </c>
      <c r="M582" s="302"/>
      <c r="N582" s="435">
        <f t="shared" si="228"/>
        <v>0</v>
      </c>
      <c r="O582" s="436">
        <f t="shared" si="220"/>
        <v>0</v>
      </c>
      <c r="P582" s="436">
        <f t="shared" si="229"/>
        <v>0</v>
      </c>
      <c r="R582" s="354">
        <f>+Hirdetmény!$AA$46</f>
        <v>0.13400000000000001</v>
      </c>
      <c r="S582" s="301">
        <f t="shared" si="230"/>
        <v>0</v>
      </c>
      <c r="T582" s="301">
        <f t="shared" si="221"/>
        <v>0</v>
      </c>
      <c r="U582" s="301">
        <f t="shared" si="231"/>
        <v>0</v>
      </c>
      <c r="V582" s="301">
        <f t="shared" si="232"/>
        <v>0</v>
      </c>
      <c r="W582" s="301">
        <f t="shared" si="233"/>
        <v>0</v>
      </c>
      <c r="AA582" s="12">
        <f>+paraméterek!$B$346</f>
        <v>6.4600000000000005E-2</v>
      </c>
      <c r="AB582" s="301">
        <f t="shared" si="234"/>
        <v>0</v>
      </c>
      <c r="AC582" s="301">
        <f t="shared" si="222"/>
        <v>0</v>
      </c>
      <c r="AD582" s="301">
        <f t="shared" si="235"/>
        <v>0</v>
      </c>
      <c r="AE582" s="301">
        <f t="shared" si="236"/>
        <v>0</v>
      </c>
      <c r="AF582" s="477">
        <f t="shared" si="237"/>
        <v>0</v>
      </c>
    </row>
    <row r="583" spans="1:32" s="11" customFormat="1" hidden="1" x14ac:dyDescent="0.3">
      <c r="A583" s="775">
        <v>504</v>
      </c>
      <c r="B583" s="775">
        <f t="shared" si="223"/>
        <v>42</v>
      </c>
      <c r="C583" s="891">
        <f t="shared" si="241"/>
        <v>0.14489675614077413</v>
      </c>
      <c r="D583" s="891"/>
      <c r="E583" s="891">
        <f t="shared" si="241"/>
        <v>0.03</v>
      </c>
      <c r="F583" s="891">
        <f t="shared" si="217"/>
        <v>0.03</v>
      </c>
      <c r="G583" s="893">
        <f t="shared" si="225"/>
        <v>1.151056494563818E-8</v>
      </c>
      <c r="H583" s="436">
        <f t="shared" si="218"/>
        <v>0</v>
      </c>
      <c r="I583" s="302">
        <f t="shared" si="219"/>
        <v>0</v>
      </c>
      <c r="J583" s="301">
        <f t="shared" si="238"/>
        <v>2.9176084758041223E-11</v>
      </c>
      <c r="K583" s="301">
        <f t="shared" si="226"/>
        <v>2.9176084758041223E-11</v>
      </c>
      <c r="L583" s="10">
        <f t="shared" si="227"/>
        <v>2.9176084758041223E-11</v>
      </c>
      <c r="M583" s="302"/>
      <c r="N583" s="435">
        <f t="shared" si="228"/>
        <v>0</v>
      </c>
      <c r="O583" s="436">
        <f t="shared" si="220"/>
        <v>0</v>
      </c>
      <c r="P583" s="436">
        <f t="shared" si="229"/>
        <v>0</v>
      </c>
      <c r="R583" s="354">
        <f>+Hirdetmény!$AA$46</f>
        <v>0.13400000000000001</v>
      </c>
      <c r="S583" s="301">
        <f t="shared" si="230"/>
        <v>0</v>
      </c>
      <c r="T583" s="301">
        <f t="shared" si="221"/>
        <v>0</v>
      </c>
      <c r="U583" s="301">
        <f t="shared" si="231"/>
        <v>0</v>
      </c>
      <c r="V583" s="301">
        <f t="shared" si="232"/>
        <v>0</v>
      </c>
      <c r="W583" s="301">
        <f t="shared" si="233"/>
        <v>0</v>
      </c>
      <c r="AA583" s="12">
        <f>+paraméterek!$B$346</f>
        <v>6.4600000000000005E-2</v>
      </c>
      <c r="AB583" s="301">
        <f t="shared" si="234"/>
        <v>0</v>
      </c>
      <c r="AC583" s="301">
        <f t="shared" si="222"/>
        <v>0</v>
      </c>
      <c r="AD583" s="301">
        <f t="shared" si="235"/>
        <v>0</v>
      </c>
      <c r="AE583" s="301">
        <f t="shared" si="236"/>
        <v>0</v>
      </c>
      <c r="AF583" s="477">
        <f t="shared" si="237"/>
        <v>0</v>
      </c>
    </row>
    <row r="584" spans="1:32" s="11" customFormat="1" hidden="1" x14ac:dyDescent="0.3">
      <c r="A584" s="775">
        <v>505</v>
      </c>
      <c r="B584" s="775">
        <f t="shared" si="223"/>
        <v>43</v>
      </c>
      <c r="C584" s="891">
        <f t="shared" si="241"/>
        <v>0.14489675614077413</v>
      </c>
      <c r="D584" s="891"/>
      <c r="E584" s="891">
        <f t="shared" si="241"/>
        <v>0.03</v>
      </c>
      <c r="F584" s="891">
        <f t="shared" si="217"/>
        <v>0.03</v>
      </c>
      <c r="G584" s="893">
        <f t="shared" si="225"/>
        <v>1.151056494563818E-8</v>
      </c>
      <c r="H584" s="436">
        <f t="shared" si="218"/>
        <v>0</v>
      </c>
      <c r="I584" s="302">
        <f t="shared" si="219"/>
        <v>0</v>
      </c>
      <c r="J584" s="301">
        <f t="shared" si="238"/>
        <v>2.9176084758041223E-11</v>
      </c>
      <c r="K584" s="301">
        <f t="shared" si="226"/>
        <v>2.9176084758041223E-11</v>
      </c>
      <c r="L584" s="10">
        <f t="shared" si="227"/>
        <v>2.9176084758041223E-11</v>
      </c>
      <c r="M584" s="302"/>
      <c r="N584" s="435">
        <f t="shared" si="228"/>
        <v>0</v>
      </c>
      <c r="O584" s="436">
        <f t="shared" si="220"/>
        <v>0</v>
      </c>
      <c r="P584" s="436">
        <f t="shared" si="229"/>
        <v>0</v>
      </c>
      <c r="R584" s="354">
        <f>+Hirdetmény!$AA$46</f>
        <v>0.13400000000000001</v>
      </c>
      <c r="S584" s="301">
        <f t="shared" si="230"/>
        <v>0</v>
      </c>
      <c r="T584" s="301">
        <f t="shared" si="221"/>
        <v>0</v>
      </c>
      <c r="U584" s="301">
        <f t="shared" si="231"/>
        <v>0</v>
      </c>
      <c r="V584" s="301">
        <f t="shared" si="232"/>
        <v>0</v>
      </c>
      <c r="W584" s="301">
        <f t="shared" si="233"/>
        <v>0</v>
      </c>
      <c r="AA584" s="12">
        <f>+paraméterek!$B$346</f>
        <v>6.4600000000000005E-2</v>
      </c>
      <c r="AB584" s="301">
        <f t="shared" si="234"/>
        <v>0</v>
      </c>
      <c r="AC584" s="301">
        <f t="shared" si="222"/>
        <v>0</v>
      </c>
      <c r="AD584" s="301">
        <f t="shared" si="235"/>
        <v>0</v>
      </c>
      <c r="AE584" s="301">
        <f t="shared" si="236"/>
        <v>0</v>
      </c>
      <c r="AF584" s="477">
        <f t="shared" si="237"/>
        <v>0</v>
      </c>
    </row>
    <row r="585" spans="1:32" s="11" customFormat="1" hidden="1" x14ac:dyDescent="0.3">
      <c r="A585" s="775">
        <v>506</v>
      </c>
      <c r="B585" s="775">
        <f t="shared" si="223"/>
        <v>43</v>
      </c>
      <c r="C585" s="891">
        <f t="shared" si="241"/>
        <v>0.14489675614077413</v>
      </c>
      <c r="D585" s="891"/>
      <c r="E585" s="891">
        <f t="shared" si="241"/>
        <v>0.03</v>
      </c>
      <c r="F585" s="891">
        <f t="shared" si="217"/>
        <v>0.03</v>
      </c>
      <c r="G585" s="893">
        <f t="shared" si="225"/>
        <v>1.151056494563818E-8</v>
      </c>
      <c r="H585" s="436">
        <f t="shared" si="218"/>
        <v>0</v>
      </c>
      <c r="I585" s="302">
        <f t="shared" si="219"/>
        <v>0</v>
      </c>
      <c r="J585" s="301">
        <f t="shared" si="238"/>
        <v>2.9176084758041223E-11</v>
      </c>
      <c r="K585" s="301">
        <f t="shared" si="226"/>
        <v>2.9176084758041223E-11</v>
      </c>
      <c r="L585" s="10">
        <f t="shared" si="227"/>
        <v>2.9176084758041223E-11</v>
      </c>
      <c r="M585" s="302"/>
      <c r="N585" s="435">
        <f t="shared" si="228"/>
        <v>0</v>
      </c>
      <c r="O585" s="436">
        <f t="shared" si="220"/>
        <v>0</v>
      </c>
      <c r="P585" s="436">
        <f t="shared" si="229"/>
        <v>0</v>
      </c>
      <c r="R585" s="354">
        <f>+Hirdetmény!$AA$46</f>
        <v>0.13400000000000001</v>
      </c>
      <c r="S585" s="301">
        <f t="shared" si="230"/>
        <v>0</v>
      </c>
      <c r="T585" s="301">
        <f t="shared" si="221"/>
        <v>0</v>
      </c>
      <c r="U585" s="301">
        <f t="shared" si="231"/>
        <v>0</v>
      </c>
      <c r="V585" s="301">
        <f t="shared" si="232"/>
        <v>0</v>
      </c>
      <c r="W585" s="301">
        <f t="shared" si="233"/>
        <v>0</v>
      </c>
      <c r="AA585" s="12">
        <f>+paraméterek!$B$346</f>
        <v>6.4600000000000005E-2</v>
      </c>
      <c r="AB585" s="301">
        <f t="shared" si="234"/>
        <v>0</v>
      </c>
      <c r="AC585" s="301">
        <f t="shared" si="222"/>
        <v>0</v>
      </c>
      <c r="AD585" s="301">
        <f t="shared" si="235"/>
        <v>0</v>
      </c>
      <c r="AE585" s="301">
        <f t="shared" si="236"/>
        <v>0</v>
      </c>
      <c r="AF585" s="477">
        <f t="shared" si="237"/>
        <v>0</v>
      </c>
    </row>
    <row r="586" spans="1:32" s="11" customFormat="1" hidden="1" x14ac:dyDescent="0.3">
      <c r="A586" s="775">
        <v>507</v>
      </c>
      <c r="B586" s="775">
        <f t="shared" si="223"/>
        <v>43</v>
      </c>
      <c r="C586" s="891">
        <f t="shared" si="241"/>
        <v>0.14489675614077413</v>
      </c>
      <c r="D586" s="891"/>
      <c r="E586" s="891">
        <f t="shared" si="241"/>
        <v>0.03</v>
      </c>
      <c r="F586" s="891">
        <f t="shared" si="217"/>
        <v>0.03</v>
      </c>
      <c r="G586" s="893">
        <f t="shared" si="225"/>
        <v>1.151056494563818E-8</v>
      </c>
      <c r="H586" s="436">
        <f t="shared" si="218"/>
        <v>0</v>
      </c>
      <c r="I586" s="302">
        <f t="shared" si="219"/>
        <v>0</v>
      </c>
      <c r="J586" s="301">
        <f t="shared" si="238"/>
        <v>2.9176084758041223E-11</v>
      </c>
      <c r="K586" s="301">
        <f t="shared" si="226"/>
        <v>2.9176084758041223E-11</v>
      </c>
      <c r="L586" s="10">
        <f t="shared" si="227"/>
        <v>2.9176084758041223E-11</v>
      </c>
      <c r="M586" s="302"/>
      <c r="N586" s="435">
        <f t="shared" si="228"/>
        <v>0</v>
      </c>
      <c r="O586" s="436">
        <f t="shared" si="220"/>
        <v>0</v>
      </c>
      <c r="P586" s="436">
        <f t="shared" si="229"/>
        <v>0</v>
      </c>
      <c r="R586" s="354">
        <f>+Hirdetmény!$AA$46</f>
        <v>0.13400000000000001</v>
      </c>
      <c r="S586" s="301">
        <f t="shared" si="230"/>
        <v>0</v>
      </c>
      <c r="T586" s="301">
        <f t="shared" si="221"/>
        <v>0</v>
      </c>
      <c r="U586" s="301">
        <f t="shared" si="231"/>
        <v>0</v>
      </c>
      <c r="V586" s="301">
        <f t="shared" si="232"/>
        <v>0</v>
      </c>
      <c r="W586" s="301">
        <f t="shared" si="233"/>
        <v>0</v>
      </c>
      <c r="AA586" s="12">
        <f>+paraméterek!$B$346</f>
        <v>6.4600000000000005E-2</v>
      </c>
      <c r="AB586" s="301">
        <f t="shared" si="234"/>
        <v>0</v>
      </c>
      <c r="AC586" s="301">
        <f t="shared" si="222"/>
        <v>0</v>
      </c>
      <c r="AD586" s="301">
        <f t="shared" si="235"/>
        <v>0</v>
      </c>
      <c r="AE586" s="301">
        <f t="shared" si="236"/>
        <v>0</v>
      </c>
      <c r="AF586" s="477">
        <f t="shared" si="237"/>
        <v>0</v>
      </c>
    </row>
    <row r="587" spans="1:32" s="11" customFormat="1" hidden="1" x14ac:dyDescent="0.3">
      <c r="A587" s="775">
        <v>508</v>
      </c>
      <c r="B587" s="775">
        <f t="shared" si="223"/>
        <v>43</v>
      </c>
      <c r="C587" s="891">
        <f t="shared" si="241"/>
        <v>0.14489675614077413</v>
      </c>
      <c r="D587" s="891"/>
      <c r="E587" s="891">
        <f t="shared" si="241"/>
        <v>0.03</v>
      </c>
      <c r="F587" s="891">
        <f t="shared" si="217"/>
        <v>0.03</v>
      </c>
      <c r="G587" s="893">
        <f t="shared" si="225"/>
        <v>1.151056494563818E-8</v>
      </c>
      <c r="H587" s="436">
        <f t="shared" si="218"/>
        <v>0</v>
      </c>
      <c r="I587" s="302">
        <f t="shared" si="219"/>
        <v>0</v>
      </c>
      <c r="J587" s="301">
        <f t="shared" si="238"/>
        <v>2.9176084758041223E-11</v>
      </c>
      <c r="K587" s="301">
        <f t="shared" si="226"/>
        <v>2.9176084758041223E-11</v>
      </c>
      <c r="L587" s="10">
        <f t="shared" si="227"/>
        <v>2.9176084758041223E-11</v>
      </c>
      <c r="M587" s="302"/>
      <c r="N587" s="435">
        <f t="shared" si="228"/>
        <v>0</v>
      </c>
      <c r="O587" s="436">
        <f t="shared" si="220"/>
        <v>0</v>
      </c>
      <c r="P587" s="436">
        <f t="shared" si="229"/>
        <v>0</v>
      </c>
      <c r="R587" s="354">
        <f>+Hirdetmény!$AA$46</f>
        <v>0.13400000000000001</v>
      </c>
      <c r="S587" s="301">
        <f t="shared" si="230"/>
        <v>0</v>
      </c>
      <c r="T587" s="301">
        <f t="shared" si="221"/>
        <v>0</v>
      </c>
      <c r="U587" s="301">
        <f t="shared" si="231"/>
        <v>0</v>
      </c>
      <c r="V587" s="301">
        <f t="shared" si="232"/>
        <v>0</v>
      </c>
      <c r="W587" s="301">
        <f t="shared" si="233"/>
        <v>0</v>
      </c>
      <c r="AA587" s="12">
        <f>+paraméterek!$B$346</f>
        <v>6.4600000000000005E-2</v>
      </c>
      <c r="AB587" s="301">
        <f t="shared" si="234"/>
        <v>0</v>
      </c>
      <c r="AC587" s="301">
        <f t="shared" si="222"/>
        <v>0</v>
      </c>
      <c r="AD587" s="301">
        <f t="shared" si="235"/>
        <v>0</v>
      </c>
      <c r="AE587" s="301">
        <f t="shared" si="236"/>
        <v>0</v>
      </c>
      <c r="AF587" s="477">
        <f t="shared" si="237"/>
        <v>0</v>
      </c>
    </row>
    <row r="588" spans="1:32" s="11" customFormat="1" hidden="1" x14ac:dyDescent="0.3">
      <c r="A588" s="775">
        <v>509</v>
      </c>
      <c r="B588" s="775">
        <f t="shared" si="223"/>
        <v>43</v>
      </c>
      <c r="C588" s="891">
        <f t="shared" si="241"/>
        <v>0.14489675614077413</v>
      </c>
      <c r="D588" s="891"/>
      <c r="E588" s="891">
        <f t="shared" si="241"/>
        <v>0.03</v>
      </c>
      <c r="F588" s="891">
        <f t="shared" si="217"/>
        <v>0.03</v>
      </c>
      <c r="G588" s="893">
        <f t="shared" si="225"/>
        <v>1.151056494563818E-8</v>
      </c>
      <c r="H588" s="436">
        <f t="shared" si="218"/>
        <v>0</v>
      </c>
      <c r="I588" s="302">
        <f t="shared" si="219"/>
        <v>0</v>
      </c>
      <c r="J588" s="301">
        <f t="shared" si="238"/>
        <v>2.9176084758041223E-11</v>
      </c>
      <c r="K588" s="301">
        <f t="shared" si="226"/>
        <v>2.9176084758041223E-11</v>
      </c>
      <c r="L588" s="10">
        <f t="shared" si="227"/>
        <v>2.9176084758041223E-11</v>
      </c>
      <c r="M588" s="302"/>
      <c r="N588" s="435">
        <f t="shared" si="228"/>
        <v>0</v>
      </c>
      <c r="O588" s="436">
        <f t="shared" si="220"/>
        <v>0</v>
      </c>
      <c r="P588" s="436">
        <f t="shared" si="229"/>
        <v>0</v>
      </c>
      <c r="R588" s="354">
        <f>+Hirdetmény!$AA$46</f>
        <v>0.13400000000000001</v>
      </c>
      <c r="S588" s="301">
        <f t="shared" si="230"/>
        <v>0</v>
      </c>
      <c r="T588" s="301">
        <f t="shared" si="221"/>
        <v>0</v>
      </c>
      <c r="U588" s="301">
        <f t="shared" si="231"/>
        <v>0</v>
      </c>
      <c r="V588" s="301">
        <f t="shared" si="232"/>
        <v>0</v>
      </c>
      <c r="W588" s="301">
        <f t="shared" si="233"/>
        <v>0</v>
      </c>
      <c r="AA588" s="12">
        <f>+paraméterek!$B$346</f>
        <v>6.4600000000000005E-2</v>
      </c>
      <c r="AB588" s="301">
        <f t="shared" si="234"/>
        <v>0</v>
      </c>
      <c r="AC588" s="301">
        <f t="shared" si="222"/>
        <v>0</v>
      </c>
      <c r="AD588" s="301">
        <f t="shared" si="235"/>
        <v>0</v>
      </c>
      <c r="AE588" s="301">
        <f t="shared" si="236"/>
        <v>0</v>
      </c>
      <c r="AF588" s="477">
        <f t="shared" si="237"/>
        <v>0</v>
      </c>
    </row>
    <row r="589" spans="1:32" s="11" customFormat="1" hidden="1" x14ac:dyDescent="0.3">
      <c r="A589" s="775">
        <v>510</v>
      </c>
      <c r="B589" s="775">
        <f t="shared" si="223"/>
        <v>43</v>
      </c>
      <c r="C589" s="891">
        <f t="shared" si="241"/>
        <v>0.14489675614077413</v>
      </c>
      <c r="D589" s="891"/>
      <c r="E589" s="891">
        <f t="shared" si="241"/>
        <v>0.03</v>
      </c>
      <c r="F589" s="891">
        <f t="shared" si="217"/>
        <v>0.03</v>
      </c>
      <c r="G589" s="893">
        <f t="shared" si="225"/>
        <v>1.151056494563818E-8</v>
      </c>
      <c r="H589" s="436">
        <f t="shared" si="218"/>
        <v>0</v>
      </c>
      <c r="I589" s="302">
        <f t="shared" si="219"/>
        <v>0</v>
      </c>
      <c r="J589" s="301">
        <f t="shared" si="238"/>
        <v>2.9176084758041223E-11</v>
      </c>
      <c r="K589" s="301">
        <f t="shared" si="226"/>
        <v>2.9176084758041223E-11</v>
      </c>
      <c r="L589" s="10">
        <f t="shared" si="227"/>
        <v>2.9176084758041223E-11</v>
      </c>
      <c r="M589" s="302"/>
      <c r="N589" s="435">
        <f t="shared" si="228"/>
        <v>0</v>
      </c>
      <c r="O589" s="436">
        <f t="shared" si="220"/>
        <v>0</v>
      </c>
      <c r="P589" s="436">
        <f t="shared" si="229"/>
        <v>0</v>
      </c>
      <c r="R589" s="354">
        <f>+Hirdetmény!$AA$46</f>
        <v>0.13400000000000001</v>
      </c>
      <c r="S589" s="301">
        <f t="shared" si="230"/>
        <v>0</v>
      </c>
      <c r="T589" s="301">
        <f t="shared" si="221"/>
        <v>0</v>
      </c>
      <c r="U589" s="301">
        <f t="shared" si="231"/>
        <v>0</v>
      </c>
      <c r="V589" s="301">
        <f t="shared" si="232"/>
        <v>0</v>
      </c>
      <c r="W589" s="301">
        <f t="shared" si="233"/>
        <v>0</v>
      </c>
      <c r="AA589" s="12">
        <f>+paraméterek!$B$346</f>
        <v>6.4600000000000005E-2</v>
      </c>
      <c r="AB589" s="301">
        <f t="shared" si="234"/>
        <v>0</v>
      </c>
      <c r="AC589" s="301">
        <f t="shared" si="222"/>
        <v>0</v>
      </c>
      <c r="AD589" s="301">
        <f t="shared" si="235"/>
        <v>0</v>
      </c>
      <c r="AE589" s="301">
        <f t="shared" si="236"/>
        <v>0</v>
      </c>
      <c r="AF589" s="477">
        <f t="shared" si="237"/>
        <v>0</v>
      </c>
    </row>
    <row r="590" spans="1:32" s="11" customFormat="1" hidden="1" x14ac:dyDescent="0.3">
      <c r="A590" s="775">
        <v>511</v>
      </c>
      <c r="B590" s="775">
        <f t="shared" si="223"/>
        <v>43</v>
      </c>
      <c r="C590" s="891">
        <f t="shared" si="241"/>
        <v>0.14489675614077413</v>
      </c>
      <c r="D590" s="891"/>
      <c r="E590" s="891">
        <f t="shared" si="241"/>
        <v>0.03</v>
      </c>
      <c r="F590" s="891">
        <f t="shared" si="217"/>
        <v>0.03</v>
      </c>
      <c r="G590" s="893">
        <f t="shared" si="225"/>
        <v>1.151056494563818E-8</v>
      </c>
      <c r="H590" s="436">
        <f t="shared" si="218"/>
        <v>0</v>
      </c>
      <c r="I590" s="302">
        <f t="shared" si="219"/>
        <v>0</v>
      </c>
      <c r="J590" s="301">
        <f t="shared" si="238"/>
        <v>2.9176084758041223E-11</v>
      </c>
      <c r="K590" s="301">
        <f t="shared" si="226"/>
        <v>2.9176084758041223E-11</v>
      </c>
      <c r="L590" s="10">
        <f t="shared" si="227"/>
        <v>2.9176084758041223E-11</v>
      </c>
      <c r="M590" s="302"/>
      <c r="N590" s="435">
        <f t="shared" si="228"/>
        <v>0</v>
      </c>
      <c r="O590" s="436">
        <f t="shared" si="220"/>
        <v>0</v>
      </c>
      <c r="P590" s="436">
        <f t="shared" si="229"/>
        <v>0</v>
      </c>
      <c r="R590" s="354">
        <f>+Hirdetmény!$AA$46</f>
        <v>0.13400000000000001</v>
      </c>
      <c r="S590" s="301">
        <f t="shared" si="230"/>
        <v>0</v>
      </c>
      <c r="T590" s="301">
        <f t="shared" si="221"/>
        <v>0</v>
      </c>
      <c r="U590" s="301">
        <f t="shared" si="231"/>
        <v>0</v>
      </c>
      <c r="V590" s="301">
        <f t="shared" si="232"/>
        <v>0</v>
      </c>
      <c r="W590" s="301">
        <f t="shared" si="233"/>
        <v>0</v>
      </c>
      <c r="AA590" s="12">
        <f>+paraméterek!$B$346</f>
        <v>6.4600000000000005E-2</v>
      </c>
      <c r="AB590" s="301">
        <f t="shared" si="234"/>
        <v>0</v>
      </c>
      <c r="AC590" s="301">
        <f t="shared" si="222"/>
        <v>0</v>
      </c>
      <c r="AD590" s="301">
        <f t="shared" si="235"/>
        <v>0</v>
      </c>
      <c r="AE590" s="301">
        <f t="shared" si="236"/>
        <v>0</v>
      </c>
      <c r="AF590" s="477">
        <f t="shared" si="237"/>
        <v>0</v>
      </c>
    </row>
    <row r="591" spans="1:32" s="11" customFormat="1" hidden="1" x14ac:dyDescent="0.3">
      <c r="A591" s="775">
        <v>512</v>
      </c>
      <c r="B591" s="775">
        <f t="shared" si="223"/>
        <v>43</v>
      </c>
      <c r="C591" s="891">
        <f t="shared" si="241"/>
        <v>0.14489675614077413</v>
      </c>
      <c r="D591" s="891"/>
      <c r="E591" s="891">
        <f t="shared" si="241"/>
        <v>0.03</v>
      </c>
      <c r="F591" s="891">
        <f t="shared" si="217"/>
        <v>0.03</v>
      </c>
      <c r="G591" s="893">
        <f t="shared" si="225"/>
        <v>1.151056494563818E-8</v>
      </c>
      <c r="H591" s="436">
        <f t="shared" si="218"/>
        <v>0</v>
      </c>
      <c r="I591" s="302">
        <f t="shared" si="219"/>
        <v>0</v>
      </c>
      <c r="J591" s="301">
        <f t="shared" si="238"/>
        <v>2.9176084758041223E-11</v>
      </c>
      <c r="K591" s="301">
        <f t="shared" si="226"/>
        <v>2.9176084758041223E-11</v>
      </c>
      <c r="L591" s="10">
        <f t="shared" si="227"/>
        <v>2.9176084758041223E-11</v>
      </c>
      <c r="M591" s="302"/>
      <c r="N591" s="435">
        <f t="shared" si="228"/>
        <v>0</v>
      </c>
      <c r="O591" s="436">
        <f t="shared" si="220"/>
        <v>0</v>
      </c>
      <c r="P591" s="436">
        <f t="shared" si="229"/>
        <v>0</v>
      </c>
      <c r="R591" s="354">
        <f>+Hirdetmény!$AA$46</f>
        <v>0.13400000000000001</v>
      </c>
      <c r="S591" s="301">
        <f t="shared" si="230"/>
        <v>0</v>
      </c>
      <c r="T591" s="301">
        <f t="shared" si="221"/>
        <v>0</v>
      </c>
      <c r="U591" s="301">
        <f t="shared" si="231"/>
        <v>0</v>
      </c>
      <c r="V591" s="301">
        <f t="shared" si="232"/>
        <v>0</v>
      </c>
      <c r="W591" s="301">
        <f t="shared" si="233"/>
        <v>0</v>
      </c>
      <c r="AA591" s="12">
        <f>+paraméterek!$B$346</f>
        <v>6.4600000000000005E-2</v>
      </c>
      <c r="AB591" s="301">
        <f t="shared" si="234"/>
        <v>0</v>
      </c>
      <c r="AC591" s="301">
        <f t="shared" si="222"/>
        <v>0</v>
      </c>
      <c r="AD591" s="301">
        <f t="shared" si="235"/>
        <v>0</v>
      </c>
      <c r="AE591" s="301">
        <f t="shared" si="236"/>
        <v>0</v>
      </c>
      <c r="AF591" s="477">
        <f t="shared" si="237"/>
        <v>0</v>
      </c>
    </row>
    <row r="592" spans="1:32" s="11" customFormat="1" hidden="1" x14ac:dyDescent="0.3">
      <c r="A592" s="775">
        <v>513</v>
      </c>
      <c r="B592" s="775">
        <f t="shared" si="223"/>
        <v>43</v>
      </c>
      <c r="C592" s="891">
        <f t="shared" si="241"/>
        <v>0.14489675614077413</v>
      </c>
      <c r="D592" s="891"/>
      <c r="E592" s="891">
        <f t="shared" si="241"/>
        <v>0.03</v>
      </c>
      <c r="F592" s="891">
        <f t="shared" ref="F592:F655" si="242">$F$7</f>
        <v>0.03</v>
      </c>
      <c r="G592" s="893">
        <f t="shared" si="225"/>
        <v>1.151056494563818E-8</v>
      </c>
      <c r="H592" s="436">
        <f t="shared" ref="H592:H655" si="243">IF(A592&lt;=$B$16,0,IF(A592&lt;=$B$10,PPMT(F592/360*(365/12),A592-$B$16,$B$10-$B$16,-$G$79),0))</f>
        <v>0</v>
      </c>
      <c r="I592" s="302">
        <f t="shared" ref="I592:I655" si="244">+IF(A592=$B$10,$C$47,0)</f>
        <v>0</v>
      </c>
      <c r="J592" s="301">
        <f t="shared" si="238"/>
        <v>2.9176084758041223E-11</v>
      </c>
      <c r="K592" s="301">
        <f t="shared" si="226"/>
        <v>2.9176084758041223E-11</v>
      </c>
      <c r="L592" s="10">
        <f t="shared" si="227"/>
        <v>2.9176084758041223E-11</v>
      </c>
      <c r="M592" s="302"/>
      <c r="N592" s="435">
        <f t="shared" si="228"/>
        <v>0</v>
      </c>
      <c r="O592" s="436">
        <f t="shared" ref="O592:O655" si="245">IF(A592&lt;=$B$10,$B$54,0)</f>
        <v>0</v>
      </c>
      <c r="P592" s="436">
        <f t="shared" si="229"/>
        <v>0</v>
      </c>
      <c r="R592" s="354">
        <f>+Hirdetmény!$AA$46</f>
        <v>0.13400000000000001</v>
      </c>
      <c r="S592" s="301">
        <f t="shared" si="230"/>
        <v>0</v>
      </c>
      <c r="T592" s="301">
        <f t="shared" ref="T592:T655" si="246">IF(A592&lt;=$B$10,IF(A592&gt;$B$16,PPMT(R592/360*(365/12),1,$B$10-A591,S591,$C$47*-1),0)*-1,0)</f>
        <v>0</v>
      </c>
      <c r="U592" s="301">
        <f t="shared" si="231"/>
        <v>0</v>
      </c>
      <c r="V592" s="301">
        <f t="shared" si="232"/>
        <v>0</v>
      </c>
      <c r="W592" s="301">
        <f t="shared" si="233"/>
        <v>0</v>
      </c>
      <c r="AA592" s="12">
        <f>+paraméterek!$B$346</f>
        <v>6.4600000000000005E-2</v>
      </c>
      <c r="AB592" s="301">
        <f t="shared" si="234"/>
        <v>0</v>
      </c>
      <c r="AC592" s="301">
        <f t="shared" ref="AC592:AC655" si="247">IF(A592&lt;=$B$10,IF(A592&gt;$B$16,PPMT(AA592/360*(365/12),1,$B$10-A591,AB591,$C$47*-1),0)*-1,0)</f>
        <v>0</v>
      </c>
      <c r="AD592" s="301">
        <f t="shared" si="235"/>
        <v>0</v>
      </c>
      <c r="AE592" s="301">
        <f t="shared" si="236"/>
        <v>0</v>
      </c>
      <c r="AF592" s="477">
        <f t="shared" si="237"/>
        <v>0</v>
      </c>
    </row>
    <row r="593" spans="1:32" s="11" customFormat="1" hidden="1" x14ac:dyDescent="0.3">
      <c r="A593" s="775">
        <v>514</v>
      </c>
      <c r="B593" s="775">
        <f t="shared" ref="B593:B656" si="248">+ROUNDUP(A593/12,0)</f>
        <v>43</v>
      </c>
      <c r="C593" s="891">
        <f t="shared" ref="C593:E608" si="249">+C592</f>
        <v>0.14489675614077413</v>
      </c>
      <c r="D593" s="891"/>
      <c r="E593" s="891">
        <f t="shared" si="249"/>
        <v>0.03</v>
      </c>
      <c r="F593" s="891">
        <f t="shared" si="242"/>
        <v>0.03</v>
      </c>
      <c r="G593" s="893">
        <f t="shared" ref="G593:G656" si="250">+G592-H593-I593</f>
        <v>1.151056494563818E-8</v>
      </c>
      <c r="H593" s="436">
        <f t="shared" si="243"/>
        <v>0</v>
      </c>
      <c r="I593" s="302">
        <f t="shared" si="244"/>
        <v>0</v>
      </c>
      <c r="J593" s="301">
        <f t="shared" si="238"/>
        <v>2.9176084758041223E-11</v>
      </c>
      <c r="K593" s="301">
        <f t="shared" ref="K593:K656" si="251">+(H593+J593)+IF($B$15="nem",$B$58,IF(A593&lt;$B$16+1,$B$57,$B$58)+O593)+P593+I593</f>
        <v>2.9176084758041223E-11</v>
      </c>
      <c r="L593" s="10">
        <f t="shared" ref="L593:L656" si="252">H593+I593+J593</f>
        <v>2.9176084758041223E-11</v>
      </c>
      <c r="M593" s="302"/>
      <c r="N593" s="435">
        <f t="shared" ref="N593:N656" si="253">IF(A593&lt;=$B$10,PMT($F$7*365/360/12,$B$10,-$F$66)+O593+P593+$F$52)+IF($B$15="nem",$B$58,IF(A593&lt;$B$16+1,$B$57,$B$58))</f>
        <v>0</v>
      </c>
      <c r="O593" s="436">
        <f t="shared" si="245"/>
        <v>0</v>
      </c>
      <c r="P593" s="436">
        <f t="shared" ref="P593:P656" si="254">IF(A593&lt;=$B$10,IF($B$30="havi",$B$28,0)+IF($B$30="negyedéves",$B$28,0)+IF($B$30="féléves",$B$28,0)+IF($B$66="éves",$B$28,0),0)</f>
        <v>0</v>
      </c>
      <c r="R593" s="354">
        <f>+Hirdetmény!$AA$46</f>
        <v>0.13400000000000001</v>
      </c>
      <c r="S593" s="301">
        <f t="shared" ref="S593:S656" si="255">+S592-T593</f>
        <v>0</v>
      </c>
      <c r="T593" s="301">
        <f t="shared" si="246"/>
        <v>0</v>
      </c>
      <c r="U593" s="301">
        <f t="shared" ref="U593:U656" si="256">+S592*R593/360*(365/12)</f>
        <v>0</v>
      </c>
      <c r="V593" s="301">
        <f t="shared" ref="V593:V656" si="257">+T593+U593</f>
        <v>0</v>
      </c>
      <c r="W593" s="301">
        <f t="shared" ref="W593:W656" si="258">+V593+IF($B$15="nem",$B$58,IF(A593&lt;$B$16+1,$B$57,$B$58))+IF(A593&lt;=$B$10,$B$54+$F$52+P593,0)</f>
        <v>0</v>
      </c>
      <c r="AA593" s="12">
        <f>+paraméterek!$B$346</f>
        <v>6.4600000000000005E-2</v>
      </c>
      <c r="AB593" s="301">
        <f t="shared" ref="AB593:AB656" si="259">+AB592-AC593</f>
        <v>0</v>
      </c>
      <c r="AC593" s="301">
        <f t="shared" si="247"/>
        <v>0</v>
      </c>
      <c r="AD593" s="301">
        <f t="shared" ref="AD593:AD656" si="260">+AB592*AA593/360*(365/12)</f>
        <v>0</v>
      </c>
      <c r="AE593" s="301">
        <f t="shared" ref="AE593:AE656" si="261">+AC593+AD593</f>
        <v>0</v>
      </c>
      <c r="AF593" s="477">
        <f t="shared" ref="AF593:AF656" si="262">+AE593+IF($B$15="nem",$B$58,IF(A593&lt;$B$16+1,$B$57,$B$58)+IF(A593&lt;=$B$10,$B$54+$F$52+P593,0))</f>
        <v>0</v>
      </c>
    </row>
    <row r="594" spans="1:32" s="11" customFormat="1" hidden="1" x14ac:dyDescent="0.3">
      <c r="A594" s="775">
        <v>515</v>
      </c>
      <c r="B594" s="775">
        <f t="shared" si="248"/>
        <v>43</v>
      </c>
      <c r="C594" s="891">
        <f t="shared" si="249"/>
        <v>0.14489675614077413</v>
      </c>
      <c r="D594" s="891"/>
      <c r="E594" s="891">
        <f t="shared" si="249"/>
        <v>0.03</v>
      </c>
      <c r="F594" s="891">
        <f t="shared" si="242"/>
        <v>0.03</v>
      </c>
      <c r="G594" s="893">
        <f t="shared" si="250"/>
        <v>1.151056494563818E-8</v>
      </c>
      <c r="H594" s="436">
        <f t="shared" si="243"/>
        <v>0</v>
      </c>
      <c r="I594" s="302">
        <f t="shared" si="244"/>
        <v>0</v>
      </c>
      <c r="J594" s="301">
        <f t="shared" ref="J594:J657" si="263">+G593*F594/360*(365/12)</f>
        <v>2.9176084758041223E-11</v>
      </c>
      <c r="K594" s="301">
        <f t="shared" si="251"/>
        <v>2.9176084758041223E-11</v>
      </c>
      <c r="L594" s="10">
        <f t="shared" si="252"/>
        <v>2.9176084758041223E-11</v>
      </c>
      <c r="M594" s="302"/>
      <c r="N594" s="435">
        <f t="shared" si="253"/>
        <v>0</v>
      </c>
      <c r="O594" s="436">
        <f t="shared" si="245"/>
        <v>0</v>
      </c>
      <c r="P594" s="436">
        <f t="shared" si="254"/>
        <v>0</v>
      </c>
      <c r="R594" s="354">
        <f>+Hirdetmény!$AA$46</f>
        <v>0.13400000000000001</v>
      </c>
      <c r="S594" s="301">
        <f t="shared" si="255"/>
        <v>0</v>
      </c>
      <c r="T594" s="301">
        <f t="shared" si="246"/>
        <v>0</v>
      </c>
      <c r="U594" s="301">
        <f t="shared" si="256"/>
        <v>0</v>
      </c>
      <c r="V594" s="301">
        <f t="shared" si="257"/>
        <v>0</v>
      </c>
      <c r="W594" s="301">
        <f t="shared" si="258"/>
        <v>0</v>
      </c>
      <c r="AA594" s="12">
        <f>+paraméterek!$B$346</f>
        <v>6.4600000000000005E-2</v>
      </c>
      <c r="AB594" s="301">
        <f t="shared" si="259"/>
        <v>0</v>
      </c>
      <c r="AC594" s="301">
        <f t="shared" si="247"/>
        <v>0</v>
      </c>
      <c r="AD594" s="301">
        <f t="shared" si="260"/>
        <v>0</v>
      </c>
      <c r="AE594" s="301">
        <f t="shared" si="261"/>
        <v>0</v>
      </c>
      <c r="AF594" s="477">
        <f t="shared" si="262"/>
        <v>0</v>
      </c>
    </row>
    <row r="595" spans="1:32" s="11" customFormat="1" hidden="1" x14ac:dyDescent="0.3">
      <c r="A595" s="775">
        <v>516</v>
      </c>
      <c r="B595" s="775">
        <f t="shared" si="248"/>
        <v>43</v>
      </c>
      <c r="C595" s="891">
        <f t="shared" si="249"/>
        <v>0.14489675614077413</v>
      </c>
      <c r="D595" s="891"/>
      <c r="E595" s="891">
        <f t="shared" si="249"/>
        <v>0.03</v>
      </c>
      <c r="F595" s="891">
        <f t="shared" si="242"/>
        <v>0.03</v>
      </c>
      <c r="G595" s="893">
        <f t="shared" si="250"/>
        <v>1.151056494563818E-8</v>
      </c>
      <c r="H595" s="436">
        <f t="shared" si="243"/>
        <v>0</v>
      </c>
      <c r="I595" s="302">
        <f t="shared" si="244"/>
        <v>0</v>
      </c>
      <c r="J595" s="301">
        <f t="shared" si="263"/>
        <v>2.9176084758041223E-11</v>
      </c>
      <c r="K595" s="301">
        <f t="shared" si="251"/>
        <v>2.9176084758041223E-11</v>
      </c>
      <c r="L595" s="10">
        <f t="shared" si="252"/>
        <v>2.9176084758041223E-11</v>
      </c>
      <c r="M595" s="302"/>
      <c r="N595" s="435">
        <f t="shared" si="253"/>
        <v>0</v>
      </c>
      <c r="O595" s="436">
        <f t="shared" si="245"/>
        <v>0</v>
      </c>
      <c r="P595" s="436">
        <f t="shared" si="254"/>
        <v>0</v>
      </c>
      <c r="R595" s="354">
        <f>+Hirdetmény!$AA$46</f>
        <v>0.13400000000000001</v>
      </c>
      <c r="S595" s="301">
        <f t="shared" si="255"/>
        <v>0</v>
      </c>
      <c r="T595" s="301">
        <f t="shared" si="246"/>
        <v>0</v>
      </c>
      <c r="U595" s="301">
        <f t="shared" si="256"/>
        <v>0</v>
      </c>
      <c r="V595" s="301">
        <f t="shared" si="257"/>
        <v>0</v>
      </c>
      <c r="W595" s="301">
        <f t="shared" si="258"/>
        <v>0</v>
      </c>
      <c r="AA595" s="12">
        <f>+paraméterek!$B$346</f>
        <v>6.4600000000000005E-2</v>
      </c>
      <c r="AB595" s="301">
        <f t="shared" si="259"/>
        <v>0</v>
      </c>
      <c r="AC595" s="301">
        <f t="shared" si="247"/>
        <v>0</v>
      </c>
      <c r="AD595" s="301">
        <f t="shared" si="260"/>
        <v>0</v>
      </c>
      <c r="AE595" s="301">
        <f t="shared" si="261"/>
        <v>0</v>
      </c>
      <c r="AF595" s="477">
        <f t="shared" si="262"/>
        <v>0</v>
      </c>
    </row>
    <row r="596" spans="1:32" s="11" customFormat="1" hidden="1" x14ac:dyDescent="0.3">
      <c r="A596" s="775">
        <v>517</v>
      </c>
      <c r="B596" s="775">
        <f t="shared" si="248"/>
        <v>44</v>
      </c>
      <c r="C596" s="891">
        <f t="shared" si="249"/>
        <v>0.14489675614077413</v>
      </c>
      <c r="D596" s="891"/>
      <c r="E596" s="891">
        <f t="shared" si="249"/>
        <v>0.03</v>
      </c>
      <c r="F596" s="891">
        <f t="shared" si="242"/>
        <v>0.03</v>
      </c>
      <c r="G596" s="893">
        <f t="shared" si="250"/>
        <v>1.151056494563818E-8</v>
      </c>
      <c r="H596" s="436">
        <f t="shared" si="243"/>
        <v>0</v>
      </c>
      <c r="I596" s="302">
        <f t="shared" si="244"/>
        <v>0</v>
      </c>
      <c r="J596" s="301">
        <f t="shared" si="263"/>
        <v>2.9176084758041223E-11</v>
      </c>
      <c r="K596" s="301">
        <f t="shared" si="251"/>
        <v>2.9176084758041223E-11</v>
      </c>
      <c r="L596" s="10">
        <f t="shared" si="252"/>
        <v>2.9176084758041223E-11</v>
      </c>
      <c r="M596" s="302"/>
      <c r="N596" s="435">
        <f t="shared" si="253"/>
        <v>0</v>
      </c>
      <c r="O596" s="436">
        <f t="shared" si="245"/>
        <v>0</v>
      </c>
      <c r="P596" s="436">
        <f t="shared" si="254"/>
        <v>0</v>
      </c>
      <c r="R596" s="354">
        <f>+Hirdetmény!$AA$46</f>
        <v>0.13400000000000001</v>
      </c>
      <c r="S596" s="301">
        <f t="shared" si="255"/>
        <v>0</v>
      </c>
      <c r="T596" s="301">
        <f t="shared" si="246"/>
        <v>0</v>
      </c>
      <c r="U596" s="301">
        <f t="shared" si="256"/>
        <v>0</v>
      </c>
      <c r="V596" s="301">
        <f t="shared" si="257"/>
        <v>0</v>
      </c>
      <c r="W596" s="301">
        <f t="shared" si="258"/>
        <v>0</v>
      </c>
      <c r="AA596" s="12">
        <f>+paraméterek!$B$346</f>
        <v>6.4600000000000005E-2</v>
      </c>
      <c r="AB596" s="301">
        <f t="shared" si="259"/>
        <v>0</v>
      </c>
      <c r="AC596" s="301">
        <f t="shared" si="247"/>
        <v>0</v>
      </c>
      <c r="AD596" s="301">
        <f t="shared" si="260"/>
        <v>0</v>
      </c>
      <c r="AE596" s="301">
        <f t="shared" si="261"/>
        <v>0</v>
      </c>
      <c r="AF596" s="477">
        <f t="shared" si="262"/>
        <v>0</v>
      </c>
    </row>
    <row r="597" spans="1:32" s="11" customFormat="1" hidden="1" x14ac:dyDescent="0.3">
      <c r="A597" s="775">
        <v>518</v>
      </c>
      <c r="B597" s="775">
        <f t="shared" si="248"/>
        <v>44</v>
      </c>
      <c r="C597" s="891">
        <f t="shared" si="249"/>
        <v>0.14489675614077413</v>
      </c>
      <c r="D597" s="891"/>
      <c r="E597" s="891">
        <f t="shared" si="249"/>
        <v>0.03</v>
      </c>
      <c r="F597" s="891">
        <f t="shared" si="242"/>
        <v>0.03</v>
      </c>
      <c r="G597" s="893">
        <f t="shared" si="250"/>
        <v>1.151056494563818E-8</v>
      </c>
      <c r="H597" s="436">
        <f t="shared" si="243"/>
        <v>0</v>
      </c>
      <c r="I597" s="302">
        <f t="shared" si="244"/>
        <v>0</v>
      </c>
      <c r="J597" s="301">
        <f t="shared" si="263"/>
        <v>2.9176084758041223E-11</v>
      </c>
      <c r="K597" s="301">
        <f t="shared" si="251"/>
        <v>2.9176084758041223E-11</v>
      </c>
      <c r="L597" s="10">
        <f t="shared" si="252"/>
        <v>2.9176084758041223E-11</v>
      </c>
      <c r="M597" s="302"/>
      <c r="N597" s="435">
        <f t="shared" si="253"/>
        <v>0</v>
      </c>
      <c r="O597" s="436">
        <f t="shared" si="245"/>
        <v>0</v>
      </c>
      <c r="P597" s="436">
        <f t="shared" si="254"/>
        <v>0</v>
      </c>
      <c r="R597" s="354">
        <f>+Hirdetmény!$AA$46</f>
        <v>0.13400000000000001</v>
      </c>
      <c r="S597" s="301">
        <f t="shared" si="255"/>
        <v>0</v>
      </c>
      <c r="T597" s="301">
        <f t="shared" si="246"/>
        <v>0</v>
      </c>
      <c r="U597" s="301">
        <f t="shared" si="256"/>
        <v>0</v>
      </c>
      <c r="V597" s="301">
        <f t="shared" si="257"/>
        <v>0</v>
      </c>
      <c r="W597" s="301">
        <f t="shared" si="258"/>
        <v>0</v>
      </c>
      <c r="AA597" s="12">
        <f>+paraméterek!$B$346</f>
        <v>6.4600000000000005E-2</v>
      </c>
      <c r="AB597" s="301">
        <f t="shared" si="259"/>
        <v>0</v>
      </c>
      <c r="AC597" s="301">
        <f t="shared" si="247"/>
        <v>0</v>
      </c>
      <c r="AD597" s="301">
        <f t="shared" si="260"/>
        <v>0</v>
      </c>
      <c r="AE597" s="301">
        <f t="shared" si="261"/>
        <v>0</v>
      </c>
      <c r="AF597" s="477">
        <f t="shared" si="262"/>
        <v>0</v>
      </c>
    </row>
    <row r="598" spans="1:32" s="11" customFormat="1" hidden="1" x14ac:dyDescent="0.3">
      <c r="A598" s="775">
        <v>519</v>
      </c>
      <c r="B598" s="775">
        <f t="shared" si="248"/>
        <v>44</v>
      </c>
      <c r="C598" s="891">
        <f t="shared" si="249"/>
        <v>0.14489675614077413</v>
      </c>
      <c r="D598" s="891"/>
      <c r="E598" s="891">
        <f t="shared" si="249"/>
        <v>0.03</v>
      </c>
      <c r="F598" s="891">
        <f t="shared" si="242"/>
        <v>0.03</v>
      </c>
      <c r="G598" s="893">
        <f t="shared" si="250"/>
        <v>1.151056494563818E-8</v>
      </c>
      <c r="H598" s="436">
        <f t="shared" si="243"/>
        <v>0</v>
      </c>
      <c r="I598" s="302">
        <f t="shared" si="244"/>
        <v>0</v>
      </c>
      <c r="J598" s="301">
        <f t="shared" si="263"/>
        <v>2.9176084758041223E-11</v>
      </c>
      <c r="K598" s="301">
        <f t="shared" si="251"/>
        <v>2.9176084758041223E-11</v>
      </c>
      <c r="L598" s="10">
        <f t="shared" si="252"/>
        <v>2.9176084758041223E-11</v>
      </c>
      <c r="M598" s="302"/>
      <c r="N598" s="435">
        <f t="shared" si="253"/>
        <v>0</v>
      </c>
      <c r="O598" s="436">
        <f t="shared" si="245"/>
        <v>0</v>
      </c>
      <c r="P598" s="436">
        <f t="shared" si="254"/>
        <v>0</v>
      </c>
      <c r="R598" s="354">
        <f>+Hirdetmény!$AA$46</f>
        <v>0.13400000000000001</v>
      </c>
      <c r="S598" s="301">
        <f t="shared" si="255"/>
        <v>0</v>
      </c>
      <c r="T598" s="301">
        <f t="shared" si="246"/>
        <v>0</v>
      </c>
      <c r="U598" s="301">
        <f t="shared" si="256"/>
        <v>0</v>
      </c>
      <c r="V598" s="301">
        <f t="shared" si="257"/>
        <v>0</v>
      </c>
      <c r="W598" s="301">
        <f t="shared" si="258"/>
        <v>0</v>
      </c>
      <c r="AA598" s="12">
        <f>+paraméterek!$B$346</f>
        <v>6.4600000000000005E-2</v>
      </c>
      <c r="AB598" s="301">
        <f t="shared" si="259"/>
        <v>0</v>
      </c>
      <c r="AC598" s="301">
        <f t="shared" si="247"/>
        <v>0</v>
      </c>
      <c r="AD598" s="301">
        <f t="shared" si="260"/>
        <v>0</v>
      </c>
      <c r="AE598" s="301">
        <f t="shared" si="261"/>
        <v>0</v>
      </c>
      <c r="AF598" s="477">
        <f t="shared" si="262"/>
        <v>0</v>
      </c>
    </row>
    <row r="599" spans="1:32" s="11" customFormat="1" hidden="1" x14ac:dyDescent="0.3">
      <c r="A599" s="775">
        <v>520</v>
      </c>
      <c r="B599" s="775">
        <f t="shared" si="248"/>
        <v>44</v>
      </c>
      <c r="C599" s="891">
        <f t="shared" si="249"/>
        <v>0.14489675614077413</v>
      </c>
      <c r="D599" s="891"/>
      <c r="E599" s="891">
        <f t="shared" si="249"/>
        <v>0.03</v>
      </c>
      <c r="F599" s="891">
        <f t="shared" si="242"/>
        <v>0.03</v>
      </c>
      <c r="G599" s="893">
        <f t="shared" si="250"/>
        <v>1.151056494563818E-8</v>
      </c>
      <c r="H599" s="436">
        <f t="shared" si="243"/>
        <v>0</v>
      </c>
      <c r="I599" s="302">
        <f t="shared" si="244"/>
        <v>0</v>
      </c>
      <c r="J599" s="301">
        <f t="shared" si="263"/>
        <v>2.9176084758041223E-11</v>
      </c>
      <c r="K599" s="301">
        <f t="shared" si="251"/>
        <v>2.9176084758041223E-11</v>
      </c>
      <c r="L599" s="10">
        <f t="shared" si="252"/>
        <v>2.9176084758041223E-11</v>
      </c>
      <c r="M599" s="302"/>
      <c r="N599" s="435">
        <f t="shared" si="253"/>
        <v>0</v>
      </c>
      <c r="O599" s="436">
        <f t="shared" si="245"/>
        <v>0</v>
      </c>
      <c r="P599" s="436">
        <f t="shared" si="254"/>
        <v>0</v>
      </c>
      <c r="R599" s="354">
        <f>+Hirdetmény!$AA$46</f>
        <v>0.13400000000000001</v>
      </c>
      <c r="S599" s="301">
        <f t="shared" si="255"/>
        <v>0</v>
      </c>
      <c r="T599" s="301">
        <f t="shared" si="246"/>
        <v>0</v>
      </c>
      <c r="U599" s="301">
        <f t="shared" si="256"/>
        <v>0</v>
      </c>
      <c r="V599" s="301">
        <f t="shared" si="257"/>
        <v>0</v>
      </c>
      <c r="W599" s="301">
        <f t="shared" si="258"/>
        <v>0</v>
      </c>
      <c r="AA599" s="12">
        <f>+paraméterek!$B$346</f>
        <v>6.4600000000000005E-2</v>
      </c>
      <c r="AB599" s="301">
        <f t="shared" si="259"/>
        <v>0</v>
      </c>
      <c r="AC599" s="301">
        <f t="shared" si="247"/>
        <v>0</v>
      </c>
      <c r="AD599" s="301">
        <f t="shared" si="260"/>
        <v>0</v>
      </c>
      <c r="AE599" s="301">
        <f t="shared" si="261"/>
        <v>0</v>
      </c>
      <c r="AF599" s="477">
        <f t="shared" si="262"/>
        <v>0</v>
      </c>
    </row>
    <row r="600" spans="1:32" s="11" customFormat="1" hidden="1" x14ac:dyDescent="0.3">
      <c r="A600" s="775">
        <v>521</v>
      </c>
      <c r="B600" s="775">
        <f t="shared" si="248"/>
        <v>44</v>
      </c>
      <c r="C600" s="891">
        <f t="shared" si="249"/>
        <v>0.14489675614077413</v>
      </c>
      <c r="D600" s="891"/>
      <c r="E600" s="891">
        <f t="shared" si="249"/>
        <v>0.03</v>
      </c>
      <c r="F600" s="891">
        <f t="shared" si="242"/>
        <v>0.03</v>
      </c>
      <c r="G600" s="893">
        <f t="shared" si="250"/>
        <v>1.151056494563818E-8</v>
      </c>
      <c r="H600" s="436">
        <f t="shared" si="243"/>
        <v>0</v>
      </c>
      <c r="I600" s="302">
        <f t="shared" si="244"/>
        <v>0</v>
      </c>
      <c r="J600" s="301">
        <f t="shared" si="263"/>
        <v>2.9176084758041223E-11</v>
      </c>
      <c r="K600" s="301">
        <f t="shared" si="251"/>
        <v>2.9176084758041223E-11</v>
      </c>
      <c r="L600" s="10">
        <f t="shared" si="252"/>
        <v>2.9176084758041223E-11</v>
      </c>
      <c r="M600" s="302"/>
      <c r="N600" s="435">
        <f t="shared" si="253"/>
        <v>0</v>
      </c>
      <c r="O600" s="436">
        <f t="shared" si="245"/>
        <v>0</v>
      </c>
      <c r="P600" s="436">
        <f t="shared" si="254"/>
        <v>0</v>
      </c>
      <c r="R600" s="354">
        <f>+Hirdetmény!$AA$46</f>
        <v>0.13400000000000001</v>
      </c>
      <c r="S600" s="301">
        <f t="shared" si="255"/>
        <v>0</v>
      </c>
      <c r="T600" s="301">
        <f t="shared" si="246"/>
        <v>0</v>
      </c>
      <c r="U600" s="301">
        <f t="shared" si="256"/>
        <v>0</v>
      </c>
      <c r="V600" s="301">
        <f t="shared" si="257"/>
        <v>0</v>
      </c>
      <c r="W600" s="301">
        <f t="shared" si="258"/>
        <v>0</v>
      </c>
      <c r="AA600" s="12">
        <f>+paraméterek!$B$346</f>
        <v>6.4600000000000005E-2</v>
      </c>
      <c r="AB600" s="301">
        <f t="shared" si="259"/>
        <v>0</v>
      </c>
      <c r="AC600" s="301">
        <f t="shared" si="247"/>
        <v>0</v>
      </c>
      <c r="AD600" s="301">
        <f t="shared" si="260"/>
        <v>0</v>
      </c>
      <c r="AE600" s="301">
        <f t="shared" si="261"/>
        <v>0</v>
      </c>
      <c r="AF600" s="477">
        <f t="shared" si="262"/>
        <v>0</v>
      </c>
    </row>
    <row r="601" spans="1:32" s="11" customFormat="1" hidden="1" x14ac:dyDescent="0.3">
      <c r="A601" s="775">
        <v>522</v>
      </c>
      <c r="B601" s="775">
        <f t="shared" si="248"/>
        <v>44</v>
      </c>
      <c r="C601" s="891">
        <f t="shared" si="249"/>
        <v>0.14489675614077413</v>
      </c>
      <c r="D601" s="891"/>
      <c r="E601" s="891">
        <f t="shared" si="249"/>
        <v>0.03</v>
      </c>
      <c r="F601" s="891">
        <f t="shared" si="242"/>
        <v>0.03</v>
      </c>
      <c r="G601" s="893">
        <f t="shared" si="250"/>
        <v>1.151056494563818E-8</v>
      </c>
      <c r="H601" s="436">
        <f t="shared" si="243"/>
        <v>0</v>
      </c>
      <c r="I601" s="302">
        <f t="shared" si="244"/>
        <v>0</v>
      </c>
      <c r="J601" s="301">
        <f t="shared" si="263"/>
        <v>2.9176084758041223E-11</v>
      </c>
      <c r="K601" s="301">
        <f t="shared" si="251"/>
        <v>2.9176084758041223E-11</v>
      </c>
      <c r="L601" s="10">
        <f t="shared" si="252"/>
        <v>2.9176084758041223E-11</v>
      </c>
      <c r="M601" s="302"/>
      <c r="N601" s="435">
        <f t="shared" si="253"/>
        <v>0</v>
      </c>
      <c r="O601" s="436">
        <f t="shared" si="245"/>
        <v>0</v>
      </c>
      <c r="P601" s="436">
        <f t="shared" si="254"/>
        <v>0</v>
      </c>
      <c r="R601" s="354">
        <f>+Hirdetmény!$AA$46</f>
        <v>0.13400000000000001</v>
      </c>
      <c r="S601" s="301">
        <f t="shared" si="255"/>
        <v>0</v>
      </c>
      <c r="T601" s="301">
        <f t="shared" si="246"/>
        <v>0</v>
      </c>
      <c r="U601" s="301">
        <f t="shared" si="256"/>
        <v>0</v>
      </c>
      <c r="V601" s="301">
        <f t="shared" si="257"/>
        <v>0</v>
      </c>
      <c r="W601" s="301">
        <f t="shared" si="258"/>
        <v>0</v>
      </c>
      <c r="AA601" s="12">
        <f>+paraméterek!$B$346</f>
        <v>6.4600000000000005E-2</v>
      </c>
      <c r="AB601" s="301">
        <f t="shared" si="259"/>
        <v>0</v>
      </c>
      <c r="AC601" s="301">
        <f t="shared" si="247"/>
        <v>0</v>
      </c>
      <c r="AD601" s="301">
        <f t="shared" si="260"/>
        <v>0</v>
      </c>
      <c r="AE601" s="301">
        <f t="shared" si="261"/>
        <v>0</v>
      </c>
      <c r="AF601" s="477">
        <f t="shared" si="262"/>
        <v>0</v>
      </c>
    </row>
    <row r="602" spans="1:32" s="11" customFormat="1" hidden="1" x14ac:dyDescent="0.3">
      <c r="A602" s="775">
        <v>523</v>
      </c>
      <c r="B602" s="775">
        <f t="shared" si="248"/>
        <v>44</v>
      </c>
      <c r="C602" s="891">
        <f t="shared" si="249"/>
        <v>0.14489675614077413</v>
      </c>
      <c r="D602" s="891"/>
      <c r="E602" s="891">
        <f t="shared" si="249"/>
        <v>0.03</v>
      </c>
      <c r="F602" s="891">
        <f t="shared" si="242"/>
        <v>0.03</v>
      </c>
      <c r="G602" s="893">
        <f t="shared" si="250"/>
        <v>1.151056494563818E-8</v>
      </c>
      <c r="H602" s="436">
        <f t="shared" si="243"/>
        <v>0</v>
      </c>
      <c r="I602" s="302">
        <f t="shared" si="244"/>
        <v>0</v>
      </c>
      <c r="J602" s="301">
        <f t="shared" si="263"/>
        <v>2.9176084758041223E-11</v>
      </c>
      <c r="K602" s="301">
        <f t="shared" si="251"/>
        <v>2.9176084758041223E-11</v>
      </c>
      <c r="L602" s="10">
        <f t="shared" si="252"/>
        <v>2.9176084758041223E-11</v>
      </c>
      <c r="M602" s="302"/>
      <c r="N602" s="435">
        <f t="shared" si="253"/>
        <v>0</v>
      </c>
      <c r="O602" s="436">
        <f t="shared" si="245"/>
        <v>0</v>
      </c>
      <c r="P602" s="436">
        <f t="shared" si="254"/>
        <v>0</v>
      </c>
      <c r="R602" s="354">
        <f>+Hirdetmény!$AA$46</f>
        <v>0.13400000000000001</v>
      </c>
      <c r="S602" s="301">
        <f t="shared" si="255"/>
        <v>0</v>
      </c>
      <c r="T602" s="301">
        <f t="shared" si="246"/>
        <v>0</v>
      </c>
      <c r="U602" s="301">
        <f t="shared" si="256"/>
        <v>0</v>
      </c>
      <c r="V602" s="301">
        <f t="shared" si="257"/>
        <v>0</v>
      </c>
      <c r="W602" s="301">
        <f t="shared" si="258"/>
        <v>0</v>
      </c>
      <c r="AA602" s="12">
        <f>+paraméterek!$B$346</f>
        <v>6.4600000000000005E-2</v>
      </c>
      <c r="AB602" s="301">
        <f t="shared" si="259"/>
        <v>0</v>
      </c>
      <c r="AC602" s="301">
        <f t="shared" si="247"/>
        <v>0</v>
      </c>
      <c r="AD602" s="301">
        <f t="shared" si="260"/>
        <v>0</v>
      </c>
      <c r="AE602" s="301">
        <f t="shared" si="261"/>
        <v>0</v>
      </c>
      <c r="AF602" s="477">
        <f t="shared" si="262"/>
        <v>0</v>
      </c>
    </row>
    <row r="603" spans="1:32" s="11" customFormat="1" hidden="1" x14ac:dyDescent="0.3">
      <c r="A603" s="775">
        <v>524</v>
      </c>
      <c r="B603" s="775">
        <f t="shared" si="248"/>
        <v>44</v>
      </c>
      <c r="C603" s="891">
        <f t="shared" si="249"/>
        <v>0.14489675614077413</v>
      </c>
      <c r="D603" s="891"/>
      <c r="E603" s="891">
        <f t="shared" si="249"/>
        <v>0.03</v>
      </c>
      <c r="F603" s="891">
        <f t="shared" si="242"/>
        <v>0.03</v>
      </c>
      <c r="G603" s="893">
        <f t="shared" si="250"/>
        <v>1.151056494563818E-8</v>
      </c>
      <c r="H603" s="436">
        <f t="shared" si="243"/>
        <v>0</v>
      </c>
      <c r="I603" s="302">
        <f t="shared" si="244"/>
        <v>0</v>
      </c>
      <c r="J603" s="301">
        <f t="shared" si="263"/>
        <v>2.9176084758041223E-11</v>
      </c>
      <c r="K603" s="301">
        <f t="shared" si="251"/>
        <v>2.9176084758041223E-11</v>
      </c>
      <c r="L603" s="10">
        <f t="shared" si="252"/>
        <v>2.9176084758041223E-11</v>
      </c>
      <c r="M603" s="302"/>
      <c r="N603" s="435">
        <f t="shared" si="253"/>
        <v>0</v>
      </c>
      <c r="O603" s="436">
        <f t="shared" si="245"/>
        <v>0</v>
      </c>
      <c r="P603" s="436">
        <f t="shared" si="254"/>
        <v>0</v>
      </c>
      <c r="R603" s="354">
        <f>+Hirdetmény!$AA$46</f>
        <v>0.13400000000000001</v>
      </c>
      <c r="S603" s="301">
        <f t="shared" si="255"/>
        <v>0</v>
      </c>
      <c r="T603" s="301">
        <f t="shared" si="246"/>
        <v>0</v>
      </c>
      <c r="U603" s="301">
        <f t="shared" si="256"/>
        <v>0</v>
      </c>
      <c r="V603" s="301">
        <f t="shared" si="257"/>
        <v>0</v>
      </c>
      <c r="W603" s="301">
        <f t="shared" si="258"/>
        <v>0</v>
      </c>
      <c r="AA603" s="12">
        <f>+paraméterek!$B$346</f>
        <v>6.4600000000000005E-2</v>
      </c>
      <c r="AB603" s="301">
        <f t="shared" si="259"/>
        <v>0</v>
      </c>
      <c r="AC603" s="301">
        <f t="shared" si="247"/>
        <v>0</v>
      </c>
      <c r="AD603" s="301">
        <f t="shared" si="260"/>
        <v>0</v>
      </c>
      <c r="AE603" s="301">
        <f t="shared" si="261"/>
        <v>0</v>
      </c>
      <c r="AF603" s="477">
        <f t="shared" si="262"/>
        <v>0</v>
      </c>
    </row>
    <row r="604" spans="1:32" s="11" customFormat="1" hidden="1" x14ac:dyDescent="0.3">
      <c r="A604" s="775">
        <v>525</v>
      </c>
      <c r="B604" s="775">
        <f t="shared" si="248"/>
        <v>44</v>
      </c>
      <c r="C604" s="891">
        <f t="shared" si="249"/>
        <v>0.14489675614077413</v>
      </c>
      <c r="D604" s="891"/>
      <c r="E604" s="891">
        <f t="shared" si="249"/>
        <v>0.03</v>
      </c>
      <c r="F604" s="891">
        <f t="shared" si="242"/>
        <v>0.03</v>
      </c>
      <c r="G604" s="893">
        <f t="shared" si="250"/>
        <v>1.151056494563818E-8</v>
      </c>
      <c r="H604" s="436">
        <f t="shared" si="243"/>
        <v>0</v>
      </c>
      <c r="I604" s="302">
        <f t="shared" si="244"/>
        <v>0</v>
      </c>
      <c r="J604" s="301">
        <f t="shared" si="263"/>
        <v>2.9176084758041223E-11</v>
      </c>
      <c r="K604" s="301">
        <f t="shared" si="251"/>
        <v>2.9176084758041223E-11</v>
      </c>
      <c r="L604" s="10">
        <f t="shared" si="252"/>
        <v>2.9176084758041223E-11</v>
      </c>
      <c r="M604" s="302"/>
      <c r="N604" s="435">
        <f t="shared" si="253"/>
        <v>0</v>
      </c>
      <c r="O604" s="436">
        <f t="shared" si="245"/>
        <v>0</v>
      </c>
      <c r="P604" s="436">
        <f t="shared" si="254"/>
        <v>0</v>
      </c>
      <c r="R604" s="354">
        <f>+Hirdetmény!$AA$46</f>
        <v>0.13400000000000001</v>
      </c>
      <c r="S604" s="301">
        <f t="shared" si="255"/>
        <v>0</v>
      </c>
      <c r="T604" s="301">
        <f t="shared" si="246"/>
        <v>0</v>
      </c>
      <c r="U604" s="301">
        <f t="shared" si="256"/>
        <v>0</v>
      </c>
      <c r="V604" s="301">
        <f t="shared" si="257"/>
        <v>0</v>
      </c>
      <c r="W604" s="301">
        <f t="shared" si="258"/>
        <v>0</v>
      </c>
      <c r="AA604" s="12">
        <f>+paraméterek!$B$346</f>
        <v>6.4600000000000005E-2</v>
      </c>
      <c r="AB604" s="301">
        <f t="shared" si="259"/>
        <v>0</v>
      </c>
      <c r="AC604" s="301">
        <f t="shared" si="247"/>
        <v>0</v>
      </c>
      <c r="AD604" s="301">
        <f t="shared" si="260"/>
        <v>0</v>
      </c>
      <c r="AE604" s="301">
        <f t="shared" si="261"/>
        <v>0</v>
      </c>
      <c r="AF604" s="477">
        <f t="shared" si="262"/>
        <v>0</v>
      </c>
    </row>
    <row r="605" spans="1:32" s="11" customFormat="1" hidden="1" x14ac:dyDescent="0.3">
      <c r="A605" s="775">
        <v>526</v>
      </c>
      <c r="B605" s="775">
        <f t="shared" si="248"/>
        <v>44</v>
      </c>
      <c r="C605" s="891">
        <f t="shared" si="249"/>
        <v>0.14489675614077413</v>
      </c>
      <c r="D605" s="891"/>
      <c r="E605" s="891">
        <f t="shared" si="249"/>
        <v>0.03</v>
      </c>
      <c r="F605" s="891">
        <f t="shared" si="242"/>
        <v>0.03</v>
      </c>
      <c r="G605" s="893">
        <f t="shared" si="250"/>
        <v>1.151056494563818E-8</v>
      </c>
      <c r="H605" s="436">
        <f t="shared" si="243"/>
        <v>0</v>
      </c>
      <c r="I605" s="302">
        <f t="shared" si="244"/>
        <v>0</v>
      </c>
      <c r="J605" s="301">
        <f t="shared" si="263"/>
        <v>2.9176084758041223E-11</v>
      </c>
      <c r="K605" s="301">
        <f t="shared" si="251"/>
        <v>2.9176084758041223E-11</v>
      </c>
      <c r="L605" s="10">
        <f t="shared" si="252"/>
        <v>2.9176084758041223E-11</v>
      </c>
      <c r="M605" s="302"/>
      <c r="N605" s="435">
        <f t="shared" si="253"/>
        <v>0</v>
      </c>
      <c r="O605" s="436">
        <f t="shared" si="245"/>
        <v>0</v>
      </c>
      <c r="P605" s="436">
        <f t="shared" si="254"/>
        <v>0</v>
      </c>
      <c r="R605" s="354">
        <f>+Hirdetmény!$AA$46</f>
        <v>0.13400000000000001</v>
      </c>
      <c r="S605" s="301">
        <f t="shared" si="255"/>
        <v>0</v>
      </c>
      <c r="T605" s="301">
        <f t="shared" si="246"/>
        <v>0</v>
      </c>
      <c r="U605" s="301">
        <f t="shared" si="256"/>
        <v>0</v>
      </c>
      <c r="V605" s="301">
        <f t="shared" si="257"/>
        <v>0</v>
      </c>
      <c r="W605" s="301">
        <f t="shared" si="258"/>
        <v>0</v>
      </c>
      <c r="AA605" s="12">
        <f>+paraméterek!$B$346</f>
        <v>6.4600000000000005E-2</v>
      </c>
      <c r="AB605" s="301">
        <f t="shared" si="259"/>
        <v>0</v>
      </c>
      <c r="AC605" s="301">
        <f t="shared" si="247"/>
        <v>0</v>
      </c>
      <c r="AD605" s="301">
        <f t="shared" si="260"/>
        <v>0</v>
      </c>
      <c r="AE605" s="301">
        <f t="shared" si="261"/>
        <v>0</v>
      </c>
      <c r="AF605" s="477">
        <f t="shared" si="262"/>
        <v>0</v>
      </c>
    </row>
    <row r="606" spans="1:32" s="11" customFormat="1" hidden="1" x14ac:dyDescent="0.3">
      <c r="A606" s="775">
        <v>527</v>
      </c>
      <c r="B606" s="775">
        <f t="shared" si="248"/>
        <v>44</v>
      </c>
      <c r="C606" s="891">
        <f t="shared" si="249"/>
        <v>0.14489675614077413</v>
      </c>
      <c r="D606" s="891"/>
      <c r="E606" s="891">
        <f t="shared" si="249"/>
        <v>0.03</v>
      </c>
      <c r="F606" s="891">
        <f t="shared" si="242"/>
        <v>0.03</v>
      </c>
      <c r="G606" s="893">
        <f t="shared" si="250"/>
        <v>1.151056494563818E-8</v>
      </c>
      <c r="H606" s="436">
        <f t="shared" si="243"/>
        <v>0</v>
      </c>
      <c r="I606" s="302">
        <f t="shared" si="244"/>
        <v>0</v>
      </c>
      <c r="J606" s="301">
        <f t="shared" si="263"/>
        <v>2.9176084758041223E-11</v>
      </c>
      <c r="K606" s="301">
        <f t="shared" si="251"/>
        <v>2.9176084758041223E-11</v>
      </c>
      <c r="L606" s="10">
        <f t="shared" si="252"/>
        <v>2.9176084758041223E-11</v>
      </c>
      <c r="M606" s="302"/>
      <c r="N606" s="435">
        <f t="shared" si="253"/>
        <v>0</v>
      </c>
      <c r="O606" s="436">
        <f t="shared" si="245"/>
        <v>0</v>
      </c>
      <c r="P606" s="436">
        <f t="shared" si="254"/>
        <v>0</v>
      </c>
      <c r="R606" s="354">
        <f>+Hirdetmény!$AA$46</f>
        <v>0.13400000000000001</v>
      </c>
      <c r="S606" s="301">
        <f t="shared" si="255"/>
        <v>0</v>
      </c>
      <c r="T606" s="301">
        <f t="shared" si="246"/>
        <v>0</v>
      </c>
      <c r="U606" s="301">
        <f t="shared" si="256"/>
        <v>0</v>
      </c>
      <c r="V606" s="301">
        <f t="shared" si="257"/>
        <v>0</v>
      </c>
      <c r="W606" s="301">
        <f t="shared" si="258"/>
        <v>0</v>
      </c>
      <c r="AA606" s="12">
        <f>+paraméterek!$B$346</f>
        <v>6.4600000000000005E-2</v>
      </c>
      <c r="AB606" s="301">
        <f t="shared" si="259"/>
        <v>0</v>
      </c>
      <c r="AC606" s="301">
        <f t="shared" si="247"/>
        <v>0</v>
      </c>
      <c r="AD606" s="301">
        <f t="shared" si="260"/>
        <v>0</v>
      </c>
      <c r="AE606" s="301">
        <f t="shared" si="261"/>
        <v>0</v>
      </c>
      <c r="AF606" s="477">
        <f t="shared" si="262"/>
        <v>0</v>
      </c>
    </row>
    <row r="607" spans="1:32" s="11" customFormat="1" hidden="1" x14ac:dyDescent="0.3">
      <c r="A607" s="775">
        <v>528</v>
      </c>
      <c r="B607" s="775">
        <f t="shared" si="248"/>
        <v>44</v>
      </c>
      <c r="C607" s="891">
        <f t="shared" si="249"/>
        <v>0.14489675614077413</v>
      </c>
      <c r="D607" s="891"/>
      <c r="E607" s="891">
        <f t="shared" si="249"/>
        <v>0.03</v>
      </c>
      <c r="F607" s="891">
        <f t="shared" si="242"/>
        <v>0.03</v>
      </c>
      <c r="G607" s="893">
        <f t="shared" si="250"/>
        <v>1.151056494563818E-8</v>
      </c>
      <c r="H607" s="436">
        <f t="shared" si="243"/>
        <v>0</v>
      </c>
      <c r="I607" s="302">
        <f t="shared" si="244"/>
        <v>0</v>
      </c>
      <c r="J607" s="301">
        <f t="shared" si="263"/>
        <v>2.9176084758041223E-11</v>
      </c>
      <c r="K607" s="301">
        <f t="shared" si="251"/>
        <v>2.9176084758041223E-11</v>
      </c>
      <c r="L607" s="10">
        <f t="shared" si="252"/>
        <v>2.9176084758041223E-11</v>
      </c>
      <c r="M607" s="302"/>
      <c r="N607" s="435">
        <f t="shared" si="253"/>
        <v>0</v>
      </c>
      <c r="O607" s="436">
        <f t="shared" si="245"/>
        <v>0</v>
      </c>
      <c r="P607" s="436">
        <f t="shared" si="254"/>
        <v>0</v>
      </c>
      <c r="R607" s="354">
        <f>+Hirdetmény!$AA$46</f>
        <v>0.13400000000000001</v>
      </c>
      <c r="S607" s="301">
        <f t="shared" si="255"/>
        <v>0</v>
      </c>
      <c r="T607" s="301">
        <f t="shared" si="246"/>
        <v>0</v>
      </c>
      <c r="U607" s="301">
        <f t="shared" si="256"/>
        <v>0</v>
      </c>
      <c r="V607" s="301">
        <f t="shared" si="257"/>
        <v>0</v>
      </c>
      <c r="W607" s="301">
        <f t="shared" si="258"/>
        <v>0</v>
      </c>
      <c r="AA607" s="12">
        <f>+paraméterek!$B$346</f>
        <v>6.4600000000000005E-2</v>
      </c>
      <c r="AB607" s="301">
        <f t="shared" si="259"/>
        <v>0</v>
      </c>
      <c r="AC607" s="301">
        <f t="shared" si="247"/>
        <v>0</v>
      </c>
      <c r="AD607" s="301">
        <f t="shared" si="260"/>
        <v>0</v>
      </c>
      <c r="AE607" s="301">
        <f t="shared" si="261"/>
        <v>0</v>
      </c>
      <c r="AF607" s="477">
        <f t="shared" si="262"/>
        <v>0</v>
      </c>
    </row>
    <row r="608" spans="1:32" s="11" customFormat="1" hidden="1" x14ac:dyDescent="0.3">
      <c r="A608" s="775">
        <v>529</v>
      </c>
      <c r="B608" s="775">
        <f t="shared" si="248"/>
        <v>45</v>
      </c>
      <c r="C608" s="891">
        <f t="shared" si="249"/>
        <v>0.14489675614077413</v>
      </c>
      <c r="D608" s="891"/>
      <c r="E608" s="891">
        <f t="shared" si="249"/>
        <v>0.03</v>
      </c>
      <c r="F608" s="891">
        <f t="shared" si="242"/>
        <v>0.03</v>
      </c>
      <c r="G608" s="893">
        <f t="shared" si="250"/>
        <v>1.151056494563818E-8</v>
      </c>
      <c r="H608" s="436">
        <f t="shared" si="243"/>
        <v>0</v>
      </c>
      <c r="I608" s="302">
        <f t="shared" si="244"/>
        <v>0</v>
      </c>
      <c r="J608" s="301">
        <f t="shared" si="263"/>
        <v>2.9176084758041223E-11</v>
      </c>
      <c r="K608" s="301">
        <f t="shared" si="251"/>
        <v>2.9176084758041223E-11</v>
      </c>
      <c r="L608" s="10">
        <f t="shared" si="252"/>
        <v>2.9176084758041223E-11</v>
      </c>
      <c r="M608" s="302"/>
      <c r="N608" s="435">
        <f t="shared" si="253"/>
        <v>0</v>
      </c>
      <c r="O608" s="436">
        <f t="shared" si="245"/>
        <v>0</v>
      </c>
      <c r="P608" s="436">
        <f t="shared" si="254"/>
        <v>0</v>
      </c>
      <c r="R608" s="354">
        <f>+Hirdetmény!$AA$46</f>
        <v>0.13400000000000001</v>
      </c>
      <c r="S608" s="301">
        <f t="shared" si="255"/>
        <v>0</v>
      </c>
      <c r="T608" s="301">
        <f t="shared" si="246"/>
        <v>0</v>
      </c>
      <c r="U608" s="301">
        <f t="shared" si="256"/>
        <v>0</v>
      </c>
      <c r="V608" s="301">
        <f t="shared" si="257"/>
        <v>0</v>
      </c>
      <c r="W608" s="301">
        <f t="shared" si="258"/>
        <v>0</v>
      </c>
      <c r="AA608" s="12">
        <f>+paraméterek!$B$346</f>
        <v>6.4600000000000005E-2</v>
      </c>
      <c r="AB608" s="301">
        <f t="shared" si="259"/>
        <v>0</v>
      </c>
      <c r="AC608" s="301">
        <f t="shared" si="247"/>
        <v>0</v>
      </c>
      <c r="AD608" s="301">
        <f t="shared" si="260"/>
        <v>0</v>
      </c>
      <c r="AE608" s="301">
        <f t="shared" si="261"/>
        <v>0</v>
      </c>
      <c r="AF608" s="477">
        <f t="shared" si="262"/>
        <v>0</v>
      </c>
    </row>
    <row r="609" spans="1:32" s="11" customFormat="1" hidden="1" x14ac:dyDescent="0.3">
      <c r="A609" s="775">
        <v>530</v>
      </c>
      <c r="B609" s="775">
        <f t="shared" si="248"/>
        <v>45</v>
      </c>
      <c r="C609" s="891">
        <f t="shared" ref="C609:E624" si="264">+C608</f>
        <v>0.14489675614077413</v>
      </c>
      <c r="D609" s="891"/>
      <c r="E609" s="891">
        <f t="shared" si="264"/>
        <v>0.03</v>
      </c>
      <c r="F609" s="891">
        <f t="shared" si="242"/>
        <v>0.03</v>
      </c>
      <c r="G609" s="893">
        <f t="shared" si="250"/>
        <v>1.151056494563818E-8</v>
      </c>
      <c r="H609" s="436">
        <f t="shared" si="243"/>
        <v>0</v>
      </c>
      <c r="I609" s="302">
        <f t="shared" si="244"/>
        <v>0</v>
      </c>
      <c r="J609" s="301">
        <f t="shared" si="263"/>
        <v>2.9176084758041223E-11</v>
      </c>
      <c r="K609" s="301">
        <f t="shared" si="251"/>
        <v>2.9176084758041223E-11</v>
      </c>
      <c r="L609" s="10">
        <f t="shared" si="252"/>
        <v>2.9176084758041223E-11</v>
      </c>
      <c r="M609" s="302"/>
      <c r="N609" s="435">
        <f t="shared" si="253"/>
        <v>0</v>
      </c>
      <c r="O609" s="436">
        <f t="shared" si="245"/>
        <v>0</v>
      </c>
      <c r="P609" s="436">
        <f t="shared" si="254"/>
        <v>0</v>
      </c>
      <c r="R609" s="354">
        <f>+Hirdetmény!$AA$46</f>
        <v>0.13400000000000001</v>
      </c>
      <c r="S609" s="301">
        <f t="shared" si="255"/>
        <v>0</v>
      </c>
      <c r="T609" s="301">
        <f t="shared" si="246"/>
        <v>0</v>
      </c>
      <c r="U609" s="301">
        <f t="shared" si="256"/>
        <v>0</v>
      </c>
      <c r="V609" s="301">
        <f t="shared" si="257"/>
        <v>0</v>
      </c>
      <c r="W609" s="301">
        <f t="shared" si="258"/>
        <v>0</v>
      </c>
      <c r="AA609" s="12">
        <f>+paraméterek!$B$346</f>
        <v>6.4600000000000005E-2</v>
      </c>
      <c r="AB609" s="301">
        <f t="shared" si="259"/>
        <v>0</v>
      </c>
      <c r="AC609" s="301">
        <f t="shared" si="247"/>
        <v>0</v>
      </c>
      <c r="AD609" s="301">
        <f t="shared" si="260"/>
        <v>0</v>
      </c>
      <c r="AE609" s="301">
        <f t="shared" si="261"/>
        <v>0</v>
      </c>
      <c r="AF609" s="477">
        <f t="shared" si="262"/>
        <v>0</v>
      </c>
    </row>
    <row r="610" spans="1:32" s="11" customFormat="1" hidden="1" x14ac:dyDescent="0.3">
      <c r="A610" s="775">
        <v>531</v>
      </c>
      <c r="B610" s="775">
        <f t="shared" si="248"/>
        <v>45</v>
      </c>
      <c r="C610" s="891">
        <f t="shared" si="264"/>
        <v>0.14489675614077413</v>
      </c>
      <c r="D610" s="891"/>
      <c r="E610" s="891">
        <f t="shared" si="264"/>
        <v>0.03</v>
      </c>
      <c r="F610" s="891">
        <f t="shared" si="242"/>
        <v>0.03</v>
      </c>
      <c r="G610" s="893">
        <f t="shared" si="250"/>
        <v>1.151056494563818E-8</v>
      </c>
      <c r="H610" s="436">
        <f t="shared" si="243"/>
        <v>0</v>
      </c>
      <c r="I610" s="302">
        <f t="shared" si="244"/>
        <v>0</v>
      </c>
      <c r="J610" s="301">
        <f t="shared" si="263"/>
        <v>2.9176084758041223E-11</v>
      </c>
      <c r="K610" s="301">
        <f t="shared" si="251"/>
        <v>2.9176084758041223E-11</v>
      </c>
      <c r="L610" s="10">
        <f t="shared" si="252"/>
        <v>2.9176084758041223E-11</v>
      </c>
      <c r="M610" s="302"/>
      <c r="N610" s="435">
        <f t="shared" si="253"/>
        <v>0</v>
      </c>
      <c r="O610" s="436">
        <f t="shared" si="245"/>
        <v>0</v>
      </c>
      <c r="P610" s="436">
        <f t="shared" si="254"/>
        <v>0</v>
      </c>
      <c r="R610" s="354">
        <f>+Hirdetmény!$AA$46</f>
        <v>0.13400000000000001</v>
      </c>
      <c r="S610" s="301">
        <f t="shared" si="255"/>
        <v>0</v>
      </c>
      <c r="T610" s="301">
        <f t="shared" si="246"/>
        <v>0</v>
      </c>
      <c r="U610" s="301">
        <f t="shared" si="256"/>
        <v>0</v>
      </c>
      <c r="V610" s="301">
        <f t="shared" si="257"/>
        <v>0</v>
      </c>
      <c r="W610" s="301">
        <f t="shared" si="258"/>
        <v>0</v>
      </c>
      <c r="AA610" s="12">
        <f>+paraméterek!$B$346</f>
        <v>6.4600000000000005E-2</v>
      </c>
      <c r="AB610" s="301">
        <f t="shared" si="259"/>
        <v>0</v>
      </c>
      <c r="AC610" s="301">
        <f t="shared" si="247"/>
        <v>0</v>
      </c>
      <c r="AD610" s="301">
        <f t="shared" si="260"/>
        <v>0</v>
      </c>
      <c r="AE610" s="301">
        <f t="shared" si="261"/>
        <v>0</v>
      </c>
      <c r="AF610" s="477">
        <f t="shared" si="262"/>
        <v>0</v>
      </c>
    </row>
    <row r="611" spans="1:32" s="11" customFormat="1" hidden="1" x14ac:dyDescent="0.3">
      <c r="A611" s="775">
        <v>532</v>
      </c>
      <c r="B611" s="775">
        <f t="shared" si="248"/>
        <v>45</v>
      </c>
      <c r="C611" s="891">
        <f t="shared" si="264"/>
        <v>0.14489675614077413</v>
      </c>
      <c r="D611" s="891"/>
      <c r="E611" s="891">
        <f t="shared" si="264"/>
        <v>0.03</v>
      </c>
      <c r="F611" s="891">
        <f t="shared" si="242"/>
        <v>0.03</v>
      </c>
      <c r="G611" s="893">
        <f t="shared" si="250"/>
        <v>1.151056494563818E-8</v>
      </c>
      <c r="H611" s="436">
        <f t="shared" si="243"/>
        <v>0</v>
      </c>
      <c r="I611" s="302">
        <f t="shared" si="244"/>
        <v>0</v>
      </c>
      <c r="J611" s="301">
        <f t="shared" si="263"/>
        <v>2.9176084758041223E-11</v>
      </c>
      <c r="K611" s="301">
        <f t="shared" si="251"/>
        <v>2.9176084758041223E-11</v>
      </c>
      <c r="L611" s="10">
        <f t="shared" si="252"/>
        <v>2.9176084758041223E-11</v>
      </c>
      <c r="M611" s="302"/>
      <c r="N611" s="435">
        <f t="shared" si="253"/>
        <v>0</v>
      </c>
      <c r="O611" s="436">
        <f t="shared" si="245"/>
        <v>0</v>
      </c>
      <c r="P611" s="436">
        <f t="shared" si="254"/>
        <v>0</v>
      </c>
      <c r="R611" s="354">
        <f>+Hirdetmény!$AA$46</f>
        <v>0.13400000000000001</v>
      </c>
      <c r="S611" s="301">
        <f t="shared" si="255"/>
        <v>0</v>
      </c>
      <c r="T611" s="301">
        <f t="shared" si="246"/>
        <v>0</v>
      </c>
      <c r="U611" s="301">
        <f t="shared" si="256"/>
        <v>0</v>
      </c>
      <c r="V611" s="301">
        <f t="shared" si="257"/>
        <v>0</v>
      </c>
      <c r="W611" s="301">
        <f t="shared" si="258"/>
        <v>0</v>
      </c>
      <c r="AA611" s="12">
        <f>+paraméterek!$B$346</f>
        <v>6.4600000000000005E-2</v>
      </c>
      <c r="AB611" s="301">
        <f t="shared" si="259"/>
        <v>0</v>
      </c>
      <c r="AC611" s="301">
        <f t="shared" si="247"/>
        <v>0</v>
      </c>
      <c r="AD611" s="301">
        <f t="shared" si="260"/>
        <v>0</v>
      </c>
      <c r="AE611" s="301">
        <f t="shared" si="261"/>
        <v>0</v>
      </c>
      <c r="AF611" s="477">
        <f t="shared" si="262"/>
        <v>0</v>
      </c>
    </row>
    <row r="612" spans="1:32" s="11" customFormat="1" hidden="1" x14ac:dyDescent="0.3">
      <c r="A612" s="775">
        <v>533</v>
      </c>
      <c r="B612" s="775">
        <f t="shared" si="248"/>
        <v>45</v>
      </c>
      <c r="C612" s="891">
        <f t="shared" si="264"/>
        <v>0.14489675614077413</v>
      </c>
      <c r="D612" s="891"/>
      <c r="E612" s="891">
        <f t="shared" si="264"/>
        <v>0.03</v>
      </c>
      <c r="F612" s="891">
        <f t="shared" si="242"/>
        <v>0.03</v>
      </c>
      <c r="G612" s="893">
        <f t="shared" si="250"/>
        <v>1.151056494563818E-8</v>
      </c>
      <c r="H612" s="436">
        <f t="shared" si="243"/>
        <v>0</v>
      </c>
      <c r="I612" s="302">
        <f t="shared" si="244"/>
        <v>0</v>
      </c>
      <c r="J612" s="301">
        <f t="shared" si="263"/>
        <v>2.9176084758041223E-11</v>
      </c>
      <c r="K612" s="301">
        <f t="shared" si="251"/>
        <v>2.9176084758041223E-11</v>
      </c>
      <c r="L612" s="10">
        <f t="shared" si="252"/>
        <v>2.9176084758041223E-11</v>
      </c>
      <c r="M612" s="302"/>
      <c r="N612" s="435">
        <f t="shared" si="253"/>
        <v>0</v>
      </c>
      <c r="O612" s="436">
        <f t="shared" si="245"/>
        <v>0</v>
      </c>
      <c r="P612" s="436">
        <f t="shared" si="254"/>
        <v>0</v>
      </c>
      <c r="R612" s="354">
        <f>+Hirdetmény!$AA$46</f>
        <v>0.13400000000000001</v>
      </c>
      <c r="S612" s="301">
        <f t="shared" si="255"/>
        <v>0</v>
      </c>
      <c r="T612" s="301">
        <f t="shared" si="246"/>
        <v>0</v>
      </c>
      <c r="U612" s="301">
        <f t="shared" si="256"/>
        <v>0</v>
      </c>
      <c r="V612" s="301">
        <f t="shared" si="257"/>
        <v>0</v>
      </c>
      <c r="W612" s="301">
        <f t="shared" si="258"/>
        <v>0</v>
      </c>
      <c r="AA612" s="12">
        <f>+paraméterek!$B$346</f>
        <v>6.4600000000000005E-2</v>
      </c>
      <c r="AB612" s="301">
        <f t="shared" si="259"/>
        <v>0</v>
      </c>
      <c r="AC612" s="301">
        <f t="shared" si="247"/>
        <v>0</v>
      </c>
      <c r="AD612" s="301">
        <f t="shared" si="260"/>
        <v>0</v>
      </c>
      <c r="AE612" s="301">
        <f t="shared" si="261"/>
        <v>0</v>
      </c>
      <c r="AF612" s="477">
        <f t="shared" si="262"/>
        <v>0</v>
      </c>
    </row>
    <row r="613" spans="1:32" s="11" customFormat="1" hidden="1" x14ac:dyDescent="0.3">
      <c r="A613" s="775">
        <v>534</v>
      </c>
      <c r="B613" s="775">
        <f t="shared" si="248"/>
        <v>45</v>
      </c>
      <c r="C613" s="891">
        <f t="shared" si="264"/>
        <v>0.14489675614077413</v>
      </c>
      <c r="D613" s="891"/>
      <c r="E613" s="891">
        <f t="shared" si="264"/>
        <v>0.03</v>
      </c>
      <c r="F613" s="891">
        <f t="shared" si="242"/>
        <v>0.03</v>
      </c>
      <c r="G613" s="893">
        <f t="shared" si="250"/>
        <v>1.151056494563818E-8</v>
      </c>
      <c r="H613" s="436">
        <f t="shared" si="243"/>
        <v>0</v>
      </c>
      <c r="I613" s="302">
        <f t="shared" si="244"/>
        <v>0</v>
      </c>
      <c r="J613" s="301">
        <f t="shared" si="263"/>
        <v>2.9176084758041223E-11</v>
      </c>
      <c r="K613" s="301">
        <f t="shared" si="251"/>
        <v>2.9176084758041223E-11</v>
      </c>
      <c r="L613" s="10">
        <f t="shared" si="252"/>
        <v>2.9176084758041223E-11</v>
      </c>
      <c r="M613" s="302"/>
      <c r="N613" s="435">
        <f t="shared" si="253"/>
        <v>0</v>
      </c>
      <c r="O613" s="436">
        <f t="shared" si="245"/>
        <v>0</v>
      </c>
      <c r="P613" s="436">
        <f t="shared" si="254"/>
        <v>0</v>
      </c>
      <c r="R613" s="354">
        <f>+Hirdetmény!$AA$46</f>
        <v>0.13400000000000001</v>
      </c>
      <c r="S613" s="301">
        <f t="shared" si="255"/>
        <v>0</v>
      </c>
      <c r="T613" s="301">
        <f t="shared" si="246"/>
        <v>0</v>
      </c>
      <c r="U613" s="301">
        <f t="shared" si="256"/>
        <v>0</v>
      </c>
      <c r="V613" s="301">
        <f t="shared" si="257"/>
        <v>0</v>
      </c>
      <c r="W613" s="301">
        <f t="shared" si="258"/>
        <v>0</v>
      </c>
      <c r="AA613" s="12">
        <f>+paraméterek!$B$346</f>
        <v>6.4600000000000005E-2</v>
      </c>
      <c r="AB613" s="301">
        <f t="shared" si="259"/>
        <v>0</v>
      </c>
      <c r="AC613" s="301">
        <f t="shared" si="247"/>
        <v>0</v>
      </c>
      <c r="AD613" s="301">
        <f t="shared" si="260"/>
        <v>0</v>
      </c>
      <c r="AE613" s="301">
        <f t="shared" si="261"/>
        <v>0</v>
      </c>
      <c r="AF613" s="477">
        <f t="shared" si="262"/>
        <v>0</v>
      </c>
    </row>
    <row r="614" spans="1:32" s="11" customFormat="1" hidden="1" x14ac:dyDescent="0.3">
      <c r="A614" s="775">
        <v>535</v>
      </c>
      <c r="B614" s="775">
        <f t="shared" si="248"/>
        <v>45</v>
      </c>
      <c r="C614" s="891">
        <f t="shared" si="264"/>
        <v>0.14489675614077413</v>
      </c>
      <c r="D614" s="891"/>
      <c r="E614" s="891">
        <f t="shared" si="264"/>
        <v>0.03</v>
      </c>
      <c r="F614" s="891">
        <f t="shared" si="242"/>
        <v>0.03</v>
      </c>
      <c r="G614" s="893">
        <f t="shared" si="250"/>
        <v>1.151056494563818E-8</v>
      </c>
      <c r="H614" s="436">
        <f t="shared" si="243"/>
        <v>0</v>
      </c>
      <c r="I614" s="302">
        <f t="shared" si="244"/>
        <v>0</v>
      </c>
      <c r="J614" s="301">
        <f t="shared" si="263"/>
        <v>2.9176084758041223E-11</v>
      </c>
      <c r="K614" s="301">
        <f t="shared" si="251"/>
        <v>2.9176084758041223E-11</v>
      </c>
      <c r="L614" s="10">
        <f t="shared" si="252"/>
        <v>2.9176084758041223E-11</v>
      </c>
      <c r="M614" s="302"/>
      <c r="N614" s="435">
        <f t="shared" si="253"/>
        <v>0</v>
      </c>
      <c r="O614" s="436">
        <f t="shared" si="245"/>
        <v>0</v>
      </c>
      <c r="P614" s="436">
        <f t="shared" si="254"/>
        <v>0</v>
      </c>
      <c r="R614" s="354">
        <f>+Hirdetmény!$AA$46</f>
        <v>0.13400000000000001</v>
      </c>
      <c r="S614" s="301">
        <f t="shared" si="255"/>
        <v>0</v>
      </c>
      <c r="T614" s="301">
        <f t="shared" si="246"/>
        <v>0</v>
      </c>
      <c r="U614" s="301">
        <f t="shared" si="256"/>
        <v>0</v>
      </c>
      <c r="V614" s="301">
        <f t="shared" si="257"/>
        <v>0</v>
      </c>
      <c r="W614" s="301">
        <f t="shared" si="258"/>
        <v>0</v>
      </c>
      <c r="AA614" s="12">
        <f>+paraméterek!$B$346</f>
        <v>6.4600000000000005E-2</v>
      </c>
      <c r="AB614" s="301">
        <f t="shared" si="259"/>
        <v>0</v>
      </c>
      <c r="AC614" s="301">
        <f t="shared" si="247"/>
        <v>0</v>
      </c>
      <c r="AD614" s="301">
        <f t="shared" si="260"/>
        <v>0</v>
      </c>
      <c r="AE614" s="301">
        <f t="shared" si="261"/>
        <v>0</v>
      </c>
      <c r="AF614" s="477">
        <f t="shared" si="262"/>
        <v>0</v>
      </c>
    </row>
    <row r="615" spans="1:32" s="11" customFormat="1" hidden="1" x14ac:dyDescent="0.3">
      <c r="A615" s="775">
        <v>536</v>
      </c>
      <c r="B615" s="775">
        <f t="shared" si="248"/>
        <v>45</v>
      </c>
      <c r="C615" s="891">
        <f t="shared" si="264"/>
        <v>0.14489675614077413</v>
      </c>
      <c r="D615" s="891"/>
      <c r="E615" s="891">
        <f t="shared" si="264"/>
        <v>0.03</v>
      </c>
      <c r="F615" s="891">
        <f t="shared" si="242"/>
        <v>0.03</v>
      </c>
      <c r="G615" s="893">
        <f t="shared" si="250"/>
        <v>1.151056494563818E-8</v>
      </c>
      <c r="H615" s="436">
        <f t="shared" si="243"/>
        <v>0</v>
      </c>
      <c r="I615" s="302">
        <f t="shared" si="244"/>
        <v>0</v>
      </c>
      <c r="J615" s="301">
        <f t="shared" si="263"/>
        <v>2.9176084758041223E-11</v>
      </c>
      <c r="K615" s="301">
        <f t="shared" si="251"/>
        <v>2.9176084758041223E-11</v>
      </c>
      <c r="L615" s="10">
        <f t="shared" si="252"/>
        <v>2.9176084758041223E-11</v>
      </c>
      <c r="M615" s="302"/>
      <c r="N615" s="435">
        <f t="shared" si="253"/>
        <v>0</v>
      </c>
      <c r="O615" s="436">
        <f t="shared" si="245"/>
        <v>0</v>
      </c>
      <c r="P615" s="436">
        <f t="shared" si="254"/>
        <v>0</v>
      </c>
      <c r="R615" s="354">
        <f>+Hirdetmény!$AA$46</f>
        <v>0.13400000000000001</v>
      </c>
      <c r="S615" s="301">
        <f t="shared" si="255"/>
        <v>0</v>
      </c>
      <c r="T615" s="301">
        <f t="shared" si="246"/>
        <v>0</v>
      </c>
      <c r="U615" s="301">
        <f t="shared" si="256"/>
        <v>0</v>
      </c>
      <c r="V615" s="301">
        <f t="shared" si="257"/>
        <v>0</v>
      </c>
      <c r="W615" s="301">
        <f t="shared" si="258"/>
        <v>0</v>
      </c>
      <c r="AA615" s="12">
        <f>+paraméterek!$B$346</f>
        <v>6.4600000000000005E-2</v>
      </c>
      <c r="AB615" s="301">
        <f t="shared" si="259"/>
        <v>0</v>
      </c>
      <c r="AC615" s="301">
        <f t="shared" si="247"/>
        <v>0</v>
      </c>
      <c r="AD615" s="301">
        <f t="shared" si="260"/>
        <v>0</v>
      </c>
      <c r="AE615" s="301">
        <f t="shared" si="261"/>
        <v>0</v>
      </c>
      <c r="AF615" s="477">
        <f t="shared" si="262"/>
        <v>0</v>
      </c>
    </row>
    <row r="616" spans="1:32" s="11" customFormat="1" hidden="1" x14ac:dyDescent="0.3">
      <c r="A616" s="775">
        <v>537</v>
      </c>
      <c r="B616" s="775">
        <f t="shared" si="248"/>
        <v>45</v>
      </c>
      <c r="C616" s="891">
        <f t="shared" si="264"/>
        <v>0.14489675614077413</v>
      </c>
      <c r="D616" s="891"/>
      <c r="E616" s="891">
        <f t="shared" si="264"/>
        <v>0.03</v>
      </c>
      <c r="F616" s="891">
        <f t="shared" si="242"/>
        <v>0.03</v>
      </c>
      <c r="G616" s="893">
        <f t="shared" si="250"/>
        <v>1.151056494563818E-8</v>
      </c>
      <c r="H616" s="436">
        <f t="shared" si="243"/>
        <v>0</v>
      </c>
      <c r="I616" s="302">
        <f t="shared" si="244"/>
        <v>0</v>
      </c>
      <c r="J616" s="301">
        <f t="shared" si="263"/>
        <v>2.9176084758041223E-11</v>
      </c>
      <c r="K616" s="301">
        <f t="shared" si="251"/>
        <v>2.9176084758041223E-11</v>
      </c>
      <c r="L616" s="10">
        <f t="shared" si="252"/>
        <v>2.9176084758041223E-11</v>
      </c>
      <c r="M616" s="302"/>
      <c r="N616" s="435">
        <f t="shared" si="253"/>
        <v>0</v>
      </c>
      <c r="O616" s="436">
        <f t="shared" si="245"/>
        <v>0</v>
      </c>
      <c r="P616" s="436">
        <f t="shared" si="254"/>
        <v>0</v>
      </c>
      <c r="R616" s="354">
        <f>+Hirdetmény!$AA$46</f>
        <v>0.13400000000000001</v>
      </c>
      <c r="S616" s="301">
        <f t="shared" si="255"/>
        <v>0</v>
      </c>
      <c r="T616" s="301">
        <f t="shared" si="246"/>
        <v>0</v>
      </c>
      <c r="U616" s="301">
        <f t="shared" si="256"/>
        <v>0</v>
      </c>
      <c r="V616" s="301">
        <f t="shared" si="257"/>
        <v>0</v>
      </c>
      <c r="W616" s="301">
        <f t="shared" si="258"/>
        <v>0</v>
      </c>
      <c r="AA616" s="12">
        <f>+paraméterek!$B$346</f>
        <v>6.4600000000000005E-2</v>
      </c>
      <c r="AB616" s="301">
        <f t="shared" si="259"/>
        <v>0</v>
      </c>
      <c r="AC616" s="301">
        <f t="shared" si="247"/>
        <v>0</v>
      </c>
      <c r="AD616" s="301">
        <f t="shared" si="260"/>
        <v>0</v>
      </c>
      <c r="AE616" s="301">
        <f t="shared" si="261"/>
        <v>0</v>
      </c>
      <c r="AF616" s="477">
        <f t="shared" si="262"/>
        <v>0</v>
      </c>
    </row>
    <row r="617" spans="1:32" s="11" customFormat="1" hidden="1" x14ac:dyDescent="0.3">
      <c r="A617" s="775">
        <v>538</v>
      </c>
      <c r="B617" s="775">
        <f t="shared" si="248"/>
        <v>45</v>
      </c>
      <c r="C617" s="891">
        <f t="shared" si="264"/>
        <v>0.14489675614077413</v>
      </c>
      <c r="D617" s="891"/>
      <c r="E617" s="891">
        <f t="shared" si="264"/>
        <v>0.03</v>
      </c>
      <c r="F617" s="891">
        <f t="shared" si="242"/>
        <v>0.03</v>
      </c>
      <c r="G617" s="893">
        <f t="shared" si="250"/>
        <v>1.151056494563818E-8</v>
      </c>
      <c r="H617" s="436">
        <f t="shared" si="243"/>
        <v>0</v>
      </c>
      <c r="I617" s="302">
        <f t="shared" si="244"/>
        <v>0</v>
      </c>
      <c r="J617" s="301">
        <f t="shared" si="263"/>
        <v>2.9176084758041223E-11</v>
      </c>
      <c r="K617" s="301">
        <f t="shared" si="251"/>
        <v>2.9176084758041223E-11</v>
      </c>
      <c r="L617" s="10">
        <f t="shared" si="252"/>
        <v>2.9176084758041223E-11</v>
      </c>
      <c r="M617" s="302"/>
      <c r="N617" s="435">
        <f t="shared" si="253"/>
        <v>0</v>
      </c>
      <c r="O617" s="436">
        <f t="shared" si="245"/>
        <v>0</v>
      </c>
      <c r="P617" s="436">
        <f t="shared" si="254"/>
        <v>0</v>
      </c>
      <c r="R617" s="354">
        <f>+Hirdetmény!$AA$46</f>
        <v>0.13400000000000001</v>
      </c>
      <c r="S617" s="301">
        <f t="shared" si="255"/>
        <v>0</v>
      </c>
      <c r="T617" s="301">
        <f t="shared" si="246"/>
        <v>0</v>
      </c>
      <c r="U617" s="301">
        <f t="shared" si="256"/>
        <v>0</v>
      </c>
      <c r="V617" s="301">
        <f t="shared" si="257"/>
        <v>0</v>
      </c>
      <c r="W617" s="301">
        <f t="shared" si="258"/>
        <v>0</v>
      </c>
      <c r="AA617" s="12">
        <f>+paraméterek!$B$346</f>
        <v>6.4600000000000005E-2</v>
      </c>
      <c r="AB617" s="301">
        <f t="shared" si="259"/>
        <v>0</v>
      </c>
      <c r="AC617" s="301">
        <f t="shared" si="247"/>
        <v>0</v>
      </c>
      <c r="AD617" s="301">
        <f t="shared" si="260"/>
        <v>0</v>
      </c>
      <c r="AE617" s="301">
        <f t="shared" si="261"/>
        <v>0</v>
      </c>
      <c r="AF617" s="477">
        <f t="shared" si="262"/>
        <v>0</v>
      </c>
    </row>
    <row r="618" spans="1:32" s="11" customFormat="1" hidden="1" x14ac:dyDescent="0.3">
      <c r="A618" s="775">
        <v>539</v>
      </c>
      <c r="B618" s="775">
        <f t="shared" si="248"/>
        <v>45</v>
      </c>
      <c r="C618" s="891">
        <f t="shared" si="264"/>
        <v>0.14489675614077413</v>
      </c>
      <c r="D618" s="891"/>
      <c r="E618" s="891">
        <f t="shared" si="264"/>
        <v>0.03</v>
      </c>
      <c r="F618" s="891">
        <f t="shared" si="242"/>
        <v>0.03</v>
      </c>
      <c r="G618" s="893">
        <f t="shared" si="250"/>
        <v>1.151056494563818E-8</v>
      </c>
      <c r="H618" s="436">
        <f t="shared" si="243"/>
        <v>0</v>
      </c>
      <c r="I618" s="302">
        <f t="shared" si="244"/>
        <v>0</v>
      </c>
      <c r="J618" s="301">
        <f t="shared" si="263"/>
        <v>2.9176084758041223E-11</v>
      </c>
      <c r="K618" s="301">
        <f t="shared" si="251"/>
        <v>2.9176084758041223E-11</v>
      </c>
      <c r="L618" s="10">
        <f t="shared" si="252"/>
        <v>2.9176084758041223E-11</v>
      </c>
      <c r="M618" s="302"/>
      <c r="N618" s="435">
        <f t="shared" si="253"/>
        <v>0</v>
      </c>
      <c r="O618" s="436">
        <f t="shared" si="245"/>
        <v>0</v>
      </c>
      <c r="P618" s="436">
        <f t="shared" si="254"/>
        <v>0</v>
      </c>
      <c r="R618" s="354">
        <f>+Hirdetmény!$AA$46</f>
        <v>0.13400000000000001</v>
      </c>
      <c r="S618" s="301">
        <f t="shared" si="255"/>
        <v>0</v>
      </c>
      <c r="T618" s="301">
        <f t="shared" si="246"/>
        <v>0</v>
      </c>
      <c r="U618" s="301">
        <f t="shared" si="256"/>
        <v>0</v>
      </c>
      <c r="V618" s="301">
        <f t="shared" si="257"/>
        <v>0</v>
      </c>
      <c r="W618" s="301">
        <f t="shared" si="258"/>
        <v>0</v>
      </c>
      <c r="AA618" s="12">
        <f>+paraméterek!$B$346</f>
        <v>6.4600000000000005E-2</v>
      </c>
      <c r="AB618" s="301">
        <f t="shared" si="259"/>
        <v>0</v>
      </c>
      <c r="AC618" s="301">
        <f t="shared" si="247"/>
        <v>0</v>
      </c>
      <c r="AD618" s="301">
        <f t="shared" si="260"/>
        <v>0</v>
      </c>
      <c r="AE618" s="301">
        <f t="shared" si="261"/>
        <v>0</v>
      </c>
      <c r="AF618" s="477">
        <f t="shared" si="262"/>
        <v>0</v>
      </c>
    </row>
    <row r="619" spans="1:32" s="11" customFormat="1" hidden="1" x14ac:dyDescent="0.3">
      <c r="A619" s="775">
        <v>540</v>
      </c>
      <c r="B619" s="775">
        <f t="shared" si="248"/>
        <v>45</v>
      </c>
      <c r="C619" s="891">
        <f t="shared" si="264"/>
        <v>0.14489675614077413</v>
      </c>
      <c r="D619" s="891"/>
      <c r="E619" s="891">
        <f t="shared" si="264"/>
        <v>0.03</v>
      </c>
      <c r="F619" s="891">
        <f t="shared" si="242"/>
        <v>0.03</v>
      </c>
      <c r="G619" s="893">
        <f t="shared" si="250"/>
        <v>1.151056494563818E-8</v>
      </c>
      <c r="H619" s="436">
        <f t="shared" si="243"/>
        <v>0</v>
      </c>
      <c r="I619" s="302">
        <f t="shared" si="244"/>
        <v>0</v>
      </c>
      <c r="J619" s="301">
        <f t="shared" si="263"/>
        <v>2.9176084758041223E-11</v>
      </c>
      <c r="K619" s="301">
        <f t="shared" si="251"/>
        <v>2.9176084758041223E-11</v>
      </c>
      <c r="L619" s="10">
        <f t="shared" si="252"/>
        <v>2.9176084758041223E-11</v>
      </c>
      <c r="M619" s="302"/>
      <c r="N619" s="435">
        <f t="shared" si="253"/>
        <v>0</v>
      </c>
      <c r="O619" s="436">
        <f t="shared" si="245"/>
        <v>0</v>
      </c>
      <c r="P619" s="436">
        <f t="shared" si="254"/>
        <v>0</v>
      </c>
      <c r="R619" s="354">
        <f>+Hirdetmény!$AA$46</f>
        <v>0.13400000000000001</v>
      </c>
      <c r="S619" s="301">
        <f t="shared" si="255"/>
        <v>0</v>
      </c>
      <c r="T619" s="301">
        <f t="shared" si="246"/>
        <v>0</v>
      </c>
      <c r="U619" s="301">
        <f t="shared" si="256"/>
        <v>0</v>
      </c>
      <c r="V619" s="301">
        <f t="shared" si="257"/>
        <v>0</v>
      </c>
      <c r="W619" s="301">
        <f t="shared" si="258"/>
        <v>0</v>
      </c>
      <c r="AA619" s="12">
        <f>+paraméterek!$B$346</f>
        <v>6.4600000000000005E-2</v>
      </c>
      <c r="AB619" s="301">
        <f t="shared" si="259"/>
        <v>0</v>
      </c>
      <c r="AC619" s="301">
        <f t="shared" si="247"/>
        <v>0</v>
      </c>
      <c r="AD619" s="301">
        <f t="shared" si="260"/>
        <v>0</v>
      </c>
      <c r="AE619" s="301">
        <f t="shared" si="261"/>
        <v>0</v>
      </c>
      <c r="AF619" s="477">
        <f t="shared" si="262"/>
        <v>0</v>
      </c>
    </row>
    <row r="620" spans="1:32" s="11" customFormat="1" hidden="1" x14ac:dyDescent="0.3">
      <c r="A620" s="775">
        <v>541</v>
      </c>
      <c r="B620" s="775">
        <f t="shared" si="248"/>
        <v>46</v>
      </c>
      <c r="C620" s="891">
        <f t="shared" si="264"/>
        <v>0.14489675614077413</v>
      </c>
      <c r="D620" s="891"/>
      <c r="E620" s="891">
        <f t="shared" si="264"/>
        <v>0.03</v>
      </c>
      <c r="F620" s="891">
        <f t="shared" si="242"/>
        <v>0.03</v>
      </c>
      <c r="G620" s="893">
        <f t="shared" si="250"/>
        <v>1.151056494563818E-8</v>
      </c>
      <c r="H620" s="436">
        <f t="shared" si="243"/>
        <v>0</v>
      </c>
      <c r="I620" s="302">
        <f t="shared" si="244"/>
        <v>0</v>
      </c>
      <c r="J620" s="301">
        <f t="shared" si="263"/>
        <v>2.9176084758041223E-11</v>
      </c>
      <c r="K620" s="301">
        <f t="shared" si="251"/>
        <v>2.9176084758041223E-11</v>
      </c>
      <c r="L620" s="10">
        <f t="shared" si="252"/>
        <v>2.9176084758041223E-11</v>
      </c>
      <c r="M620" s="302"/>
      <c r="N620" s="435">
        <f t="shared" si="253"/>
        <v>0</v>
      </c>
      <c r="O620" s="436">
        <f t="shared" si="245"/>
        <v>0</v>
      </c>
      <c r="P620" s="436">
        <f t="shared" si="254"/>
        <v>0</v>
      </c>
      <c r="R620" s="354">
        <f>+Hirdetmény!$AA$46</f>
        <v>0.13400000000000001</v>
      </c>
      <c r="S620" s="301">
        <f t="shared" si="255"/>
        <v>0</v>
      </c>
      <c r="T620" s="301">
        <f t="shared" si="246"/>
        <v>0</v>
      </c>
      <c r="U620" s="301">
        <f t="shared" si="256"/>
        <v>0</v>
      </c>
      <c r="V620" s="301">
        <f t="shared" si="257"/>
        <v>0</v>
      </c>
      <c r="W620" s="301">
        <f t="shared" si="258"/>
        <v>0</v>
      </c>
      <c r="AA620" s="12">
        <f>+paraméterek!$B$346</f>
        <v>6.4600000000000005E-2</v>
      </c>
      <c r="AB620" s="301">
        <f t="shared" si="259"/>
        <v>0</v>
      </c>
      <c r="AC620" s="301">
        <f t="shared" si="247"/>
        <v>0</v>
      </c>
      <c r="AD620" s="301">
        <f t="shared" si="260"/>
        <v>0</v>
      </c>
      <c r="AE620" s="301">
        <f t="shared" si="261"/>
        <v>0</v>
      </c>
      <c r="AF620" s="477">
        <f t="shared" si="262"/>
        <v>0</v>
      </c>
    </row>
    <row r="621" spans="1:32" s="11" customFormat="1" hidden="1" x14ac:dyDescent="0.3">
      <c r="A621" s="775">
        <v>542</v>
      </c>
      <c r="B621" s="775">
        <f t="shared" si="248"/>
        <v>46</v>
      </c>
      <c r="C621" s="891">
        <f t="shared" si="264"/>
        <v>0.14489675614077413</v>
      </c>
      <c r="D621" s="891"/>
      <c r="E621" s="891">
        <f t="shared" si="264"/>
        <v>0.03</v>
      </c>
      <c r="F621" s="891">
        <f t="shared" si="242"/>
        <v>0.03</v>
      </c>
      <c r="G621" s="893">
        <f t="shared" si="250"/>
        <v>1.151056494563818E-8</v>
      </c>
      <c r="H621" s="436">
        <f t="shared" si="243"/>
        <v>0</v>
      </c>
      <c r="I621" s="302">
        <f t="shared" si="244"/>
        <v>0</v>
      </c>
      <c r="J621" s="301">
        <f t="shared" si="263"/>
        <v>2.9176084758041223E-11</v>
      </c>
      <c r="K621" s="301">
        <f t="shared" si="251"/>
        <v>2.9176084758041223E-11</v>
      </c>
      <c r="L621" s="10">
        <f t="shared" si="252"/>
        <v>2.9176084758041223E-11</v>
      </c>
      <c r="M621" s="302"/>
      <c r="N621" s="435">
        <f t="shared" si="253"/>
        <v>0</v>
      </c>
      <c r="O621" s="436">
        <f t="shared" si="245"/>
        <v>0</v>
      </c>
      <c r="P621" s="436">
        <f t="shared" si="254"/>
        <v>0</v>
      </c>
      <c r="R621" s="354">
        <f>+Hirdetmény!$AA$46</f>
        <v>0.13400000000000001</v>
      </c>
      <c r="S621" s="301">
        <f t="shared" si="255"/>
        <v>0</v>
      </c>
      <c r="T621" s="301">
        <f t="shared" si="246"/>
        <v>0</v>
      </c>
      <c r="U621" s="301">
        <f t="shared" si="256"/>
        <v>0</v>
      </c>
      <c r="V621" s="301">
        <f t="shared" si="257"/>
        <v>0</v>
      </c>
      <c r="W621" s="301">
        <f t="shared" si="258"/>
        <v>0</v>
      </c>
      <c r="AA621" s="12">
        <f>+paraméterek!$B$346</f>
        <v>6.4600000000000005E-2</v>
      </c>
      <c r="AB621" s="301">
        <f t="shared" si="259"/>
        <v>0</v>
      </c>
      <c r="AC621" s="301">
        <f t="shared" si="247"/>
        <v>0</v>
      </c>
      <c r="AD621" s="301">
        <f t="shared" si="260"/>
        <v>0</v>
      </c>
      <c r="AE621" s="301">
        <f t="shared" si="261"/>
        <v>0</v>
      </c>
      <c r="AF621" s="477">
        <f t="shared" si="262"/>
        <v>0</v>
      </c>
    </row>
    <row r="622" spans="1:32" s="11" customFormat="1" hidden="1" x14ac:dyDescent="0.3">
      <c r="A622" s="775">
        <v>543</v>
      </c>
      <c r="B622" s="775">
        <f t="shared" si="248"/>
        <v>46</v>
      </c>
      <c r="C622" s="891">
        <f t="shared" si="264"/>
        <v>0.14489675614077413</v>
      </c>
      <c r="D622" s="891"/>
      <c r="E622" s="891">
        <f t="shared" si="264"/>
        <v>0.03</v>
      </c>
      <c r="F622" s="891">
        <f t="shared" si="242"/>
        <v>0.03</v>
      </c>
      <c r="G622" s="893">
        <f t="shared" si="250"/>
        <v>1.151056494563818E-8</v>
      </c>
      <c r="H622" s="436">
        <f t="shared" si="243"/>
        <v>0</v>
      </c>
      <c r="I622" s="302">
        <f t="shared" si="244"/>
        <v>0</v>
      </c>
      <c r="J622" s="301">
        <f t="shared" si="263"/>
        <v>2.9176084758041223E-11</v>
      </c>
      <c r="K622" s="301">
        <f t="shared" si="251"/>
        <v>2.9176084758041223E-11</v>
      </c>
      <c r="L622" s="10">
        <f t="shared" si="252"/>
        <v>2.9176084758041223E-11</v>
      </c>
      <c r="M622" s="302"/>
      <c r="N622" s="435">
        <f t="shared" si="253"/>
        <v>0</v>
      </c>
      <c r="O622" s="436">
        <f t="shared" si="245"/>
        <v>0</v>
      </c>
      <c r="P622" s="436">
        <f t="shared" si="254"/>
        <v>0</v>
      </c>
      <c r="R622" s="354">
        <f>+Hirdetmény!$AA$46</f>
        <v>0.13400000000000001</v>
      </c>
      <c r="S622" s="301">
        <f t="shared" si="255"/>
        <v>0</v>
      </c>
      <c r="T622" s="301">
        <f t="shared" si="246"/>
        <v>0</v>
      </c>
      <c r="U622" s="301">
        <f t="shared" si="256"/>
        <v>0</v>
      </c>
      <c r="V622" s="301">
        <f t="shared" si="257"/>
        <v>0</v>
      </c>
      <c r="W622" s="301">
        <f t="shared" si="258"/>
        <v>0</v>
      </c>
      <c r="AA622" s="12">
        <f>+paraméterek!$B$346</f>
        <v>6.4600000000000005E-2</v>
      </c>
      <c r="AB622" s="301">
        <f t="shared" si="259"/>
        <v>0</v>
      </c>
      <c r="AC622" s="301">
        <f t="shared" si="247"/>
        <v>0</v>
      </c>
      <c r="AD622" s="301">
        <f t="shared" si="260"/>
        <v>0</v>
      </c>
      <c r="AE622" s="301">
        <f t="shared" si="261"/>
        <v>0</v>
      </c>
      <c r="AF622" s="477">
        <f t="shared" si="262"/>
        <v>0</v>
      </c>
    </row>
    <row r="623" spans="1:32" s="11" customFormat="1" hidden="1" x14ac:dyDescent="0.3">
      <c r="A623" s="775">
        <v>544</v>
      </c>
      <c r="B623" s="775">
        <f t="shared" si="248"/>
        <v>46</v>
      </c>
      <c r="C623" s="891">
        <f t="shared" si="264"/>
        <v>0.14489675614077413</v>
      </c>
      <c r="D623" s="891"/>
      <c r="E623" s="891">
        <f t="shared" si="264"/>
        <v>0.03</v>
      </c>
      <c r="F623" s="891">
        <f t="shared" si="242"/>
        <v>0.03</v>
      </c>
      <c r="G623" s="893">
        <f t="shared" si="250"/>
        <v>1.151056494563818E-8</v>
      </c>
      <c r="H623" s="436">
        <f t="shared" si="243"/>
        <v>0</v>
      </c>
      <c r="I623" s="302">
        <f t="shared" si="244"/>
        <v>0</v>
      </c>
      <c r="J623" s="301">
        <f t="shared" si="263"/>
        <v>2.9176084758041223E-11</v>
      </c>
      <c r="K623" s="301">
        <f t="shared" si="251"/>
        <v>2.9176084758041223E-11</v>
      </c>
      <c r="L623" s="10">
        <f t="shared" si="252"/>
        <v>2.9176084758041223E-11</v>
      </c>
      <c r="M623" s="302"/>
      <c r="N623" s="435">
        <f t="shared" si="253"/>
        <v>0</v>
      </c>
      <c r="O623" s="436">
        <f t="shared" si="245"/>
        <v>0</v>
      </c>
      <c r="P623" s="436">
        <f t="shared" si="254"/>
        <v>0</v>
      </c>
      <c r="R623" s="354">
        <f>+Hirdetmény!$AA$46</f>
        <v>0.13400000000000001</v>
      </c>
      <c r="S623" s="301">
        <f t="shared" si="255"/>
        <v>0</v>
      </c>
      <c r="T623" s="301">
        <f t="shared" si="246"/>
        <v>0</v>
      </c>
      <c r="U623" s="301">
        <f t="shared" si="256"/>
        <v>0</v>
      </c>
      <c r="V623" s="301">
        <f t="shared" si="257"/>
        <v>0</v>
      </c>
      <c r="W623" s="301">
        <f t="shared" si="258"/>
        <v>0</v>
      </c>
      <c r="AA623" s="12">
        <f>+paraméterek!$B$346</f>
        <v>6.4600000000000005E-2</v>
      </c>
      <c r="AB623" s="301">
        <f t="shared" si="259"/>
        <v>0</v>
      </c>
      <c r="AC623" s="301">
        <f t="shared" si="247"/>
        <v>0</v>
      </c>
      <c r="AD623" s="301">
        <f t="shared" si="260"/>
        <v>0</v>
      </c>
      <c r="AE623" s="301">
        <f t="shared" si="261"/>
        <v>0</v>
      </c>
      <c r="AF623" s="477">
        <f t="shared" si="262"/>
        <v>0</v>
      </c>
    </row>
    <row r="624" spans="1:32" s="11" customFormat="1" hidden="1" x14ac:dyDescent="0.3">
      <c r="A624" s="775">
        <v>545</v>
      </c>
      <c r="B624" s="775">
        <f t="shared" si="248"/>
        <v>46</v>
      </c>
      <c r="C624" s="891">
        <f t="shared" si="264"/>
        <v>0.14489675614077413</v>
      </c>
      <c r="D624" s="891"/>
      <c r="E624" s="891">
        <f t="shared" si="264"/>
        <v>0.03</v>
      </c>
      <c r="F624" s="891">
        <f t="shared" si="242"/>
        <v>0.03</v>
      </c>
      <c r="G624" s="893">
        <f t="shared" si="250"/>
        <v>1.151056494563818E-8</v>
      </c>
      <c r="H624" s="436">
        <f t="shared" si="243"/>
        <v>0</v>
      </c>
      <c r="I624" s="302">
        <f t="shared" si="244"/>
        <v>0</v>
      </c>
      <c r="J624" s="301">
        <f t="shared" si="263"/>
        <v>2.9176084758041223E-11</v>
      </c>
      <c r="K624" s="301">
        <f t="shared" si="251"/>
        <v>2.9176084758041223E-11</v>
      </c>
      <c r="L624" s="10">
        <f t="shared" si="252"/>
        <v>2.9176084758041223E-11</v>
      </c>
      <c r="M624" s="302"/>
      <c r="N624" s="435">
        <f t="shared" si="253"/>
        <v>0</v>
      </c>
      <c r="O624" s="436">
        <f t="shared" si="245"/>
        <v>0</v>
      </c>
      <c r="P624" s="436">
        <f t="shared" si="254"/>
        <v>0</v>
      </c>
      <c r="R624" s="354">
        <f>+Hirdetmény!$AA$46</f>
        <v>0.13400000000000001</v>
      </c>
      <c r="S624" s="301">
        <f t="shared" si="255"/>
        <v>0</v>
      </c>
      <c r="T624" s="301">
        <f t="shared" si="246"/>
        <v>0</v>
      </c>
      <c r="U624" s="301">
        <f t="shared" si="256"/>
        <v>0</v>
      </c>
      <c r="V624" s="301">
        <f t="shared" si="257"/>
        <v>0</v>
      </c>
      <c r="W624" s="301">
        <f t="shared" si="258"/>
        <v>0</v>
      </c>
      <c r="AA624" s="12">
        <f>+paraméterek!$B$346</f>
        <v>6.4600000000000005E-2</v>
      </c>
      <c r="AB624" s="301">
        <f t="shared" si="259"/>
        <v>0</v>
      </c>
      <c r="AC624" s="301">
        <f t="shared" si="247"/>
        <v>0</v>
      </c>
      <c r="AD624" s="301">
        <f t="shared" si="260"/>
        <v>0</v>
      </c>
      <c r="AE624" s="301">
        <f t="shared" si="261"/>
        <v>0</v>
      </c>
      <c r="AF624" s="477">
        <f t="shared" si="262"/>
        <v>0</v>
      </c>
    </row>
    <row r="625" spans="1:32" s="11" customFormat="1" hidden="1" x14ac:dyDescent="0.3">
      <c r="A625" s="775">
        <v>546</v>
      </c>
      <c r="B625" s="775">
        <f t="shared" si="248"/>
        <v>46</v>
      </c>
      <c r="C625" s="891">
        <f t="shared" ref="C625:E640" si="265">+C624</f>
        <v>0.14489675614077413</v>
      </c>
      <c r="D625" s="891"/>
      <c r="E625" s="891">
        <f t="shared" si="265"/>
        <v>0.03</v>
      </c>
      <c r="F625" s="891">
        <f t="shared" si="242"/>
        <v>0.03</v>
      </c>
      <c r="G625" s="893">
        <f t="shared" si="250"/>
        <v>1.151056494563818E-8</v>
      </c>
      <c r="H625" s="436">
        <f t="shared" si="243"/>
        <v>0</v>
      </c>
      <c r="I625" s="302">
        <f t="shared" si="244"/>
        <v>0</v>
      </c>
      <c r="J625" s="301">
        <f t="shared" si="263"/>
        <v>2.9176084758041223E-11</v>
      </c>
      <c r="K625" s="301">
        <f t="shared" si="251"/>
        <v>2.9176084758041223E-11</v>
      </c>
      <c r="L625" s="10">
        <f t="shared" si="252"/>
        <v>2.9176084758041223E-11</v>
      </c>
      <c r="M625" s="302"/>
      <c r="N625" s="435">
        <f t="shared" si="253"/>
        <v>0</v>
      </c>
      <c r="O625" s="436">
        <f t="shared" si="245"/>
        <v>0</v>
      </c>
      <c r="P625" s="436">
        <f t="shared" si="254"/>
        <v>0</v>
      </c>
      <c r="R625" s="354">
        <f>+Hirdetmény!$AA$46</f>
        <v>0.13400000000000001</v>
      </c>
      <c r="S625" s="301">
        <f t="shared" si="255"/>
        <v>0</v>
      </c>
      <c r="T625" s="301">
        <f t="shared" si="246"/>
        <v>0</v>
      </c>
      <c r="U625" s="301">
        <f t="shared" si="256"/>
        <v>0</v>
      </c>
      <c r="V625" s="301">
        <f t="shared" si="257"/>
        <v>0</v>
      </c>
      <c r="W625" s="301">
        <f t="shared" si="258"/>
        <v>0</v>
      </c>
      <c r="AA625" s="12">
        <f>+paraméterek!$B$346</f>
        <v>6.4600000000000005E-2</v>
      </c>
      <c r="AB625" s="301">
        <f t="shared" si="259"/>
        <v>0</v>
      </c>
      <c r="AC625" s="301">
        <f t="shared" si="247"/>
        <v>0</v>
      </c>
      <c r="AD625" s="301">
        <f t="shared" si="260"/>
        <v>0</v>
      </c>
      <c r="AE625" s="301">
        <f t="shared" si="261"/>
        <v>0</v>
      </c>
      <c r="AF625" s="477">
        <f t="shared" si="262"/>
        <v>0</v>
      </c>
    </row>
    <row r="626" spans="1:32" s="11" customFormat="1" hidden="1" x14ac:dyDescent="0.3">
      <c r="A626" s="775">
        <v>547</v>
      </c>
      <c r="B626" s="775">
        <f t="shared" si="248"/>
        <v>46</v>
      </c>
      <c r="C626" s="891">
        <f t="shared" si="265"/>
        <v>0.14489675614077413</v>
      </c>
      <c r="D626" s="891"/>
      <c r="E626" s="891">
        <f t="shared" si="265"/>
        <v>0.03</v>
      </c>
      <c r="F626" s="891">
        <f t="shared" si="242"/>
        <v>0.03</v>
      </c>
      <c r="G626" s="893">
        <f t="shared" si="250"/>
        <v>1.151056494563818E-8</v>
      </c>
      <c r="H626" s="436">
        <f t="shared" si="243"/>
        <v>0</v>
      </c>
      <c r="I626" s="302">
        <f t="shared" si="244"/>
        <v>0</v>
      </c>
      <c r="J626" s="301">
        <f t="shared" si="263"/>
        <v>2.9176084758041223E-11</v>
      </c>
      <c r="K626" s="301">
        <f t="shared" si="251"/>
        <v>2.9176084758041223E-11</v>
      </c>
      <c r="L626" s="10">
        <f t="shared" si="252"/>
        <v>2.9176084758041223E-11</v>
      </c>
      <c r="M626" s="302"/>
      <c r="N626" s="435">
        <f t="shared" si="253"/>
        <v>0</v>
      </c>
      <c r="O626" s="436">
        <f t="shared" si="245"/>
        <v>0</v>
      </c>
      <c r="P626" s="436">
        <f t="shared" si="254"/>
        <v>0</v>
      </c>
      <c r="R626" s="354">
        <f>+Hirdetmény!$AA$46</f>
        <v>0.13400000000000001</v>
      </c>
      <c r="S626" s="301">
        <f t="shared" si="255"/>
        <v>0</v>
      </c>
      <c r="T626" s="301">
        <f t="shared" si="246"/>
        <v>0</v>
      </c>
      <c r="U626" s="301">
        <f t="shared" si="256"/>
        <v>0</v>
      </c>
      <c r="V626" s="301">
        <f t="shared" si="257"/>
        <v>0</v>
      </c>
      <c r="W626" s="301">
        <f t="shared" si="258"/>
        <v>0</v>
      </c>
      <c r="AA626" s="12">
        <f>+paraméterek!$B$346</f>
        <v>6.4600000000000005E-2</v>
      </c>
      <c r="AB626" s="301">
        <f t="shared" si="259"/>
        <v>0</v>
      </c>
      <c r="AC626" s="301">
        <f t="shared" si="247"/>
        <v>0</v>
      </c>
      <c r="AD626" s="301">
        <f t="shared" si="260"/>
        <v>0</v>
      </c>
      <c r="AE626" s="301">
        <f t="shared" si="261"/>
        <v>0</v>
      </c>
      <c r="AF626" s="477">
        <f t="shared" si="262"/>
        <v>0</v>
      </c>
    </row>
    <row r="627" spans="1:32" s="11" customFormat="1" hidden="1" x14ac:dyDescent="0.3">
      <c r="A627" s="775">
        <v>548</v>
      </c>
      <c r="B627" s="775">
        <f t="shared" si="248"/>
        <v>46</v>
      </c>
      <c r="C627" s="891">
        <f t="shared" si="265"/>
        <v>0.14489675614077413</v>
      </c>
      <c r="D627" s="891"/>
      <c r="E627" s="891">
        <f t="shared" si="265"/>
        <v>0.03</v>
      </c>
      <c r="F627" s="891">
        <f t="shared" si="242"/>
        <v>0.03</v>
      </c>
      <c r="G627" s="893">
        <f t="shared" si="250"/>
        <v>1.151056494563818E-8</v>
      </c>
      <c r="H627" s="436">
        <f t="shared" si="243"/>
        <v>0</v>
      </c>
      <c r="I627" s="302">
        <f t="shared" si="244"/>
        <v>0</v>
      </c>
      <c r="J627" s="301">
        <f t="shared" si="263"/>
        <v>2.9176084758041223E-11</v>
      </c>
      <c r="K627" s="301">
        <f t="shared" si="251"/>
        <v>2.9176084758041223E-11</v>
      </c>
      <c r="L627" s="10">
        <f t="shared" si="252"/>
        <v>2.9176084758041223E-11</v>
      </c>
      <c r="M627" s="302"/>
      <c r="N627" s="435">
        <f t="shared" si="253"/>
        <v>0</v>
      </c>
      <c r="O627" s="436">
        <f t="shared" si="245"/>
        <v>0</v>
      </c>
      <c r="P627" s="436">
        <f t="shared" si="254"/>
        <v>0</v>
      </c>
      <c r="R627" s="354">
        <f>+Hirdetmény!$AA$46</f>
        <v>0.13400000000000001</v>
      </c>
      <c r="S627" s="301">
        <f t="shared" si="255"/>
        <v>0</v>
      </c>
      <c r="T627" s="301">
        <f t="shared" si="246"/>
        <v>0</v>
      </c>
      <c r="U627" s="301">
        <f t="shared" si="256"/>
        <v>0</v>
      </c>
      <c r="V627" s="301">
        <f t="shared" si="257"/>
        <v>0</v>
      </c>
      <c r="W627" s="301">
        <f t="shared" si="258"/>
        <v>0</v>
      </c>
      <c r="AA627" s="12">
        <f>+paraméterek!$B$346</f>
        <v>6.4600000000000005E-2</v>
      </c>
      <c r="AB627" s="301">
        <f t="shared" si="259"/>
        <v>0</v>
      </c>
      <c r="AC627" s="301">
        <f t="shared" si="247"/>
        <v>0</v>
      </c>
      <c r="AD627" s="301">
        <f t="shared" si="260"/>
        <v>0</v>
      </c>
      <c r="AE627" s="301">
        <f t="shared" si="261"/>
        <v>0</v>
      </c>
      <c r="AF627" s="477">
        <f t="shared" si="262"/>
        <v>0</v>
      </c>
    </row>
    <row r="628" spans="1:32" s="11" customFormat="1" hidden="1" x14ac:dyDescent="0.3">
      <c r="A628" s="775">
        <v>549</v>
      </c>
      <c r="B628" s="775">
        <f t="shared" si="248"/>
        <v>46</v>
      </c>
      <c r="C628" s="891">
        <f t="shared" si="265"/>
        <v>0.14489675614077413</v>
      </c>
      <c r="D628" s="891"/>
      <c r="E628" s="891">
        <f t="shared" si="265"/>
        <v>0.03</v>
      </c>
      <c r="F628" s="891">
        <f t="shared" si="242"/>
        <v>0.03</v>
      </c>
      <c r="G628" s="893">
        <f t="shared" si="250"/>
        <v>1.151056494563818E-8</v>
      </c>
      <c r="H628" s="436">
        <f t="shared" si="243"/>
        <v>0</v>
      </c>
      <c r="I628" s="302">
        <f t="shared" si="244"/>
        <v>0</v>
      </c>
      <c r="J628" s="301">
        <f t="shared" si="263"/>
        <v>2.9176084758041223E-11</v>
      </c>
      <c r="K628" s="301">
        <f t="shared" si="251"/>
        <v>2.9176084758041223E-11</v>
      </c>
      <c r="L628" s="10">
        <f t="shared" si="252"/>
        <v>2.9176084758041223E-11</v>
      </c>
      <c r="M628" s="302"/>
      <c r="N628" s="435">
        <f t="shared" si="253"/>
        <v>0</v>
      </c>
      <c r="O628" s="436">
        <f t="shared" si="245"/>
        <v>0</v>
      </c>
      <c r="P628" s="436">
        <f t="shared" si="254"/>
        <v>0</v>
      </c>
      <c r="R628" s="354">
        <f>+Hirdetmény!$AA$46</f>
        <v>0.13400000000000001</v>
      </c>
      <c r="S628" s="301">
        <f t="shared" si="255"/>
        <v>0</v>
      </c>
      <c r="T628" s="301">
        <f t="shared" si="246"/>
        <v>0</v>
      </c>
      <c r="U628" s="301">
        <f t="shared" si="256"/>
        <v>0</v>
      </c>
      <c r="V628" s="301">
        <f t="shared" si="257"/>
        <v>0</v>
      </c>
      <c r="W628" s="301">
        <f t="shared" si="258"/>
        <v>0</v>
      </c>
      <c r="AA628" s="12">
        <f>+paraméterek!$B$346</f>
        <v>6.4600000000000005E-2</v>
      </c>
      <c r="AB628" s="301">
        <f t="shared" si="259"/>
        <v>0</v>
      </c>
      <c r="AC628" s="301">
        <f t="shared" si="247"/>
        <v>0</v>
      </c>
      <c r="AD628" s="301">
        <f t="shared" si="260"/>
        <v>0</v>
      </c>
      <c r="AE628" s="301">
        <f t="shared" si="261"/>
        <v>0</v>
      </c>
      <c r="AF628" s="477">
        <f t="shared" si="262"/>
        <v>0</v>
      </c>
    </row>
    <row r="629" spans="1:32" s="11" customFormat="1" hidden="1" x14ac:dyDescent="0.3">
      <c r="A629" s="775">
        <v>550</v>
      </c>
      <c r="B629" s="775">
        <f t="shared" si="248"/>
        <v>46</v>
      </c>
      <c r="C629" s="891">
        <f t="shared" si="265"/>
        <v>0.14489675614077413</v>
      </c>
      <c r="D629" s="891"/>
      <c r="E629" s="891">
        <f t="shared" si="265"/>
        <v>0.03</v>
      </c>
      <c r="F629" s="891">
        <f t="shared" si="242"/>
        <v>0.03</v>
      </c>
      <c r="G629" s="893">
        <f t="shared" si="250"/>
        <v>1.151056494563818E-8</v>
      </c>
      <c r="H629" s="436">
        <f t="shared" si="243"/>
        <v>0</v>
      </c>
      <c r="I629" s="302">
        <f t="shared" si="244"/>
        <v>0</v>
      </c>
      <c r="J629" s="301">
        <f t="shared" si="263"/>
        <v>2.9176084758041223E-11</v>
      </c>
      <c r="K629" s="301">
        <f t="shared" si="251"/>
        <v>2.9176084758041223E-11</v>
      </c>
      <c r="L629" s="10">
        <f t="shared" si="252"/>
        <v>2.9176084758041223E-11</v>
      </c>
      <c r="M629" s="302"/>
      <c r="N629" s="435">
        <f t="shared" si="253"/>
        <v>0</v>
      </c>
      <c r="O629" s="436">
        <f t="shared" si="245"/>
        <v>0</v>
      </c>
      <c r="P629" s="436">
        <f t="shared" si="254"/>
        <v>0</v>
      </c>
      <c r="R629" s="354">
        <f>+Hirdetmény!$AA$46</f>
        <v>0.13400000000000001</v>
      </c>
      <c r="S629" s="301">
        <f t="shared" si="255"/>
        <v>0</v>
      </c>
      <c r="T629" s="301">
        <f t="shared" si="246"/>
        <v>0</v>
      </c>
      <c r="U629" s="301">
        <f t="shared" si="256"/>
        <v>0</v>
      </c>
      <c r="V629" s="301">
        <f t="shared" si="257"/>
        <v>0</v>
      </c>
      <c r="W629" s="301">
        <f t="shared" si="258"/>
        <v>0</v>
      </c>
      <c r="AA629" s="12">
        <f>+paraméterek!$B$346</f>
        <v>6.4600000000000005E-2</v>
      </c>
      <c r="AB629" s="301">
        <f t="shared" si="259"/>
        <v>0</v>
      </c>
      <c r="AC629" s="301">
        <f t="shared" si="247"/>
        <v>0</v>
      </c>
      <c r="AD629" s="301">
        <f t="shared" si="260"/>
        <v>0</v>
      </c>
      <c r="AE629" s="301">
        <f t="shared" si="261"/>
        <v>0</v>
      </c>
      <c r="AF629" s="477">
        <f t="shared" si="262"/>
        <v>0</v>
      </c>
    </row>
    <row r="630" spans="1:32" s="11" customFormat="1" hidden="1" x14ac:dyDescent="0.3">
      <c r="A630" s="775">
        <v>551</v>
      </c>
      <c r="B630" s="775">
        <f t="shared" si="248"/>
        <v>46</v>
      </c>
      <c r="C630" s="891">
        <f t="shared" si="265"/>
        <v>0.14489675614077413</v>
      </c>
      <c r="D630" s="891"/>
      <c r="E630" s="891">
        <f t="shared" si="265"/>
        <v>0.03</v>
      </c>
      <c r="F630" s="891">
        <f t="shared" si="242"/>
        <v>0.03</v>
      </c>
      <c r="G630" s="893">
        <f t="shared" si="250"/>
        <v>1.151056494563818E-8</v>
      </c>
      <c r="H630" s="436">
        <f t="shared" si="243"/>
        <v>0</v>
      </c>
      <c r="I630" s="302">
        <f t="shared" si="244"/>
        <v>0</v>
      </c>
      <c r="J630" s="301">
        <f t="shared" si="263"/>
        <v>2.9176084758041223E-11</v>
      </c>
      <c r="K630" s="301">
        <f t="shared" si="251"/>
        <v>2.9176084758041223E-11</v>
      </c>
      <c r="L630" s="10">
        <f t="shared" si="252"/>
        <v>2.9176084758041223E-11</v>
      </c>
      <c r="M630" s="302"/>
      <c r="N630" s="435">
        <f t="shared" si="253"/>
        <v>0</v>
      </c>
      <c r="O630" s="436">
        <f t="shared" si="245"/>
        <v>0</v>
      </c>
      <c r="P630" s="436">
        <f t="shared" si="254"/>
        <v>0</v>
      </c>
      <c r="R630" s="354">
        <f>+Hirdetmény!$AA$46</f>
        <v>0.13400000000000001</v>
      </c>
      <c r="S630" s="301">
        <f t="shared" si="255"/>
        <v>0</v>
      </c>
      <c r="T630" s="301">
        <f t="shared" si="246"/>
        <v>0</v>
      </c>
      <c r="U630" s="301">
        <f t="shared" si="256"/>
        <v>0</v>
      </c>
      <c r="V630" s="301">
        <f t="shared" si="257"/>
        <v>0</v>
      </c>
      <c r="W630" s="301">
        <f t="shared" si="258"/>
        <v>0</v>
      </c>
      <c r="AA630" s="12">
        <f>+paraméterek!$B$346</f>
        <v>6.4600000000000005E-2</v>
      </c>
      <c r="AB630" s="301">
        <f t="shared" si="259"/>
        <v>0</v>
      </c>
      <c r="AC630" s="301">
        <f t="shared" si="247"/>
        <v>0</v>
      </c>
      <c r="AD630" s="301">
        <f t="shared" si="260"/>
        <v>0</v>
      </c>
      <c r="AE630" s="301">
        <f t="shared" si="261"/>
        <v>0</v>
      </c>
      <c r="AF630" s="477">
        <f t="shared" si="262"/>
        <v>0</v>
      </c>
    </row>
    <row r="631" spans="1:32" s="11" customFormat="1" hidden="1" x14ac:dyDescent="0.3">
      <c r="A631" s="775">
        <v>552</v>
      </c>
      <c r="B631" s="775">
        <f t="shared" si="248"/>
        <v>46</v>
      </c>
      <c r="C631" s="891">
        <f t="shared" si="265"/>
        <v>0.14489675614077413</v>
      </c>
      <c r="D631" s="891"/>
      <c r="E631" s="891">
        <f t="shared" si="265"/>
        <v>0.03</v>
      </c>
      <c r="F631" s="891">
        <f t="shared" si="242"/>
        <v>0.03</v>
      </c>
      <c r="G631" s="893">
        <f t="shared" si="250"/>
        <v>1.151056494563818E-8</v>
      </c>
      <c r="H631" s="436">
        <f t="shared" si="243"/>
        <v>0</v>
      </c>
      <c r="I631" s="302">
        <f t="shared" si="244"/>
        <v>0</v>
      </c>
      <c r="J631" s="301">
        <f t="shared" si="263"/>
        <v>2.9176084758041223E-11</v>
      </c>
      <c r="K631" s="301">
        <f t="shared" si="251"/>
        <v>2.9176084758041223E-11</v>
      </c>
      <c r="L631" s="10">
        <f t="shared" si="252"/>
        <v>2.9176084758041223E-11</v>
      </c>
      <c r="M631" s="302"/>
      <c r="N631" s="435">
        <f t="shared" si="253"/>
        <v>0</v>
      </c>
      <c r="O631" s="436">
        <f t="shared" si="245"/>
        <v>0</v>
      </c>
      <c r="P631" s="436">
        <f t="shared" si="254"/>
        <v>0</v>
      </c>
      <c r="R631" s="354">
        <f>+Hirdetmény!$AA$46</f>
        <v>0.13400000000000001</v>
      </c>
      <c r="S631" s="301">
        <f t="shared" si="255"/>
        <v>0</v>
      </c>
      <c r="T631" s="301">
        <f t="shared" si="246"/>
        <v>0</v>
      </c>
      <c r="U631" s="301">
        <f t="shared" si="256"/>
        <v>0</v>
      </c>
      <c r="V631" s="301">
        <f t="shared" si="257"/>
        <v>0</v>
      </c>
      <c r="W631" s="301">
        <f t="shared" si="258"/>
        <v>0</v>
      </c>
      <c r="AA631" s="12">
        <f>+paraméterek!$B$346</f>
        <v>6.4600000000000005E-2</v>
      </c>
      <c r="AB631" s="301">
        <f t="shared" si="259"/>
        <v>0</v>
      </c>
      <c r="AC631" s="301">
        <f t="shared" si="247"/>
        <v>0</v>
      </c>
      <c r="AD631" s="301">
        <f t="shared" si="260"/>
        <v>0</v>
      </c>
      <c r="AE631" s="301">
        <f t="shared" si="261"/>
        <v>0</v>
      </c>
      <c r="AF631" s="477">
        <f t="shared" si="262"/>
        <v>0</v>
      </c>
    </row>
    <row r="632" spans="1:32" s="11" customFormat="1" hidden="1" x14ac:dyDescent="0.3">
      <c r="A632" s="775">
        <v>553</v>
      </c>
      <c r="B632" s="775">
        <f t="shared" si="248"/>
        <v>47</v>
      </c>
      <c r="C632" s="891">
        <f t="shared" si="265"/>
        <v>0.14489675614077413</v>
      </c>
      <c r="D632" s="891"/>
      <c r="E632" s="891">
        <f t="shared" si="265"/>
        <v>0.03</v>
      </c>
      <c r="F632" s="891">
        <f t="shared" si="242"/>
        <v>0.03</v>
      </c>
      <c r="G632" s="893">
        <f t="shared" si="250"/>
        <v>1.151056494563818E-8</v>
      </c>
      <c r="H632" s="436">
        <f t="shared" si="243"/>
        <v>0</v>
      </c>
      <c r="I632" s="302">
        <f t="shared" si="244"/>
        <v>0</v>
      </c>
      <c r="J632" s="301">
        <f t="shared" si="263"/>
        <v>2.9176084758041223E-11</v>
      </c>
      <c r="K632" s="301">
        <f t="shared" si="251"/>
        <v>2.9176084758041223E-11</v>
      </c>
      <c r="L632" s="10">
        <f t="shared" si="252"/>
        <v>2.9176084758041223E-11</v>
      </c>
      <c r="M632" s="302"/>
      <c r="N632" s="435">
        <f t="shared" si="253"/>
        <v>0</v>
      </c>
      <c r="O632" s="436">
        <f t="shared" si="245"/>
        <v>0</v>
      </c>
      <c r="P632" s="436">
        <f t="shared" si="254"/>
        <v>0</v>
      </c>
      <c r="R632" s="354">
        <f>+Hirdetmény!$AA$46</f>
        <v>0.13400000000000001</v>
      </c>
      <c r="S632" s="301">
        <f t="shared" si="255"/>
        <v>0</v>
      </c>
      <c r="T632" s="301">
        <f t="shared" si="246"/>
        <v>0</v>
      </c>
      <c r="U632" s="301">
        <f t="shared" si="256"/>
        <v>0</v>
      </c>
      <c r="V632" s="301">
        <f t="shared" si="257"/>
        <v>0</v>
      </c>
      <c r="W632" s="301">
        <f t="shared" si="258"/>
        <v>0</v>
      </c>
      <c r="AA632" s="12">
        <f>+paraméterek!$B$346</f>
        <v>6.4600000000000005E-2</v>
      </c>
      <c r="AB632" s="301">
        <f t="shared" si="259"/>
        <v>0</v>
      </c>
      <c r="AC632" s="301">
        <f t="shared" si="247"/>
        <v>0</v>
      </c>
      <c r="AD632" s="301">
        <f t="shared" si="260"/>
        <v>0</v>
      </c>
      <c r="AE632" s="301">
        <f t="shared" si="261"/>
        <v>0</v>
      </c>
      <c r="AF632" s="477">
        <f t="shared" si="262"/>
        <v>0</v>
      </c>
    </row>
    <row r="633" spans="1:32" s="11" customFormat="1" hidden="1" x14ac:dyDescent="0.3">
      <c r="A633" s="775">
        <v>554</v>
      </c>
      <c r="B633" s="775">
        <f t="shared" si="248"/>
        <v>47</v>
      </c>
      <c r="C633" s="891">
        <f t="shared" si="265"/>
        <v>0.14489675614077413</v>
      </c>
      <c r="D633" s="891"/>
      <c r="E633" s="891">
        <f t="shared" si="265"/>
        <v>0.03</v>
      </c>
      <c r="F633" s="891">
        <f t="shared" si="242"/>
        <v>0.03</v>
      </c>
      <c r="G633" s="893">
        <f t="shared" si="250"/>
        <v>1.151056494563818E-8</v>
      </c>
      <c r="H633" s="436">
        <f t="shared" si="243"/>
        <v>0</v>
      </c>
      <c r="I633" s="302">
        <f t="shared" si="244"/>
        <v>0</v>
      </c>
      <c r="J633" s="301">
        <f t="shared" si="263"/>
        <v>2.9176084758041223E-11</v>
      </c>
      <c r="K633" s="301">
        <f t="shared" si="251"/>
        <v>2.9176084758041223E-11</v>
      </c>
      <c r="L633" s="10">
        <f t="shared" si="252"/>
        <v>2.9176084758041223E-11</v>
      </c>
      <c r="M633" s="302"/>
      <c r="N633" s="435">
        <f t="shared" si="253"/>
        <v>0</v>
      </c>
      <c r="O633" s="436">
        <f t="shared" si="245"/>
        <v>0</v>
      </c>
      <c r="P633" s="436">
        <f t="shared" si="254"/>
        <v>0</v>
      </c>
      <c r="R633" s="354">
        <f>+Hirdetmény!$AA$46</f>
        <v>0.13400000000000001</v>
      </c>
      <c r="S633" s="301">
        <f t="shared" si="255"/>
        <v>0</v>
      </c>
      <c r="T633" s="301">
        <f t="shared" si="246"/>
        <v>0</v>
      </c>
      <c r="U633" s="301">
        <f t="shared" si="256"/>
        <v>0</v>
      </c>
      <c r="V633" s="301">
        <f t="shared" si="257"/>
        <v>0</v>
      </c>
      <c r="W633" s="301">
        <f t="shared" si="258"/>
        <v>0</v>
      </c>
      <c r="AA633" s="12">
        <f>+paraméterek!$B$346</f>
        <v>6.4600000000000005E-2</v>
      </c>
      <c r="AB633" s="301">
        <f t="shared" si="259"/>
        <v>0</v>
      </c>
      <c r="AC633" s="301">
        <f t="shared" si="247"/>
        <v>0</v>
      </c>
      <c r="AD633" s="301">
        <f t="shared" si="260"/>
        <v>0</v>
      </c>
      <c r="AE633" s="301">
        <f t="shared" si="261"/>
        <v>0</v>
      </c>
      <c r="AF633" s="477">
        <f t="shared" si="262"/>
        <v>0</v>
      </c>
    </row>
    <row r="634" spans="1:32" s="11" customFormat="1" hidden="1" x14ac:dyDescent="0.3">
      <c r="A634" s="775">
        <v>555</v>
      </c>
      <c r="B634" s="775">
        <f t="shared" si="248"/>
        <v>47</v>
      </c>
      <c r="C634" s="891">
        <f t="shared" si="265"/>
        <v>0.14489675614077413</v>
      </c>
      <c r="D634" s="891"/>
      <c r="E634" s="891">
        <f t="shared" si="265"/>
        <v>0.03</v>
      </c>
      <c r="F634" s="891">
        <f t="shared" si="242"/>
        <v>0.03</v>
      </c>
      <c r="G634" s="893">
        <f t="shared" si="250"/>
        <v>1.151056494563818E-8</v>
      </c>
      <c r="H634" s="436">
        <f t="shared" si="243"/>
        <v>0</v>
      </c>
      <c r="I634" s="302">
        <f t="shared" si="244"/>
        <v>0</v>
      </c>
      <c r="J634" s="301">
        <f t="shared" si="263"/>
        <v>2.9176084758041223E-11</v>
      </c>
      <c r="K634" s="301">
        <f t="shared" si="251"/>
        <v>2.9176084758041223E-11</v>
      </c>
      <c r="L634" s="10">
        <f t="shared" si="252"/>
        <v>2.9176084758041223E-11</v>
      </c>
      <c r="M634" s="302"/>
      <c r="N634" s="435">
        <f t="shared" si="253"/>
        <v>0</v>
      </c>
      <c r="O634" s="436">
        <f t="shared" si="245"/>
        <v>0</v>
      </c>
      <c r="P634" s="436">
        <f t="shared" si="254"/>
        <v>0</v>
      </c>
      <c r="R634" s="354">
        <f>+Hirdetmény!$AA$46</f>
        <v>0.13400000000000001</v>
      </c>
      <c r="S634" s="301">
        <f t="shared" si="255"/>
        <v>0</v>
      </c>
      <c r="T634" s="301">
        <f t="shared" si="246"/>
        <v>0</v>
      </c>
      <c r="U634" s="301">
        <f t="shared" si="256"/>
        <v>0</v>
      </c>
      <c r="V634" s="301">
        <f t="shared" si="257"/>
        <v>0</v>
      </c>
      <c r="W634" s="301">
        <f t="shared" si="258"/>
        <v>0</v>
      </c>
      <c r="AA634" s="12">
        <f>+paraméterek!$B$346</f>
        <v>6.4600000000000005E-2</v>
      </c>
      <c r="AB634" s="301">
        <f t="shared" si="259"/>
        <v>0</v>
      </c>
      <c r="AC634" s="301">
        <f t="shared" si="247"/>
        <v>0</v>
      </c>
      <c r="AD634" s="301">
        <f t="shared" si="260"/>
        <v>0</v>
      </c>
      <c r="AE634" s="301">
        <f t="shared" si="261"/>
        <v>0</v>
      </c>
      <c r="AF634" s="477">
        <f t="shared" si="262"/>
        <v>0</v>
      </c>
    </row>
    <row r="635" spans="1:32" s="11" customFormat="1" hidden="1" x14ac:dyDescent="0.3">
      <c r="A635" s="775">
        <v>556</v>
      </c>
      <c r="B635" s="775">
        <f t="shared" si="248"/>
        <v>47</v>
      </c>
      <c r="C635" s="891">
        <f t="shared" si="265"/>
        <v>0.14489675614077413</v>
      </c>
      <c r="D635" s="891"/>
      <c r="E635" s="891">
        <f t="shared" si="265"/>
        <v>0.03</v>
      </c>
      <c r="F635" s="891">
        <f t="shared" si="242"/>
        <v>0.03</v>
      </c>
      <c r="G635" s="893">
        <f t="shared" si="250"/>
        <v>1.151056494563818E-8</v>
      </c>
      <c r="H635" s="436">
        <f t="shared" si="243"/>
        <v>0</v>
      </c>
      <c r="I635" s="302">
        <f t="shared" si="244"/>
        <v>0</v>
      </c>
      <c r="J635" s="301">
        <f t="shared" si="263"/>
        <v>2.9176084758041223E-11</v>
      </c>
      <c r="K635" s="301">
        <f t="shared" si="251"/>
        <v>2.9176084758041223E-11</v>
      </c>
      <c r="L635" s="10">
        <f t="shared" si="252"/>
        <v>2.9176084758041223E-11</v>
      </c>
      <c r="M635" s="302"/>
      <c r="N635" s="435">
        <f t="shared" si="253"/>
        <v>0</v>
      </c>
      <c r="O635" s="436">
        <f t="shared" si="245"/>
        <v>0</v>
      </c>
      <c r="P635" s="436">
        <f t="shared" si="254"/>
        <v>0</v>
      </c>
      <c r="R635" s="354">
        <f>+Hirdetmény!$AA$46</f>
        <v>0.13400000000000001</v>
      </c>
      <c r="S635" s="301">
        <f t="shared" si="255"/>
        <v>0</v>
      </c>
      <c r="T635" s="301">
        <f t="shared" si="246"/>
        <v>0</v>
      </c>
      <c r="U635" s="301">
        <f t="shared" si="256"/>
        <v>0</v>
      </c>
      <c r="V635" s="301">
        <f t="shared" si="257"/>
        <v>0</v>
      </c>
      <c r="W635" s="301">
        <f t="shared" si="258"/>
        <v>0</v>
      </c>
      <c r="AA635" s="12">
        <f>+paraméterek!$B$346</f>
        <v>6.4600000000000005E-2</v>
      </c>
      <c r="AB635" s="301">
        <f t="shared" si="259"/>
        <v>0</v>
      </c>
      <c r="AC635" s="301">
        <f t="shared" si="247"/>
        <v>0</v>
      </c>
      <c r="AD635" s="301">
        <f t="shared" si="260"/>
        <v>0</v>
      </c>
      <c r="AE635" s="301">
        <f t="shared" si="261"/>
        <v>0</v>
      </c>
      <c r="AF635" s="477">
        <f t="shared" si="262"/>
        <v>0</v>
      </c>
    </row>
    <row r="636" spans="1:32" s="11" customFormat="1" hidden="1" x14ac:dyDescent="0.3">
      <c r="A636" s="775">
        <v>557</v>
      </c>
      <c r="B636" s="775">
        <f t="shared" si="248"/>
        <v>47</v>
      </c>
      <c r="C636" s="891">
        <f t="shared" si="265"/>
        <v>0.14489675614077413</v>
      </c>
      <c r="D636" s="891"/>
      <c r="E636" s="891">
        <f t="shared" si="265"/>
        <v>0.03</v>
      </c>
      <c r="F636" s="891">
        <f t="shared" si="242"/>
        <v>0.03</v>
      </c>
      <c r="G636" s="893">
        <f t="shared" si="250"/>
        <v>1.151056494563818E-8</v>
      </c>
      <c r="H636" s="436">
        <f t="shared" si="243"/>
        <v>0</v>
      </c>
      <c r="I636" s="302">
        <f t="shared" si="244"/>
        <v>0</v>
      </c>
      <c r="J636" s="301">
        <f t="shared" si="263"/>
        <v>2.9176084758041223E-11</v>
      </c>
      <c r="K636" s="301">
        <f t="shared" si="251"/>
        <v>2.9176084758041223E-11</v>
      </c>
      <c r="L636" s="10">
        <f t="shared" si="252"/>
        <v>2.9176084758041223E-11</v>
      </c>
      <c r="M636" s="302"/>
      <c r="N636" s="435">
        <f t="shared" si="253"/>
        <v>0</v>
      </c>
      <c r="O636" s="436">
        <f t="shared" si="245"/>
        <v>0</v>
      </c>
      <c r="P636" s="436">
        <f t="shared" si="254"/>
        <v>0</v>
      </c>
      <c r="R636" s="354">
        <f>+Hirdetmény!$AA$46</f>
        <v>0.13400000000000001</v>
      </c>
      <c r="S636" s="301">
        <f t="shared" si="255"/>
        <v>0</v>
      </c>
      <c r="T636" s="301">
        <f t="shared" si="246"/>
        <v>0</v>
      </c>
      <c r="U636" s="301">
        <f t="shared" si="256"/>
        <v>0</v>
      </c>
      <c r="V636" s="301">
        <f t="shared" si="257"/>
        <v>0</v>
      </c>
      <c r="W636" s="301">
        <f t="shared" si="258"/>
        <v>0</v>
      </c>
      <c r="AA636" s="12">
        <f>+paraméterek!$B$346</f>
        <v>6.4600000000000005E-2</v>
      </c>
      <c r="AB636" s="301">
        <f t="shared" si="259"/>
        <v>0</v>
      </c>
      <c r="AC636" s="301">
        <f t="shared" si="247"/>
        <v>0</v>
      </c>
      <c r="AD636" s="301">
        <f t="shared" si="260"/>
        <v>0</v>
      </c>
      <c r="AE636" s="301">
        <f t="shared" si="261"/>
        <v>0</v>
      </c>
      <c r="AF636" s="477">
        <f t="shared" si="262"/>
        <v>0</v>
      </c>
    </row>
    <row r="637" spans="1:32" s="11" customFormat="1" hidden="1" x14ac:dyDescent="0.3">
      <c r="A637" s="775">
        <v>558</v>
      </c>
      <c r="B637" s="775">
        <f t="shared" si="248"/>
        <v>47</v>
      </c>
      <c r="C637" s="891">
        <f t="shared" si="265"/>
        <v>0.14489675614077413</v>
      </c>
      <c r="D637" s="891"/>
      <c r="E637" s="891">
        <f t="shared" si="265"/>
        <v>0.03</v>
      </c>
      <c r="F637" s="891">
        <f t="shared" si="242"/>
        <v>0.03</v>
      </c>
      <c r="G637" s="893">
        <f t="shared" si="250"/>
        <v>1.151056494563818E-8</v>
      </c>
      <c r="H637" s="436">
        <f t="shared" si="243"/>
        <v>0</v>
      </c>
      <c r="I637" s="302">
        <f t="shared" si="244"/>
        <v>0</v>
      </c>
      <c r="J637" s="301">
        <f t="shared" si="263"/>
        <v>2.9176084758041223E-11</v>
      </c>
      <c r="K637" s="301">
        <f t="shared" si="251"/>
        <v>2.9176084758041223E-11</v>
      </c>
      <c r="L637" s="10">
        <f t="shared" si="252"/>
        <v>2.9176084758041223E-11</v>
      </c>
      <c r="M637" s="302"/>
      <c r="N637" s="435">
        <f t="shared" si="253"/>
        <v>0</v>
      </c>
      <c r="O637" s="436">
        <f t="shared" si="245"/>
        <v>0</v>
      </c>
      <c r="P637" s="436">
        <f t="shared" si="254"/>
        <v>0</v>
      </c>
      <c r="R637" s="354">
        <f>+Hirdetmény!$AA$46</f>
        <v>0.13400000000000001</v>
      </c>
      <c r="S637" s="301">
        <f t="shared" si="255"/>
        <v>0</v>
      </c>
      <c r="T637" s="301">
        <f t="shared" si="246"/>
        <v>0</v>
      </c>
      <c r="U637" s="301">
        <f t="shared" si="256"/>
        <v>0</v>
      </c>
      <c r="V637" s="301">
        <f t="shared" si="257"/>
        <v>0</v>
      </c>
      <c r="W637" s="301">
        <f t="shared" si="258"/>
        <v>0</v>
      </c>
      <c r="AA637" s="12">
        <f>+paraméterek!$B$346</f>
        <v>6.4600000000000005E-2</v>
      </c>
      <c r="AB637" s="301">
        <f t="shared" si="259"/>
        <v>0</v>
      </c>
      <c r="AC637" s="301">
        <f t="shared" si="247"/>
        <v>0</v>
      </c>
      <c r="AD637" s="301">
        <f t="shared" si="260"/>
        <v>0</v>
      </c>
      <c r="AE637" s="301">
        <f t="shared" si="261"/>
        <v>0</v>
      </c>
      <c r="AF637" s="477">
        <f t="shared" si="262"/>
        <v>0</v>
      </c>
    </row>
    <row r="638" spans="1:32" s="11" customFormat="1" hidden="1" x14ac:dyDescent="0.3">
      <c r="A638" s="775">
        <v>559</v>
      </c>
      <c r="B638" s="775">
        <f t="shared" si="248"/>
        <v>47</v>
      </c>
      <c r="C638" s="891">
        <f t="shared" si="265"/>
        <v>0.14489675614077413</v>
      </c>
      <c r="D638" s="891"/>
      <c r="E638" s="891">
        <f t="shared" si="265"/>
        <v>0.03</v>
      </c>
      <c r="F638" s="891">
        <f t="shared" si="242"/>
        <v>0.03</v>
      </c>
      <c r="G638" s="893">
        <f t="shared" si="250"/>
        <v>1.151056494563818E-8</v>
      </c>
      <c r="H638" s="436">
        <f t="shared" si="243"/>
        <v>0</v>
      </c>
      <c r="I638" s="302">
        <f t="shared" si="244"/>
        <v>0</v>
      </c>
      <c r="J638" s="301">
        <f t="shared" si="263"/>
        <v>2.9176084758041223E-11</v>
      </c>
      <c r="K638" s="301">
        <f t="shared" si="251"/>
        <v>2.9176084758041223E-11</v>
      </c>
      <c r="L638" s="10">
        <f t="shared" si="252"/>
        <v>2.9176084758041223E-11</v>
      </c>
      <c r="M638" s="302"/>
      <c r="N638" s="435">
        <f t="shared" si="253"/>
        <v>0</v>
      </c>
      <c r="O638" s="436">
        <f t="shared" si="245"/>
        <v>0</v>
      </c>
      <c r="P638" s="436">
        <f t="shared" si="254"/>
        <v>0</v>
      </c>
      <c r="R638" s="354">
        <f>+Hirdetmény!$AA$46</f>
        <v>0.13400000000000001</v>
      </c>
      <c r="S638" s="301">
        <f t="shared" si="255"/>
        <v>0</v>
      </c>
      <c r="T638" s="301">
        <f t="shared" si="246"/>
        <v>0</v>
      </c>
      <c r="U638" s="301">
        <f t="shared" si="256"/>
        <v>0</v>
      </c>
      <c r="V638" s="301">
        <f t="shared" si="257"/>
        <v>0</v>
      </c>
      <c r="W638" s="301">
        <f t="shared" si="258"/>
        <v>0</v>
      </c>
      <c r="AA638" s="12">
        <f>+paraméterek!$B$346</f>
        <v>6.4600000000000005E-2</v>
      </c>
      <c r="AB638" s="301">
        <f t="shared" si="259"/>
        <v>0</v>
      </c>
      <c r="AC638" s="301">
        <f t="shared" si="247"/>
        <v>0</v>
      </c>
      <c r="AD638" s="301">
        <f t="shared" si="260"/>
        <v>0</v>
      </c>
      <c r="AE638" s="301">
        <f t="shared" si="261"/>
        <v>0</v>
      </c>
      <c r="AF638" s="477">
        <f t="shared" si="262"/>
        <v>0</v>
      </c>
    </row>
    <row r="639" spans="1:32" s="11" customFormat="1" hidden="1" x14ac:dyDescent="0.3">
      <c r="A639" s="775">
        <v>560</v>
      </c>
      <c r="B639" s="775">
        <f t="shared" si="248"/>
        <v>47</v>
      </c>
      <c r="C639" s="891">
        <f t="shared" si="265"/>
        <v>0.14489675614077413</v>
      </c>
      <c r="D639" s="891"/>
      <c r="E639" s="891">
        <f t="shared" si="265"/>
        <v>0.03</v>
      </c>
      <c r="F639" s="891">
        <f t="shared" si="242"/>
        <v>0.03</v>
      </c>
      <c r="G639" s="893">
        <f t="shared" si="250"/>
        <v>1.151056494563818E-8</v>
      </c>
      <c r="H639" s="436">
        <f t="shared" si="243"/>
        <v>0</v>
      </c>
      <c r="I639" s="302">
        <f t="shared" si="244"/>
        <v>0</v>
      </c>
      <c r="J639" s="301">
        <f t="shared" si="263"/>
        <v>2.9176084758041223E-11</v>
      </c>
      <c r="K639" s="301">
        <f t="shared" si="251"/>
        <v>2.9176084758041223E-11</v>
      </c>
      <c r="L639" s="10">
        <f t="shared" si="252"/>
        <v>2.9176084758041223E-11</v>
      </c>
      <c r="M639" s="302"/>
      <c r="N639" s="435">
        <f t="shared" si="253"/>
        <v>0</v>
      </c>
      <c r="O639" s="436">
        <f t="shared" si="245"/>
        <v>0</v>
      </c>
      <c r="P639" s="436">
        <f t="shared" si="254"/>
        <v>0</v>
      </c>
      <c r="R639" s="354">
        <f>+Hirdetmény!$AA$46</f>
        <v>0.13400000000000001</v>
      </c>
      <c r="S639" s="301">
        <f t="shared" si="255"/>
        <v>0</v>
      </c>
      <c r="T639" s="301">
        <f t="shared" si="246"/>
        <v>0</v>
      </c>
      <c r="U639" s="301">
        <f t="shared" si="256"/>
        <v>0</v>
      </c>
      <c r="V639" s="301">
        <f t="shared" si="257"/>
        <v>0</v>
      </c>
      <c r="W639" s="301">
        <f t="shared" si="258"/>
        <v>0</v>
      </c>
      <c r="AA639" s="12">
        <f>+paraméterek!$B$346</f>
        <v>6.4600000000000005E-2</v>
      </c>
      <c r="AB639" s="301">
        <f t="shared" si="259"/>
        <v>0</v>
      </c>
      <c r="AC639" s="301">
        <f t="shared" si="247"/>
        <v>0</v>
      </c>
      <c r="AD639" s="301">
        <f t="shared" si="260"/>
        <v>0</v>
      </c>
      <c r="AE639" s="301">
        <f t="shared" si="261"/>
        <v>0</v>
      </c>
      <c r="AF639" s="477">
        <f t="shared" si="262"/>
        <v>0</v>
      </c>
    </row>
    <row r="640" spans="1:32" s="11" customFormat="1" hidden="1" x14ac:dyDescent="0.3">
      <c r="A640" s="775">
        <v>561</v>
      </c>
      <c r="B640" s="775">
        <f t="shared" si="248"/>
        <v>47</v>
      </c>
      <c r="C640" s="891">
        <f t="shared" si="265"/>
        <v>0.14489675614077413</v>
      </c>
      <c r="D640" s="891"/>
      <c r="E640" s="891">
        <f t="shared" si="265"/>
        <v>0.03</v>
      </c>
      <c r="F640" s="891">
        <f t="shared" si="242"/>
        <v>0.03</v>
      </c>
      <c r="G640" s="893">
        <f t="shared" si="250"/>
        <v>1.151056494563818E-8</v>
      </c>
      <c r="H640" s="436">
        <f t="shared" si="243"/>
        <v>0</v>
      </c>
      <c r="I640" s="302">
        <f t="shared" si="244"/>
        <v>0</v>
      </c>
      <c r="J640" s="301">
        <f t="shared" si="263"/>
        <v>2.9176084758041223E-11</v>
      </c>
      <c r="K640" s="301">
        <f t="shared" si="251"/>
        <v>2.9176084758041223E-11</v>
      </c>
      <c r="L640" s="10">
        <f t="shared" si="252"/>
        <v>2.9176084758041223E-11</v>
      </c>
      <c r="M640" s="302"/>
      <c r="N640" s="435">
        <f t="shared" si="253"/>
        <v>0</v>
      </c>
      <c r="O640" s="436">
        <f t="shared" si="245"/>
        <v>0</v>
      </c>
      <c r="P640" s="436">
        <f t="shared" si="254"/>
        <v>0</v>
      </c>
      <c r="R640" s="354">
        <f>+Hirdetmény!$AA$46</f>
        <v>0.13400000000000001</v>
      </c>
      <c r="S640" s="301">
        <f t="shared" si="255"/>
        <v>0</v>
      </c>
      <c r="T640" s="301">
        <f t="shared" si="246"/>
        <v>0</v>
      </c>
      <c r="U640" s="301">
        <f t="shared" si="256"/>
        <v>0</v>
      </c>
      <c r="V640" s="301">
        <f t="shared" si="257"/>
        <v>0</v>
      </c>
      <c r="W640" s="301">
        <f t="shared" si="258"/>
        <v>0</v>
      </c>
      <c r="AA640" s="12">
        <f>+paraméterek!$B$346</f>
        <v>6.4600000000000005E-2</v>
      </c>
      <c r="AB640" s="301">
        <f t="shared" si="259"/>
        <v>0</v>
      </c>
      <c r="AC640" s="301">
        <f t="shared" si="247"/>
        <v>0</v>
      </c>
      <c r="AD640" s="301">
        <f t="shared" si="260"/>
        <v>0</v>
      </c>
      <c r="AE640" s="301">
        <f t="shared" si="261"/>
        <v>0</v>
      </c>
      <c r="AF640" s="477">
        <f t="shared" si="262"/>
        <v>0</v>
      </c>
    </row>
    <row r="641" spans="1:32" s="11" customFormat="1" hidden="1" x14ac:dyDescent="0.3">
      <c r="A641" s="775">
        <v>562</v>
      </c>
      <c r="B641" s="775">
        <f t="shared" si="248"/>
        <v>47</v>
      </c>
      <c r="C641" s="891">
        <f t="shared" ref="C641:E656" si="266">+C640</f>
        <v>0.14489675614077413</v>
      </c>
      <c r="D641" s="891"/>
      <c r="E641" s="891">
        <f t="shared" si="266"/>
        <v>0.03</v>
      </c>
      <c r="F641" s="891">
        <f t="shared" si="242"/>
        <v>0.03</v>
      </c>
      <c r="G641" s="893">
        <f t="shared" si="250"/>
        <v>1.151056494563818E-8</v>
      </c>
      <c r="H641" s="436">
        <f t="shared" si="243"/>
        <v>0</v>
      </c>
      <c r="I641" s="302">
        <f t="shared" si="244"/>
        <v>0</v>
      </c>
      <c r="J641" s="301">
        <f t="shared" si="263"/>
        <v>2.9176084758041223E-11</v>
      </c>
      <c r="K641" s="301">
        <f t="shared" si="251"/>
        <v>2.9176084758041223E-11</v>
      </c>
      <c r="L641" s="10">
        <f t="shared" si="252"/>
        <v>2.9176084758041223E-11</v>
      </c>
      <c r="M641" s="302"/>
      <c r="N641" s="435">
        <f t="shared" si="253"/>
        <v>0</v>
      </c>
      <c r="O641" s="436">
        <f t="shared" si="245"/>
        <v>0</v>
      </c>
      <c r="P641" s="436">
        <f t="shared" si="254"/>
        <v>0</v>
      </c>
      <c r="R641" s="354">
        <f>+Hirdetmény!$AA$46</f>
        <v>0.13400000000000001</v>
      </c>
      <c r="S641" s="301">
        <f t="shared" si="255"/>
        <v>0</v>
      </c>
      <c r="T641" s="301">
        <f t="shared" si="246"/>
        <v>0</v>
      </c>
      <c r="U641" s="301">
        <f t="shared" si="256"/>
        <v>0</v>
      </c>
      <c r="V641" s="301">
        <f t="shared" si="257"/>
        <v>0</v>
      </c>
      <c r="W641" s="301">
        <f t="shared" si="258"/>
        <v>0</v>
      </c>
      <c r="AA641" s="12">
        <f>+paraméterek!$B$346</f>
        <v>6.4600000000000005E-2</v>
      </c>
      <c r="AB641" s="301">
        <f t="shared" si="259"/>
        <v>0</v>
      </c>
      <c r="AC641" s="301">
        <f t="shared" si="247"/>
        <v>0</v>
      </c>
      <c r="AD641" s="301">
        <f t="shared" si="260"/>
        <v>0</v>
      </c>
      <c r="AE641" s="301">
        <f t="shared" si="261"/>
        <v>0</v>
      </c>
      <c r="AF641" s="477">
        <f t="shared" si="262"/>
        <v>0</v>
      </c>
    </row>
    <row r="642" spans="1:32" s="11" customFormat="1" hidden="1" x14ac:dyDescent="0.3">
      <c r="A642" s="775">
        <v>563</v>
      </c>
      <c r="B642" s="775">
        <f t="shared" si="248"/>
        <v>47</v>
      </c>
      <c r="C642" s="891">
        <f t="shared" si="266"/>
        <v>0.14489675614077413</v>
      </c>
      <c r="D642" s="891"/>
      <c r="E642" s="891">
        <f t="shared" si="266"/>
        <v>0.03</v>
      </c>
      <c r="F642" s="891">
        <f t="shared" si="242"/>
        <v>0.03</v>
      </c>
      <c r="G642" s="893">
        <f t="shared" si="250"/>
        <v>1.151056494563818E-8</v>
      </c>
      <c r="H642" s="436">
        <f t="shared" si="243"/>
        <v>0</v>
      </c>
      <c r="I642" s="302">
        <f t="shared" si="244"/>
        <v>0</v>
      </c>
      <c r="J642" s="301">
        <f t="shared" si="263"/>
        <v>2.9176084758041223E-11</v>
      </c>
      <c r="K642" s="301">
        <f t="shared" si="251"/>
        <v>2.9176084758041223E-11</v>
      </c>
      <c r="L642" s="10">
        <f t="shared" si="252"/>
        <v>2.9176084758041223E-11</v>
      </c>
      <c r="M642" s="302"/>
      <c r="N642" s="435">
        <f t="shared" si="253"/>
        <v>0</v>
      </c>
      <c r="O642" s="436">
        <f t="shared" si="245"/>
        <v>0</v>
      </c>
      <c r="P642" s="436">
        <f t="shared" si="254"/>
        <v>0</v>
      </c>
      <c r="R642" s="354">
        <f>+Hirdetmény!$AA$46</f>
        <v>0.13400000000000001</v>
      </c>
      <c r="S642" s="301">
        <f t="shared" si="255"/>
        <v>0</v>
      </c>
      <c r="T642" s="301">
        <f t="shared" si="246"/>
        <v>0</v>
      </c>
      <c r="U642" s="301">
        <f t="shared" si="256"/>
        <v>0</v>
      </c>
      <c r="V642" s="301">
        <f t="shared" si="257"/>
        <v>0</v>
      </c>
      <c r="W642" s="301">
        <f t="shared" si="258"/>
        <v>0</v>
      </c>
      <c r="AA642" s="12">
        <f>+paraméterek!$B$346</f>
        <v>6.4600000000000005E-2</v>
      </c>
      <c r="AB642" s="301">
        <f t="shared" si="259"/>
        <v>0</v>
      </c>
      <c r="AC642" s="301">
        <f t="shared" si="247"/>
        <v>0</v>
      </c>
      <c r="AD642" s="301">
        <f t="shared" si="260"/>
        <v>0</v>
      </c>
      <c r="AE642" s="301">
        <f t="shared" si="261"/>
        <v>0</v>
      </c>
      <c r="AF642" s="477">
        <f t="shared" si="262"/>
        <v>0</v>
      </c>
    </row>
    <row r="643" spans="1:32" s="11" customFormat="1" hidden="1" x14ac:dyDescent="0.3">
      <c r="A643" s="775">
        <v>564</v>
      </c>
      <c r="B643" s="775">
        <f t="shared" si="248"/>
        <v>47</v>
      </c>
      <c r="C643" s="891">
        <f t="shared" si="266"/>
        <v>0.14489675614077413</v>
      </c>
      <c r="D643" s="891"/>
      <c r="E643" s="891">
        <f t="shared" si="266"/>
        <v>0.03</v>
      </c>
      <c r="F643" s="891">
        <f t="shared" si="242"/>
        <v>0.03</v>
      </c>
      <c r="G643" s="893">
        <f t="shared" si="250"/>
        <v>1.151056494563818E-8</v>
      </c>
      <c r="H643" s="436">
        <f t="shared" si="243"/>
        <v>0</v>
      </c>
      <c r="I643" s="302">
        <f t="shared" si="244"/>
        <v>0</v>
      </c>
      <c r="J643" s="301">
        <f t="shared" si="263"/>
        <v>2.9176084758041223E-11</v>
      </c>
      <c r="K643" s="301">
        <f t="shared" si="251"/>
        <v>2.9176084758041223E-11</v>
      </c>
      <c r="L643" s="10">
        <f t="shared" si="252"/>
        <v>2.9176084758041223E-11</v>
      </c>
      <c r="M643" s="302"/>
      <c r="N643" s="435">
        <f t="shared" si="253"/>
        <v>0</v>
      </c>
      <c r="O643" s="436">
        <f t="shared" si="245"/>
        <v>0</v>
      </c>
      <c r="P643" s="436">
        <f t="shared" si="254"/>
        <v>0</v>
      </c>
      <c r="R643" s="354">
        <f>+Hirdetmény!$AA$46</f>
        <v>0.13400000000000001</v>
      </c>
      <c r="S643" s="301">
        <f t="shared" si="255"/>
        <v>0</v>
      </c>
      <c r="T643" s="301">
        <f t="shared" si="246"/>
        <v>0</v>
      </c>
      <c r="U643" s="301">
        <f t="shared" si="256"/>
        <v>0</v>
      </c>
      <c r="V643" s="301">
        <f t="shared" si="257"/>
        <v>0</v>
      </c>
      <c r="W643" s="301">
        <f t="shared" si="258"/>
        <v>0</v>
      </c>
      <c r="AA643" s="12">
        <f>+paraméterek!$B$346</f>
        <v>6.4600000000000005E-2</v>
      </c>
      <c r="AB643" s="301">
        <f t="shared" si="259"/>
        <v>0</v>
      </c>
      <c r="AC643" s="301">
        <f t="shared" si="247"/>
        <v>0</v>
      </c>
      <c r="AD643" s="301">
        <f t="shared" si="260"/>
        <v>0</v>
      </c>
      <c r="AE643" s="301">
        <f t="shared" si="261"/>
        <v>0</v>
      </c>
      <c r="AF643" s="477">
        <f t="shared" si="262"/>
        <v>0</v>
      </c>
    </row>
    <row r="644" spans="1:32" s="11" customFormat="1" hidden="1" x14ac:dyDescent="0.3">
      <c r="A644" s="775">
        <v>565</v>
      </c>
      <c r="B644" s="775">
        <f t="shared" si="248"/>
        <v>48</v>
      </c>
      <c r="C644" s="891">
        <f t="shared" si="266"/>
        <v>0.14489675614077413</v>
      </c>
      <c r="D644" s="891"/>
      <c r="E644" s="891">
        <f t="shared" si="266"/>
        <v>0.03</v>
      </c>
      <c r="F644" s="891">
        <f t="shared" si="242"/>
        <v>0.03</v>
      </c>
      <c r="G644" s="893">
        <f t="shared" si="250"/>
        <v>1.151056494563818E-8</v>
      </c>
      <c r="H644" s="436">
        <f t="shared" si="243"/>
        <v>0</v>
      </c>
      <c r="I644" s="302">
        <f t="shared" si="244"/>
        <v>0</v>
      </c>
      <c r="J644" s="301">
        <f t="shared" si="263"/>
        <v>2.9176084758041223E-11</v>
      </c>
      <c r="K644" s="301">
        <f t="shared" si="251"/>
        <v>2.9176084758041223E-11</v>
      </c>
      <c r="L644" s="10">
        <f t="shared" si="252"/>
        <v>2.9176084758041223E-11</v>
      </c>
      <c r="M644" s="302"/>
      <c r="N644" s="435">
        <f t="shared" si="253"/>
        <v>0</v>
      </c>
      <c r="O644" s="436">
        <f t="shared" si="245"/>
        <v>0</v>
      </c>
      <c r="P644" s="436">
        <f t="shared" si="254"/>
        <v>0</v>
      </c>
      <c r="R644" s="354">
        <f>+Hirdetmény!$AA$46</f>
        <v>0.13400000000000001</v>
      </c>
      <c r="S644" s="301">
        <f t="shared" si="255"/>
        <v>0</v>
      </c>
      <c r="T644" s="301">
        <f t="shared" si="246"/>
        <v>0</v>
      </c>
      <c r="U644" s="301">
        <f t="shared" si="256"/>
        <v>0</v>
      </c>
      <c r="V644" s="301">
        <f t="shared" si="257"/>
        <v>0</v>
      </c>
      <c r="W644" s="301">
        <f t="shared" si="258"/>
        <v>0</v>
      </c>
      <c r="AA644" s="12">
        <f>+paraméterek!$B$346</f>
        <v>6.4600000000000005E-2</v>
      </c>
      <c r="AB644" s="301">
        <f t="shared" si="259"/>
        <v>0</v>
      </c>
      <c r="AC644" s="301">
        <f t="shared" si="247"/>
        <v>0</v>
      </c>
      <c r="AD644" s="301">
        <f t="shared" si="260"/>
        <v>0</v>
      </c>
      <c r="AE644" s="301">
        <f t="shared" si="261"/>
        <v>0</v>
      </c>
      <c r="AF644" s="477">
        <f t="shared" si="262"/>
        <v>0</v>
      </c>
    </row>
    <row r="645" spans="1:32" s="11" customFormat="1" hidden="1" x14ac:dyDescent="0.3">
      <c r="A645" s="775">
        <v>566</v>
      </c>
      <c r="B645" s="775">
        <f t="shared" si="248"/>
        <v>48</v>
      </c>
      <c r="C645" s="891">
        <f t="shared" si="266"/>
        <v>0.14489675614077413</v>
      </c>
      <c r="D645" s="891"/>
      <c r="E645" s="891">
        <f t="shared" si="266"/>
        <v>0.03</v>
      </c>
      <c r="F645" s="891">
        <f t="shared" si="242"/>
        <v>0.03</v>
      </c>
      <c r="G645" s="893">
        <f t="shared" si="250"/>
        <v>1.151056494563818E-8</v>
      </c>
      <c r="H645" s="436">
        <f t="shared" si="243"/>
        <v>0</v>
      </c>
      <c r="I645" s="302">
        <f t="shared" si="244"/>
        <v>0</v>
      </c>
      <c r="J645" s="301">
        <f t="shared" si="263"/>
        <v>2.9176084758041223E-11</v>
      </c>
      <c r="K645" s="301">
        <f t="shared" si="251"/>
        <v>2.9176084758041223E-11</v>
      </c>
      <c r="L645" s="10">
        <f t="shared" si="252"/>
        <v>2.9176084758041223E-11</v>
      </c>
      <c r="M645" s="302"/>
      <c r="N645" s="435">
        <f t="shared" si="253"/>
        <v>0</v>
      </c>
      <c r="O645" s="436">
        <f t="shared" si="245"/>
        <v>0</v>
      </c>
      <c r="P645" s="436">
        <f t="shared" si="254"/>
        <v>0</v>
      </c>
      <c r="R645" s="354">
        <f>+Hirdetmény!$AA$46</f>
        <v>0.13400000000000001</v>
      </c>
      <c r="S645" s="301">
        <f t="shared" si="255"/>
        <v>0</v>
      </c>
      <c r="T645" s="301">
        <f t="shared" si="246"/>
        <v>0</v>
      </c>
      <c r="U645" s="301">
        <f t="shared" si="256"/>
        <v>0</v>
      </c>
      <c r="V645" s="301">
        <f t="shared" si="257"/>
        <v>0</v>
      </c>
      <c r="W645" s="301">
        <f t="shared" si="258"/>
        <v>0</v>
      </c>
      <c r="AA645" s="12">
        <f>+paraméterek!$B$346</f>
        <v>6.4600000000000005E-2</v>
      </c>
      <c r="AB645" s="301">
        <f t="shared" si="259"/>
        <v>0</v>
      </c>
      <c r="AC645" s="301">
        <f t="shared" si="247"/>
        <v>0</v>
      </c>
      <c r="AD645" s="301">
        <f t="shared" si="260"/>
        <v>0</v>
      </c>
      <c r="AE645" s="301">
        <f t="shared" si="261"/>
        <v>0</v>
      </c>
      <c r="AF645" s="477">
        <f t="shared" si="262"/>
        <v>0</v>
      </c>
    </row>
    <row r="646" spans="1:32" s="11" customFormat="1" hidden="1" x14ac:dyDescent="0.3">
      <c r="A646" s="775">
        <v>567</v>
      </c>
      <c r="B646" s="775">
        <f t="shared" si="248"/>
        <v>48</v>
      </c>
      <c r="C646" s="891">
        <f t="shared" si="266"/>
        <v>0.14489675614077413</v>
      </c>
      <c r="D646" s="891"/>
      <c r="E646" s="891">
        <f t="shared" si="266"/>
        <v>0.03</v>
      </c>
      <c r="F646" s="891">
        <f t="shared" si="242"/>
        <v>0.03</v>
      </c>
      <c r="G646" s="893">
        <f t="shared" si="250"/>
        <v>1.151056494563818E-8</v>
      </c>
      <c r="H646" s="436">
        <f t="shared" si="243"/>
        <v>0</v>
      </c>
      <c r="I646" s="302">
        <f t="shared" si="244"/>
        <v>0</v>
      </c>
      <c r="J646" s="301">
        <f t="shared" si="263"/>
        <v>2.9176084758041223E-11</v>
      </c>
      <c r="K646" s="301">
        <f t="shared" si="251"/>
        <v>2.9176084758041223E-11</v>
      </c>
      <c r="L646" s="10">
        <f t="shared" si="252"/>
        <v>2.9176084758041223E-11</v>
      </c>
      <c r="M646" s="302"/>
      <c r="N646" s="435">
        <f t="shared" si="253"/>
        <v>0</v>
      </c>
      <c r="O646" s="436">
        <f t="shared" si="245"/>
        <v>0</v>
      </c>
      <c r="P646" s="436">
        <f t="shared" si="254"/>
        <v>0</v>
      </c>
      <c r="R646" s="354">
        <f>+Hirdetmény!$AA$46</f>
        <v>0.13400000000000001</v>
      </c>
      <c r="S646" s="301">
        <f t="shared" si="255"/>
        <v>0</v>
      </c>
      <c r="T646" s="301">
        <f t="shared" si="246"/>
        <v>0</v>
      </c>
      <c r="U646" s="301">
        <f t="shared" si="256"/>
        <v>0</v>
      </c>
      <c r="V646" s="301">
        <f t="shared" si="257"/>
        <v>0</v>
      </c>
      <c r="W646" s="301">
        <f t="shared" si="258"/>
        <v>0</v>
      </c>
      <c r="AA646" s="12">
        <f>+paraméterek!$B$346</f>
        <v>6.4600000000000005E-2</v>
      </c>
      <c r="AB646" s="301">
        <f t="shared" si="259"/>
        <v>0</v>
      </c>
      <c r="AC646" s="301">
        <f t="shared" si="247"/>
        <v>0</v>
      </c>
      <c r="AD646" s="301">
        <f t="shared" si="260"/>
        <v>0</v>
      </c>
      <c r="AE646" s="301">
        <f t="shared" si="261"/>
        <v>0</v>
      </c>
      <c r="AF646" s="477">
        <f t="shared" si="262"/>
        <v>0</v>
      </c>
    </row>
    <row r="647" spans="1:32" s="11" customFormat="1" hidden="1" x14ac:dyDescent="0.3">
      <c r="A647" s="775">
        <v>568</v>
      </c>
      <c r="B647" s="775">
        <f t="shared" si="248"/>
        <v>48</v>
      </c>
      <c r="C647" s="891">
        <f t="shared" si="266"/>
        <v>0.14489675614077413</v>
      </c>
      <c r="D647" s="891"/>
      <c r="E647" s="891">
        <f t="shared" si="266"/>
        <v>0.03</v>
      </c>
      <c r="F647" s="891">
        <f t="shared" si="242"/>
        <v>0.03</v>
      </c>
      <c r="G647" s="893">
        <f t="shared" si="250"/>
        <v>1.151056494563818E-8</v>
      </c>
      <c r="H647" s="436">
        <f t="shared" si="243"/>
        <v>0</v>
      </c>
      <c r="I647" s="302">
        <f t="shared" si="244"/>
        <v>0</v>
      </c>
      <c r="J647" s="301">
        <f t="shared" si="263"/>
        <v>2.9176084758041223E-11</v>
      </c>
      <c r="K647" s="301">
        <f t="shared" si="251"/>
        <v>2.9176084758041223E-11</v>
      </c>
      <c r="L647" s="10">
        <f t="shared" si="252"/>
        <v>2.9176084758041223E-11</v>
      </c>
      <c r="M647" s="302"/>
      <c r="N647" s="435">
        <f t="shared" si="253"/>
        <v>0</v>
      </c>
      <c r="O647" s="436">
        <f t="shared" si="245"/>
        <v>0</v>
      </c>
      <c r="P647" s="436">
        <f t="shared" si="254"/>
        <v>0</v>
      </c>
      <c r="R647" s="354">
        <f>+Hirdetmény!$AA$46</f>
        <v>0.13400000000000001</v>
      </c>
      <c r="S647" s="301">
        <f t="shared" si="255"/>
        <v>0</v>
      </c>
      <c r="T647" s="301">
        <f t="shared" si="246"/>
        <v>0</v>
      </c>
      <c r="U647" s="301">
        <f t="shared" si="256"/>
        <v>0</v>
      </c>
      <c r="V647" s="301">
        <f t="shared" si="257"/>
        <v>0</v>
      </c>
      <c r="W647" s="301">
        <f t="shared" si="258"/>
        <v>0</v>
      </c>
      <c r="AA647" s="12">
        <f>+paraméterek!$B$346</f>
        <v>6.4600000000000005E-2</v>
      </c>
      <c r="AB647" s="301">
        <f t="shared" si="259"/>
        <v>0</v>
      </c>
      <c r="AC647" s="301">
        <f t="shared" si="247"/>
        <v>0</v>
      </c>
      <c r="AD647" s="301">
        <f t="shared" si="260"/>
        <v>0</v>
      </c>
      <c r="AE647" s="301">
        <f t="shared" si="261"/>
        <v>0</v>
      </c>
      <c r="AF647" s="477">
        <f t="shared" si="262"/>
        <v>0</v>
      </c>
    </row>
    <row r="648" spans="1:32" s="11" customFormat="1" hidden="1" x14ac:dyDescent="0.3">
      <c r="A648" s="775">
        <v>569</v>
      </c>
      <c r="B648" s="775">
        <f t="shared" si="248"/>
        <v>48</v>
      </c>
      <c r="C648" s="891">
        <f t="shared" si="266"/>
        <v>0.14489675614077413</v>
      </c>
      <c r="D648" s="891"/>
      <c r="E648" s="891">
        <f t="shared" si="266"/>
        <v>0.03</v>
      </c>
      <c r="F648" s="891">
        <f t="shared" si="242"/>
        <v>0.03</v>
      </c>
      <c r="G648" s="893">
        <f t="shared" si="250"/>
        <v>1.151056494563818E-8</v>
      </c>
      <c r="H648" s="436">
        <f t="shared" si="243"/>
        <v>0</v>
      </c>
      <c r="I648" s="302">
        <f t="shared" si="244"/>
        <v>0</v>
      </c>
      <c r="J648" s="301">
        <f t="shared" si="263"/>
        <v>2.9176084758041223E-11</v>
      </c>
      <c r="K648" s="301">
        <f t="shared" si="251"/>
        <v>2.9176084758041223E-11</v>
      </c>
      <c r="L648" s="10">
        <f t="shared" si="252"/>
        <v>2.9176084758041223E-11</v>
      </c>
      <c r="M648" s="302"/>
      <c r="N648" s="435">
        <f t="shared" si="253"/>
        <v>0</v>
      </c>
      <c r="O648" s="436">
        <f t="shared" si="245"/>
        <v>0</v>
      </c>
      <c r="P648" s="436">
        <f t="shared" si="254"/>
        <v>0</v>
      </c>
      <c r="R648" s="354">
        <f>+Hirdetmény!$AA$46</f>
        <v>0.13400000000000001</v>
      </c>
      <c r="S648" s="301">
        <f t="shared" si="255"/>
        <v>0</v>
      </c>
      <c r="T648" s="301">
        <f t="shared" si="246"/>
        <v>0</v>
      </c>
      <c r="U648" s="301">
        <f t="shared" si="256"/>
        <v>0</v>
      </c>
      <c r="V648" s="301">
        <f t="shared" si="257"/>
        <v>0</v>
      </c>
      <c r="W648" s="301">
        <f t="shared" si="258"/>
        <v>0</v>
      </c>
      <c r="AA648" s="12">
        <f>+paraméterek!$B$346</f>
        <v>6.4600000000000005E-2</v>
      </c>
      <c r="AB648" s="301">
        <f t="shared" si="259"/>
        <v>0</v>
      </c>
      <c r="AC648" s="301">
        <f t="shared" si="247"/>
        <v>0</v>
      </c>
      <c r="AD648" s="301">
        <f t="shared" si="260"/>
        <v>0</v>
      </c>
      <c r="AE648" s="301">
        <f t="shared" si="261"/>
        <v>0</v>
      </c>
      <c r="AF648" s="477">
        <f t="shared" si="262"/>
        <v>0</v>
      </c>
    </row>
    <row r="649" spans="1:32" s="11" customFormat="1" hidden="1" x14ac:dyDescent="0.3">
      <c r="A649" s="775">
        <v>570</v>
      </c>
      <c r="B649" s="775">
        <f t="shared" si="248"/>
        <v>48</v>
      </c>
      <c r="C649" s="891">
        <f t="shared" si="266"/>
        <v>0.14489675614077413</v>
      </c>
      <c r="D649" s="891"/>
      <c r="E649" s="891">
        <f t="shared" si="266"/>
        <v>0.03</v>
      </c>
      <c r="F649" s="891">
        <f t="shared" si="242"/>
        <v>0.03</v>
      </c>
      <c r="G649" s="893">
        <f t="shared" si="250"/>
        <v>1.151056494563818E-8</v>
      </c>
      <c r="H649" s="436">
        <f t="shared" si="243"/>
        <v>0</v>
      </c>
      <c r="I649" s="302">
        <f t="shared" si="244"/>
        <v>0</v>
      </c>
      <c r="J649" s="301">
        <f t="shared" si="263"/>
        <v>2.9176084758041223E-11</v>
      </c>
      <c r="K649" s="301">
        <f t="shared" si="251"/>
        <v>2.9176084758041223E-11</v>
      </c>
      <c r="L649" s="10">
        <f t="shared" si="252"/>
        <v>2.9176084758041223E-11</v>
      </c>
      <c r="M649" s="302"/>
      <c r="N649" s="435">
        <f t="shared" si="253"/>
        <v>0</v>
      </c>
      <c r="O649" s="436">
        <f t="shared" si="245"/>
        <v>0</v>
      </c>
      <c r="P649" s="436">
        <f t="shared" si="254"/>
        <v>0</v>
      </c>
      <c r="R649" s="354">
        <f>+Hirdetmény!$AA$46</f>
        <v>0.13400000000000001</v>
      </c>
      <c r="S649" s="301">
        <f t="shared" si="255"/>
        <v>0</v>
      </c>
      <c r="T649" s="301">
        <f t="shared" si="246"/>
        <v>0</v>
      </c>
      <c r="U649" s="301">
        <f t="shared" si="256"/>
        <v>0</v>
      </c>
      <c r="V649" s="301">
        <f t="shared" si="257"/>
        <v>0</v>
      </c>
      <c r="W649" s="301">
        <f t="shared" si="258"/>
        <v>0</v>
      </c>
      <c r="AA649" s="12">
        <f>+paraméterek!$B$346</f>
        <v>6.4600000000000005E-2</v>
      </c>
      <c r="AB649" s="301">
        <f t="shared" si="259"/>
        <v>0</v>
      </c>
      <c r="AC649" s="301">
        <f t="shared" si="247"/>
        <v>0</v>
      </c>
      <c r="AD649" s="301">
        <f t="shared" si="260"/>
        <v>0</v>
      </c>
      <c r="AE649" s="301">
        <f t="shared" si="261"/>
        <v>0</v>
      </c>
      <c r="AF649" s="477">
        <f t="shared" si="262"/>
        <v>0</v>
      </c>
    </row>
    <row r="650" spans="1:32" s="11" customFormat="1" hidden="1" x14ac:dyDescent="0.3">
      <c r="A650" s="775">
        <v>571</v>
      </c>
      <c r="B650" s="775">
        <f t="shared" si="248"/>
        <v>48</v>
      </c>
      <c r="C650" s="891">
        <f t="shared" si="266"/>
        <v>0.14489675614077413</v>
      </c>
      <c r="D650" s="891"/>
      <c r="E650" s="891">
        <f t="shared" si="266"/>
        <v>0.03</v>
      </c>
      <c r="F650" s="891">
        <f t="shared" si="242"/>
        <v>0.03</v>
      </c>
      <c r="G650" s="893">
        <f t="shared" si="250"/>
        <v>1.151056494563818E-8</v>
      </c>
      <c r="H650" s="436">
        <f t="shared" si="243"/>
        <v>0</v>
      </c>
      <c r="I650" s="302">
        <f t="shared" si="244"/>
        <v>0</v>
      </c>
      <c r="J650" s="301">
        <f t="shared" si="263"/>
        <v>2.9176084758041223E-11</v>
      </c>
      <c r="K650" s="301">
        <f t="shared" si="251"/>
        <v>2.9176084758041223E-11</v>
      </c>
      <c r="L650" s="10">
        <f t="shared" si="252"/>
        <v>2.9176084758041223E-11</v>
      </c>
      <c r="M650" s="302"/>
      <c r="N650" s="435">
        <f t="shared" si="253"/>
        <v>0</v>
      </c>
      <c r="O650" s="436">
        <f t="shared" si="245"/>
        <v>0</v>
      </c>
      <c r="P650" s="436">
        <f t="shared" si="254"/>
        <v>0</v>
      </c>
      <c r="R650" s="354">
        <f>+Hirdetmény!$AA$46</f>
        <v>0.13400000000000001</v>
      </c>
      <c r="S650" s="301">
        <f t="shared" si="255"/>
        <v>0</v>
      </c>
      <c r="T650" s="301">
        <f t="shared" si="246"/>
        <v>0</v>
      </c>
      <c r="U650" s="301">
        <f t="shared" si="256"/>
        <v>0</v>
      </c>
      <c r="V650" s="301">
        <f t="shared" si="257"/>
        <v>0</v>
      </c>
      <c r="W650" s="301">
        <f t="shared" si="258"/>
        <v>0</v>
      </c>
      <c r="AA650" s="12">
        <f>+paraméterek!$B$346</f>
        <v>6.4600000000000005E-2</v>
      </c>
      <c r="AB650" s="301">
        <f t="shared" si="259"/>
        <v>0</v>
      </c>
      <c r="AC650" s="301">
        <f t="shared" si="247"/>
        <v>0</v>
      </c>
      <c r="AD650" s="301">
        <f t="shared" si="260"/>
        <v>0</v>
      </c>
      <c r="AE650" s="301">
        <f t="shared" si="261"/>
        <v>0</v>
      </c>
      <c r="AF650" s="477">
        <f t="shared" si="262"/>
        <v>0</v>
      </c>
    </row>
    <row r="651" spans="1:32" s="11" customFormat="1" hidden="1" x14ac:dyDescent="0.3">
      <c r="A651" s="775">
        <v>572</v>
      </c>
      <c r="B651" s="775">
        <f t="shared" si="248"/>
        <v>48</v>
      </c>
      <c r="C651" s="891">
        <f t="shared" si="266"/>
        <v>0.14489675614077413</v>
      </c>
      <c r="D651" s="891"/>
      <c r="E651" s="891">
        <f t="shared" si="266"/>
        <v>0.03</v>
      </c>
      <c r="F651" s="891">
        <f t="shared" si="242"/>
        <v>0.03</v>
      </c>
      <c r="G651" s="893">
        <f t="shared" si="250"/>
        <v>1.151056494563818E-8</v>
      </c>
      <c r="H651" s="436">
        <f t="shared" si="243"/>
        <v>0</v>
      </c>
      <c r="I651" s="302">
        <f t="shared" si="244"/>
        <v>0</v>
      </c>
      <c r="J651" s="301">
        <f t="shared" si="263"/>
        <v>2.9176084758041223E-11</v>
      </c>
      <c r="K651" s="301">
        <f t="shared" si="251"/>
        <v>2.9176084758041223E-11</v>
      </c>
      <c r="L651" s="10">
        <f t="shared" si="252"/>
        <v>2.9176084758041223E-11</v>
      </c>
      <c r="M651" s="302"/>
      <c r="N651" s="435">
        <f t="shared" si="253"/>
        <v>0</v>
      </c>
      <c r="O651" s="436">
        <f t="shared" si="245"/>
        <v>0</v>
      </c>
      <c r="P651" s="436">
        <f t="shared" si="254"/>
        <v>0</v>
      </c>
      <c r="R651" s="354">
        <f>+Hirdetmény!$AA$46</f>
        <v>0.13400000000000001</v>
      </c>
      <c r="S651" s="301">
        <f t="shared" si="255"/>
        <v>0</v>
      </c>
      <c r="T651" s="301">
        <f t="shared" si="246"/>
        <v>0</v>
      </c>
      <c r="U651" s="301">
        <f t="shared" si="256"/>
        <v>0</v>
      </c>
      <c r="V651" s="301">
        <f t="shared" si="257"/>
        <v>0</v>
      </c>
      <c r="W651" s="301">
        <f t="shared" si="258"/>
        <v>0</v>
      </c>
      <c r="AA651" s="12">
        <f>+paraméterek!$B$346</f>
        <v>6.4600000000000005E-2</v>
      </c>
      <c r="AB651" s="301">
        <f t="shared" si="259"/>
        <v>0</v>
      </c>
      <c r="AC651" s="301">
        <f t="shared" si="247"/>
        <v>0</v>
      </c>
      <c r="AD651" s="301">
        <f t="shared" si="260"/>
        <v>0</v>
      </c>
      <c r="AE651" s="301">
        <f t="shared" si="261"/>
        <v>0</v>
      </c>
      <c r="AF651" s="477">
        <f t="shared" si="262"/>
        <v>0</v>
      </c>
    </row>
    <row r="652" spans="1:32" s="11" customFormat="1" hidden="1" x14ac:dyDescent="0.3">
      <c r="A652" s="775">
        <v>573</v>
      </c>
      <c r="B652" s="775">
        <f t="shared" si="248"/>
        <v>48</v>
      </c>
      <c r="C652" s="891">
        <f t="shared" si="266"/>
        <v>0.14489675614077413</v>
      </c>
      <c r="D652" s="891"/>
      <c r="E652" s="891">
        <f t="shared" si="266"/>
        <v>0.03</v>
      </c>
      <c r="F652" s="891">
        <f t="shared" si="242"/>
        <v>0.03</v>
      </c>
      <c r="G652" s="893">
        <f t="shared" si="250"/>
        <v>1.151056494563818E-8</v>
      </c>
      <c r="H652" s="436">
        <f t="shared" si="243"/>
        <v>0</v>
      </c>
      <c r="I652" s="302">
        <f t="shared" si="244"/>
        <v>0</v>
      </c>
      <c r="J652" s="301">
        <f t="shared" si="263"/>
        <v>2.9176084758041223E-11</v>
      </c>
      <c r="K652" s="301">
        <f t="shared" si="251"/>
        <v>2.9176084758041223E-11</v>
      </c>
      <c r="L652" s="10">
        <f t="shared" si="252"/>
        <v>2.9176084758041223E-11</v>
      </c>
      <c r="M652" s="302"/>
      <c r="N652" s="435">
        <f t="shared" si="253"/>
        <v>0</v>
      </c>
      <c r="O652" s="436">
        <f t="shared" si="245"/>
        <v>0</v>
      </c>
      <c r="P652" s="436">
        <f t="shared" si="254"/>
        <v>0</v>
      </c>
      <c r="R652" s="354">
        <f>+Hirdetmény!$AA$46</f>
        <v>0.13400000000000001</v>
      </c>
      <c r="S652" s="301">
        <f t="shared" si="255"/>
        <v>0</v>
      </c>
      <c r="T652" s="301">
        <f t="shared" si="246"/>
        <v>0</v>
      </c>
      <c r="U652" s="301">
        <f t="shared" si="256"/>
        <v>0</v>
      </c>
      <c r="V652" s="301">
        <f t="shared" si="257"/>
        <v>0</v>
      </c>
      <c r="W652" s="301">
        <f t="shared" si="258"/>
        <v>0</v>
      </c>
      <c r="AA652" s="12">
        <f>+paraméterek!$B$346</f>
        <v>6.4600000000000005E-2</v>
      </c>
      <c r="AB652" s="301">
        <f t="shared" si="259"/>
        <v>0</v>
      </c>
      <c r="AC652" s="301">
        <f t="shared" si="247"/>
        <v>0</v>
      </c>
      <c r="AD652" s="301">
        <f t="shared" si="260"/>
        <v>0</v>
      </c>
      <c r="AE652" s="301">
        <f t="shared" si="261"/>
        <v>0</v>
      </c>
      <c r="AF652" s="477">
        <f t="shared" si="262"/>
        <v>0</v>
      </c>
    </row>
    <row r="653" spans="1:32" s="11" customFormat="1" hidden="1" x14ac:dyDescent="0.3">
      <c r="A653" s="775">
        <v>574</v>
      </c>
      <c r="B653" s="775">
        <f t="shared" si="248"/>
        <v>48</v>
      </c>
      <c r="C653" s="891">
        <f t="shared" si="266"/>
        <v>0.14489675614077413</v>
      </c>
      <c r="D653" s="891"/>
      <c r="E653" s="891">
        <f t="shared" si="266"/>
        <v>0.03</v>
      </c>
      <c r="F653" s="891">
        <f t="shared" si="242"/>
        <v>0.03</v>
      </c>
      <c r="G653" s="893">
        <f t="shared" si="250"/>
        <v>1.151056494563818E-8</v>
      </c>
      <c r="H653" s="436">
        <f t="shared" si="243"/>
        <v>0</v>
      </c>
      <c r="I653" s="302">
        <f t="shared" si="244"/>
        <v>0</v>
      </c>
      <c r="J653" s="301">
        <f t="shared" si="263"/>
        <v>2.9176084758041223E-11</v>
      </c>
      <c r="K653" s="301">
        <f t="shared" si="251"/>
        <v>2.9176084758041223E-11</v>
      </c>
      <c r="L653" s="10">
        <f t="shared" si="252"/>
        <v>2.9176084758041223E-11</v>
      </c>
      <c r="M653" s="302"/>
      <c r="N653" s="435">
        <f t="shared" si="253"/>
        <v>0</v>
      </c>
      <c r="O653" s="436">
        <f t="shared" si="245"/>
        <v>0</v>
      </c>
      <c r="P653" s="436">
        <f t="shared" si="254"/>
        <v>0</v>
      </c>
      <c r="R653" s="354">
        <f>+Hirdetmény!$AA$46</f>
        <v>0.13400000000000001</v>
      </c>
      <c r="S653" s="301">
        <f t="shared" si="255"/>
        <v>0</v>
      </c>
      <c r="T653" s="301">
        <f t="shared" si="246"/>
        <v>0</v>
      </c>
      <c r="U653" s="301">
        <f t="shared" si="256"/>
        <v>0</v>
      </c>
      <c r="V653" s="301">
        <f t="shared" si="257"/>
        <v>0</v>
      </c>
      <c r="W653" s="301">
        <f t="shared" si="258"/>
        <v>0</v>
      </c>
      <c r="AA653" s="12">
        <f>+paraméterek!$B$346</f>
        <v>6.4600000000000005E-2</v>
      </c>
      <c r="AB653" s="301">
        <f t="shared" si="259"/>
        <v>0</v>
      </c>
      <c r="AC653" s="301">
        <f t="shared" si="247"/>
        <v>0</v>
      </c>
      <c r="AD653" s="301">
        <f t="shared" si="260"/>
        <v>0</v>
      </c>
      <c r="AE653" s="301">
        <f t="shared" si="261"/>
        <v>0</v>
      </c>
      <c r="AF653" s="477">
        <f t="shared" si="262"/>
        <v>0</v>
      </c>
    </row>
    <row r="654" spans="1:32" s="11" customFormat="1" hidden="1" x14ac:dyDescent="0.3">
      <c r="A654" s="775">
        <v>575</v>
      </c>
      <c r="B654" s="775">
        <f t="shared" si="248"/>
        <v>48</v>
      </c>
      <c r="C654" s="891">
        <f t="shared" si="266"/>
        <v>0.14489675614077413</v>
      </c>
      <c r="D654" s="891"/>
      <c r="E654" s="891">
        <f t="shared" si="266"/>
        <v>0.03</v>
      </c>
      <c r="F654" s="891">
        <f t="shared" si="242"/>
        <v>0.03</v>
      </c>
      <c r="G654" s="893">
        <f t="shared" si="250"/>
        <v>1.151056494563818E-8</v>
      </c>
      <c r="H654" s="436">
        <f t="shared" si="243"/>
        <v>0</v>
      </c>
      <c r="I654" s="302">
        <f t="shared" si="244"/>
        <v>0</v>
      </c>
      <c r="J654" s="301">
        <f t="shared" si="263"/>
        <v>2.9176084758041223E-11</v>
      </c>
      <c r="K654" s="301">
        <f t="shared" si="251"/>
        <v>2.9176084758041223E-11</v>
      </c>
      <c r="L654" s="10">
        <f t="shared" si="252"/>
        <v>2.9176084758041223E-11</v>
      </c>
      <c r="M654" s="302"/>
      <c r="N654" s="435">
        <f t="shared" si="253"/>
        <v>0</v>
      </c>
      <c r="O654" s="436">
        <f t="shared" si="245"/>
        <v>0</v>
      </c>
      <c r="P654" s="436">
        <f t="shared" si="254"/>
        <v>0</v>
      </c>
      <c r="R654" s="354">
        <f>+Hirdetmény!$AA$46</f>
        <v>0.13400000000000001</v>
      </c>
      <c r="S654" s="301">
        <f t="shared" si="255"/>
        <v>0</v>
      </c>
      <c r="T654" s="301">
        <f t="shared" si="246"/>
        <v>0</v>
      </c>
      <c r="U654" s="301">
        <f t="shared" si="256"/>
        <v>0</v>
      </c>
      <c r="V654" s="301">
        <f t="shared" si="257"/>
        <v>0</v>
      </c>
      <c r="W654" s="301">
        <f t="shared" si="258"/>
        <v>0</v>
      </c>
      <c r="AA654" s="12">
        <f>+paraméterek!$B$346</f>
        <v>6.4600000000000005E-2</v>
      </c>
      <c r="AB654" s="301">
        <f t="shared" si="259"/>
        <v>0</v>
      </c>
      <c r="AC654" s="301">
        <f t="shared" si="247"/>
        <v>0</v>
      </c>
      <c r="AD654" s="301">
        <f t="shared" si="260"/>
        <v>0</v>
      </c>
      <c r="AE654" s="301">
        <f t="shared" si="261"/>
        <v>0</v>
      </c>
      <c r="AF654" s="477">
        <f t="shared" si="262"/>
        <v>0</v>
      </c>
    </row>
    <row r="655" spans="1:32" s="11" customFormat="1" hidden="1" x14ac:dyDescent="0.3">
      <c r="A655" s="775">
        <v>576</v>
      </c>
      <c r="B655" s="775">
        <f t="shared" si="248"/>
        <v>48</v>
      </c>
      <c r="C655" s="891">
        <f t="shared" si="266"/>
        <v>0.14489675614077413</v>
      </c>
      <c r="D655" s="891"/>
      <c r="E655" s="891">
        <f t="shared" si="266"/>
        <v>0.03</v>
      </c>
      <c r="F655" s="891">
        <f t="shared" si="242"/>
        <v>0.03</v>
      </c>
      <c r="G655" s="893">
        <f t="shared" si="250"/>
        <v>1.151056494563818E-8</v>
      </c>
      <c r="H655" s="436">
        <f t="shared" si="243"/>
        <v>0</v>
      </c>
      <c r="I655" s="302">
        <f t="shared" si="244"/>
        <v>0</v>
      </c>
      <c r="J655" s="301">
        <f t="shared" si="263"/>
        <v>2.9176084758041223E-11</v>
      </c>
      <c r="K655" s="301">
        <f t="shared" si="251"/>
        <v>2.9176084758041223E-11</v>
      </c>
      <c r="L655" s="10">
        <f t="shared" si="252"/>
        <v>2.9176084758041223E-11</v>
      </c>
      <c r="M655" s="302"/>
      <c r="N655" s="435">
        <f t="shared" si="253"/>
        <v>0</v>
      </c>
      <c r="O655" s="436">
        <f t="shared" si="245"/>
        <v>0</v>
      </c>
      <c r="P655" s="436">
        <f t="shared" si="254"/>
        <v>0</v>
      </c>
      <c r="R655" s="354">
        <f>+Hirdetmény!$AA$46</f>
        <v>0.13400000000000001</v>
      </c>
      <c r="S655" s="301">
        <f t="shared" si="255"/>
        <v>0</v>
      </c>
      <c r="T655" s="301">
        <f t="shared" si="246"/>
        <v>0</v>
      </c>
      <c r="U655" s="301">
        <f t="shared" si="256"/>
        <v>0</v>
      </c>
      <c r="V655" s="301">
        <f t="shared" si="257"/>
        <v>0</v>
      </c>
      <c r="W655" s="301">
        <f t="shared" si="258"/>
        <v>0</v>
      </c>
      <c r="AA655" s="12">
        <f>+paraméterek!$B$346</f>
        <v>6.4600000000000005E-2</v>
      </c>
      <c r="AB655" s="301">
        <f t="shared" si="259"/>
        <v>0</v>
      </c>
      <c r="AC655" s="301">
        <f t="shared" si="247"/>
        <v>0</v>
      </c>
      <c r="AD655" s="301">
        <f t="shared" si="260"/>
        <v>0</v>
      </c>
      <c r="AE655" s="301">
        <f t="shared" si="261"/>
        <v>0</v>
      </c>
      <c r="AF655" s="477">
        <f t="shared" si="262"/>
        <v>0</v>
      </c>
    </row>
    <row r="656" spans="1:32" s="11" customFormat="1" hidden="1" x14ac:dyDescent="0.3">
      <c r="A656" s="775">
        <v>577</v>
      </c>
      <c r="B656" s="775">
        <f t="shared" si="248"/>
        <v>49</v>
      </c>
      <c r="C656" s="891">
        <f t="shared" si="266"/>
        <v>0.14489675614077413</v>
      </c>
      <c r="D656" s="891"/>
      <c r="E656" s="891">
        <f t="shared" si="266"/>
        <v>0.03</v>
      </c>
      <c r="F656" s="891">
        <f t="shared" ref="F656:F716" si="267">$F$7</f>
        <v>0.03</v>
      </c>
      <c r="G656" s="893">
        <f t="shared" si="250"/>
        <v>1.151056494563818E-8</v>
      </c>
      <c r="H656" s="436">
        <f t="shared" ref="H656:H716" si="268">IF(A656&lt;=$B$16,0,IF(A656&lt;=$B$10,PPMT(F656/360*(365/12),A656-$B$16,$B$10-$B$16,-$G$79),0))</f>
        <v>0</v>
      </c>
      <c r="I656" s="302">
        <f t="shared" ref="I656:I716" si="269">+IF(A656=$B$10,$C$47,0)</f>
        <v>0</v>
      </c>
      <c r="J656" s="301">
        <f t="shared" si="263"/>
        <v>2.9176084758041223E-11</v>
      </c>
      <c r="K656" s="301">
        <f t="shared" si="251"/>
        <v>2.9176084758041223E-11</v>
      </c>
      <c r="L656" s="10">
        <f t="shared" si="252"/>
        <v>2.9176084758041223E-11</v>
      </c>
      <c r="M656" s="302"/>
      <c r="N656" s="435">
        <f t="shared" si="253"/>
        <v>0</v>
      </c>
      <c r="O656" s="436">
        <f t="shared" ref="O656:O716" si="270">IF(A656&lt;=$B$10,$B$54,0)</f>
        <v>0</v>
      </c>
      <c r="P656" s="436">
        <f t="shared" si="254"/>
        <v>0</v>
      </c>
      <c r="R656" s="354">
        <f>+Hirdetmény!$AA$46</f>
        <v>0.13400000000000001</v>
      </c>
      <c r="S656" s="301">
        <f t="shared" si="255"/>
        <v>0</v>
      </c>
      <c r="T656" s="301">
        <f t="shared" ref="T656:T716" si="271">IF(A656&lt;=$B$10,IF(A656&gt;$B$16,PPMT(R656/360*(365/12),1,$B$10-A655,S655,$C$47*-1),0)*-1,0)</f>
        <v>0</v>
      </c>
      <c r="U656" s="301">
        <f t="shared" si="256"/>
        <v>0</v>
      </c>
      <c r="V656" s="301">
        <f t="shared" si="257"/>
        <v>0</v>
      </c>
      <c r="W656" s="301">
        <f t="shared" si="258"/>
        <v>0</v>
      </c>
      <c r="AA656" s="12">
        <f>+paraméterek!$B$346</f>
        <v>6.4600000000000005E-2</v>
      </c>
      <c r="AB656" s="301">
        <f t="shared" si="259"/>
        <v>0</v>
      </c>
      <c r="AC656" s="301">
        <f t="shared" ref="AC656:AC716" si="272">IF(A656&lt;=$B$10,IF(A656&gt;$B$16,PPMT(AA656/360*(365/12),1,$B$10-A655,AB655,$C$47*-1),0)*-1,0)</f>
        <v>0</v>
      </c>
      <c r="AD656" s="301">
        <f t="shared" si="260"/>
        <v>0</v>
      </c>
      <c r="AE656" s="301">
        <f t="shared" si="261"/>
        <v>0</v>
      </c>
      <c r="AF656" s="477">
        <f t="shared" si="262"/>
        <v>0</v>
      </c>
    </row>
    <row r="657" spans="1:32" s="11" customFormat="1" hidden="1" x14ac:dyDescent="0.3">
      <c r="A657" s="775">
        <v>578</v>
      </c>
      <c r="B657" s="775">
        <f t="shared" ref="B657:B716" si="273">+ROUNDUP(A657/12,0)</f>
        <v>49</v>
      </c>
      <c r="C657" s="891">
        <f t="shared" ref="C657:E672" si="274">+C656</f>
        <v>0.14489675614077413</v>
      </c>
      <c r="D657" s="891"/>
      <c r="E657" s="891">
        <f t="shared" si="274"/>
        <v>0.03</v>
      </c>
      <c r="F657" s="891">
        <f t="shared" si="267"/>
        <v>0.03</v>
      </c>
      <c r="G657" s="893">
        <f t="shared" ref="G657:G716" si="275">+G656-H657-I657</f>
        <v>1.151056494563818E-8</v>
      </c>
      <c r="H657" s="436">
        <f t="shared" si="268"/>
        <v>0</v>
      </c>
      <c r="I657" s="302">
        <f t="shared" si="269"/>
        <v>0</v>
      </c>
      <c r="J657" s="301">
        <f t="shared" si="263"/>
        <v>2.9176084758041223E-11</v>
      </c>
      <c r="K657" s="301">
        <f t="shared" ref="K657:K716" si="276">+(H657+J657)+IF($B$15="nem",$B$58,IF(A657&lt;$B$16+1,$B$57,$B$58)+O657)+P657+I657</f>
        <v>2.9176084758041223E-11</v>
      </c>
      <c r="L657" s="10">
        <f t="shared" ref="L657:L716" si="277">H657+I657+J657</f>
        <v>2.9176084758041223E-11</v>
      </c>
      <c r="M657" s="302"/>
      <c r="N657" s="435">
        <f t="shared" ref="N657:N716" si="278">IF(A657&lt;=$B$10,PMT($F$7*365/360/12,$B$10,-$F$66)+O657+P657+$F$52)+IF($B$15="nem",$B$58,IF(A657&lt;$B$16+1,$B$57,$B$58))</f>
        <v>0</v>
      </c>
      <c r="O657" s="436">
        <f t="shared" si="270"/>
        <v>0</v>
      </c>
      <c r="P657" s="436">
        <f t="shared" ref="P657:P716" si="279">IF(A657&lt;=$B$10,IF($B$30="havi",$B$28,0)+IF($B$30="negyedéves",$B$28,0)+IF($B$30="féléves",$B$28,0)+IF($B$66="éves",$B$28,0),0)</f>
        <v>0</v>
      </c>
      <c r="R657" s="354">
        <f>+Hirdetmény!$AA$46</f>
        <v>0.13400000000000001</v>
      </c>
      <c r="S657" s="301">
        <f t="shared" ref="S657:S716" si="280">+S656-T657</f>
        <v>0</v>
      </c>
      <c r="T657" s="301">
        <f t="shared" si="271"/>
        <v>0</v>
      </c>
      <c r="U657" s="301">
        <f t="shared" ref="U657:U716" si="281">+S656*R657/360*(365/12)</f>
        <v>0</v>
      </c>
      <c r="V657" s="301">
        <f t="shared" ref="V657:V716" si="282">+T657+U657</f>
        <v>0</v>
      </c>
      <c r="W657" s="301">
        <f t="shared" ref="W657:W716" si="283">+V657+IF($B$15="nem",$B$58,IF(A657&lt;$B$16+1,$B$57,$B$58))+IF(A657&lt;=$B$10,$B$54+$F$52+P657,0)</f>
        <v>0</v>
      </c>
      <c r="AA657" s="12">
        <f>+paraméterek!$B$346</f>
        <v>6.4600000000000005E-2</v>
      </c>
      <c r="AB657" s="301">
        <f t="shared" ref="AB657:AB716" si="284">+AB656-AC657</f>
        <v>0</v>
      </c>
      <c r="AC657" s="301">
        <f t="shared" si="272"/>
        <v>0</v>
      </c>
      <c r="AD657" s="301">
        <f t="shared" ref="AD657:AD716" si="285">+AB656*AA657/360*(365/12)</f>
        <v>0</v>
      </c>
      <c r="AE657" s="301">
        <f t="shared" ref="AE657:AE716" si="286">+AC657+AD657</f>
        <v>0</v>
      </c>
      <c r="AF657" s="477">
        <f t="shared" ref="AF657:AF716" si="287">+AE657+IF($B$15="nem",$B$58,IF(A657&lt;$B$16+1,$B$57,$B$58)+IF(A657&lt;=$B$10,$B$54+$F$52+P657,0))</f>
        <v>0</v>
      </c>
    </row>
    <row r="658" spans="1:32" s="11" customFormat="1" hidden="1" x14ac:dyDescent="0.3">
      <c r="A658" s="775">
        <v>579</v>
      </c>
      <c r="B658" s="775">
        <f t="shared" si="273"/>
        <v>49</v>
      </c>
      <c r="C658" s="891">
        <f t="shared" si="274"/>
        <v>0.14489675614077413</v>
      </c>
      <c r="D658" s="891"/>
      <c r="E658" s="891">
        <f t="shared" si="274"/>
        <v>0.03</v>
      </c>
      <c r="F658" s="891">
        <f t="shared" si="267"/>
        <v>0.03</v>
      </c>
      <c r="G658" s="893">
        <f t="shared" si="275"/>
        <v>1.151056494563818E-8</v>
      </c>
      <c r="H658" s="436">
        <f t="shared" si="268"/>
        <v>0</v>
      </c>
      <c r="I658" s="302">
        <f t="shared" si="269"/>
        <v>0</v>
      </c>
      <c r="J658" s="301">
        <f t="shared" ref="J658:J716" si="288">+G657*F658/360*(365/12)</f>
        <v>2.9176084758041223E-11</v>
      </c>
      <c r="K658" s="301">
        <f t="shared" si="276"/>
        <v>2.9176084758041223E-11</v>
      </c>
      <c r="L658" s="10">
        <f t="shared" si="277"/>
        <v>2.9176084758041223E-11</v>
      </c>
      <c r="M658" s="302"/>
      <c r="N658" s="435">
        <f t="shared" si="278"/>
        <v>0</v>
      </c>
      <c r="O658" s="436">
        <f t="shared" si="270"/>
        <v>0</v>
      </c>
      <c r="P658" s="436">
        <f t="shared" si="279"/>
        <v>0</v>
      </c>
      <c r="R658" s="354">
        <f>+Hirdetmény!$AA$46</f>
        <v>0.13400000000000001</v>
      </c>
      <c r="S658" s="301">
        <f t="shared" si="280"/>
        <v>0</v>
      </c>
      <c r="T658" s="301">
        <f t="shared" si="271"/>
        <v>0</v>
      </c>
      <c r="U658" s="301">
        <f t="shared" si="281"/>
        <v>0</v>
      </c>
      <c r="V658" s="301">
        <f t="shared" si="282"/>
        <v>0</v>
      </c>
      <c r="W658" s="301">
        <f t="shared" si="283"/>
        <v>0</v>
      </c>
      <c r="AA658" s="12">
        <f>+paraméterek!$B$346</f>
        <v>6.4600000000000005E-2</v>
      </c>
      <c r="AB658" s="301">
        <f t="shared" si="284"/>
        <v>0</v>
      </c>
      <c r="AC658" s="301">
        <f t="shared" si="272"/>
        <v>0</v>
      </c>
      <c r="AD658" s="301">
        <f t="shared" si="285"/>
        <v>0</v>
      </c>
      <c r="AE658" s="301">
        <f t="shared" si="286"/>
        <v>0</v>
      </c>
      <c r="AF658" s="477">
        <f t="shared" si="287"/>
        <v>0</v>
      </c>
    </row>
    <row r="659" spans="1:32" s="11" customFormat="1" hidden="1" x14ac:dyDescent="0.3">
      <c r="A659" s="775">
        <v>580</v>
      </c>
      <c r="B659" s="775">
        <f t="shared" si="273"/>
        <v>49</v>
      </c>
      <c r="C659" s="891">
        <f t="shared" si="274"/>
        <v>0.14489675614077413</v>
      </c>
      <c r="D659" s="891"/>
      <c r="E659" s="891">
        <f t="shared" si="274"/>
        <v>0.03</v>
      </c>
      <c r="F659" s="891">
        <f t="shared" si="267"/>
        <v>0.03</v>
      </c>
      <c r="G659" s="893">
        <f t="shared" si="275"/>
        <v>1.151056494563818E-8</v>
      </c>
      <c r="H659" s="436">
        <f t="shared" si="268"/>
        <v>0</v>
      </c>
      <c r="I659" s="302">
        <f t="shared" si="269"/>
        <v>0</v>
      </c>
      <c r="J659" s="301">
        <f t="shared" si="288"/>
        <v>2.9176084758041223E-11</v>
      </c>
      <c r="K659" s="301">
        <f t="shared" si="276"/>
        <v>2.9176084758041223E-11</v>
      </c>
      <c r="L659" s="10">
        <f t="shared" si="277"/>
        <v>2.9176084758041223E-11</v>
      </c>
      <c r="M659" s="302"/>
      <c r="N659" s="435">
        <f t="shared" si="278"/>
        <v>0</v>
      </c>
      <c r="O659" s="436">
        <f t="shared" si="270"/>
        <v>0</v>
      </c>
      <c r="P659" s="436">
        <f t="shared" si="279"/>
        <v>0</v>
      </c>
      <c r="R659" s="354">
        <f>+Hirdetmény!$AA$46</f>
        <v>0.13400000000000001</v>
      </c>
      <c r="S659" s="301">
        <f t="shared" si="280"/>
        <v>0</v>
      </c>
      <c r="T659" s="301">
        <f t="shared" si="271"/>
        <v>0</v>
      </c>
      <c r="U659" s="301">
        <f t="shared" si="281"/>
        <v>0</v>
      </c>
      <c r="V659" s="301">
        <f t="shared" si="282"/>
        <v>0</v>
      </c>
      <c r="W659" s="301">
        <f t="shared" si="283"/>
        <v>0</v>
      </c>
      <c r="AA659" s="12">
        <f>+paraméterek!$B$346</f>
        <v>6.4600000000000005E-2</v>
      </c>
      <c r="AB659" s="301">
        <f t="shared" si="284"/>
        <v>0</v>
      </c>
      <c r="AC659" s="301">
        <f t="shared" si="272"/>
        <v>0</v>
      </c>
      <c r="AD659" s="301">
        <f t="shared" si="285"/>
        <v>0</v>
      </c>
      <c r="AE659" s="301">
        <f t="shared" si="286"/>
        <v>0</v>
      </c>
      <c r="AF659" s="477">
        <f t="shared" si="287"/>
        <v>0</v>
      </c>
    </row>
    <row r="660" spans="1:32" s="11" customFormat="1" hidden="1" x14ac:dyDescent="0.3">
      <c r="A660" s="775">
        <v>581</v>
      </c>
      <c r="B660" s="775">
        <f t="shared" si="273"/>
        <v>49</v>
      </c>
      <c r="C660" s="891">
        <f t="shared" si="274"/>
        <v>0.14489675614077413</v>
      </c>
      <c r="D660" s="891"/>
      <c r="E660" s="891">
        <f t="shared" si="274"/>
        <v>0.03</v>
      </c>
      <c r="F660" s="891">
        <f t="shared" si="267"/>
        <v>0.03</v>
      </c>
      <c r="G660" s="893">
        <f t="shared" si="275"/>
        <v>1.151056494563818E-8</v>
      </c>
      <c r="H660" s="436">
        <f t="shared" si="268"/>
        <v>0</v>
      </c>
      <c r="I660" s="302">
        <f t="shared" si="269"/>
        <v>0</v>
      </c>
      <c r="J660" s="301">
        <f t="shared" si="288"/>
        <v>2.9176084758041223E-11</v>
      </c>
      <c r="K660" s="301">
        <f t="shared" si="276"/>
        <v>2.9176084758041223E-11</v>
      </c>
      <c r="L660" s="10">
        <f t="shared" si="277"/>
        <v>2.9176084758041223E-11</v>
      </c>
      <c r="M660" s="302"/>
      <c r="N660" s="435">
        <f t="shared" si="278"/>
        <v>0</v>
      </c>
      <c r="O660" s="436">
        <f t="shared" si="270"/>
        <v>0</v>
      </c>
      <c r="P660" s="436">
        <f t="shared" si="279"/>
        <v>0</v>
      </c>
      <c r="R660" s="354">
        <f>+Hirdetmény!$AA$46</f>
        <v>0.13400000000000001</v>
      </c>
      <c r="S660" s="301">
        <f t="shared" si="280"/>
        <v>0</v>
      </c>
      <c r="T660" s="301">
        <f t="shared" si="271"/>
        <v>0</v>
      </c>
      <c r="U660" s="301">
        <f t="shared" si="281"/>
        <v>0</v>
      </c>
      <c r="V660" s="301">
        <f t="shared" si="282"/>
        <v>0</v>
      </c>
      <c r="W660" s="301">
        <f t="shared" si="283"/>
        <v>0</v>
      </c>
      <c r="AA660" s="12">
        <f>+paraméterek!$B$346</f>
        <v>6.4600000000000005E-2</v>
      </c>
      <c r="AB660" s="301">
        <f t="shared" si="284"/>
        <v>0</v>
      </c>
      <c r="AC660" s="301">
        <f t="shared" si="272"/>
        <v>0</v>
      </c>
      <c r="AD660" s="301">
        <f t="shared" si="285"/>
        <v>0</v>
      </c>
      <c r="AE660" s="301">
        <f t="shared" si="286"/>
        <v>0</v>
      </c>
      <c r="AF660" s="477">
        <f t="shared" si="287"/>
        <v>0</v>
      </c>
    </row>
    <row r="661" spans="1:32" s="11" customFormat="1" hidden="1" x14ac:dyDescent="0.3">
      <c r="A661" s="775">
        <v>582</v>
      </c>
      <c r="B661" s="775">
        <f t="shared" si="273"/>
        <v>49</v>
      </c>
      <c r="C661" s="891">
        <f t="shared" si="274"/>
        <v>0.14489675614077413</v>
      </c>
      <c r="D661" s="891"/>
      <c r="E661" s="891">
        <f t="shared" si="274"/>
        <v>0.03</v>
      </c>
      <c r="F661" s="891">
        <f t="shared" si="267"/>
        <v>0.03</v>
      </c>
      <c r="G661" s="893">
        <f t="shared" si="275"/>
        <v>1.151056494563818E-8</v>
      </c>
      <c r="H661" s="436">
        <f t="shared" si="268"/>
        <v>0</v>
      </c>
      <c r="I661" s="302">
        <f t="shared" si="269"/>
        <v>0</v>
      </c>
      <c r="J661" s="301">
        <f t="shared" si="288"/>
        <v>2.9176084758041223E-11</v>
      </c>
      <c r="K661" s="301">
        <f t="shared" si="276"/>
        <v>2.9176084758041223E-11</v>
      </c>
      <c r="L661" s="10">
        <f t="shared" si="277"/>
        <v>2.9176084758041223E-11</v>
      </c>
      <c r="M661" s="302"/>
      <c r="N661" s="435">
        <f t="shared" si="278"/>
        <v>0</v>
      </c>
      <c r="O661" s="436">
        <f t="shared" si="270"/>
        <v>0</v>
      </c>
      <c r="P661" s="436">
        <f t="shared" si="279"/>
        <v>0</v>
      </c>
      <c r="R661" s="354">
        <f>+Hirdetmény!$AA$46</f>
        <v>0.13400000000000001</v>
      </c>
      <c r="S661" s="301">
        <f t="shared" si="280"/>
        <v>0</v>
      </c>
      <c r="T661" s="301">
        <f t="shared" si="271"/>
        <v>0</v>
      </c>
      <c r="U661" s="301">
        <f t="shared" si="281"/>
        <v>0</v>
      </c>
      <c r="V661" s="301">
        <f t="shared" si="282"/>
        <v>0</v>
      </c>
      <c r="W661" s="301">
        <f t="shared" si="283"/>
        <v>0</v>
      </c>
      <c r="AA661" s="12">
        <f>+paraméterek!$B$346</f>
        <v>6.4600000000000005E-2</v>
      </c>
      <c r="AB661" s="301">
        <f t="shared" si="284"/>
        <v>0</v>
      </c>
      <c r="AC661" s="301">
        <f t="shared" si="272"/>
        <v>0</v>
      </c>
      <c r="AD661" s="301">
        <f t="shared" si="285"/>
        <v>0</v>
      </c>
      <c r="AE661" s="301">
        <f t="shared" si="286"/>
        <v>0</v>
      </c>
      <c r="AF661" s="477">
        <f t="shared" si="287"/>
        <v>0</v>
      </c>
    </row>
    <row r="662" spans="1:32" s="11" customFormat="1" hidden="1" x14ac:dyDescent="0.3">
      <c r="A662" s="775">
        <v>583</v>
      </c>
      <c r="B662" s="775">
        <f t="shared" si="273"/>
        <v>49</v>
      </c>
      <c r="C662" s="891">
        <f t="shared" si="274"/>
        <v>0.14489675614077413</v>
      </c>
      <c r="D662" s="891"/>
      <c r="E662" s="891">
        <f t="shared" si="274"/>
        <v>0.03</v>
      </c>
      <c r="F662" s="891">
        <f t="shared" si="267"/>
        <v>0.03</v>
      </c>
      <c r="G662" s="893">
        <f t="shared" si="275"/>
        <v>1.151056494563818E-8</v>
      </c>
      <c r="H662" s="436">
        <f t="shared" si="268"/>
        <v>0</v>
      </c>
      <c r="I662" s="302">
        <f t="shared" si="269"/>
        <v>0</v>
      </c>
      <c r="J662" s="301">
        <f t="shared" si="288"/>
        <v>2.9176084758041223E-11</v>
      </c>
      <c r="K662" s="301">
        <f t="shared" si="276"/>
        <v>2.9176084758041223E-11</v>
      </c>
      <c r="L662" s="10">
        <f t="shared" si="277"/>
        <v>2.9176084758041223E-11</v>
      </c>
      <c r="M662" s="302"/>
      <c r="N662" s="435">
        <f t="shared" si="278"/>
        <v>0</v>
      </c>
      <c r="O662" s="436">
        <f t="shared" si="270"/>
        <v>0</v>
      </c>
      <c r="P662" s="436">
        <f t="shared" si="279"/>
        <v>0</v>
      </c>
      <c r="R662" s="354">
        <f>+Hirdetmény!$AA$46</f>
        <v>0.13400000000000001</v>
      </c>
      <c r="S662" s="301">
        <f t="shared" si="280"/>
        <v>0</v>
      </c>
      <c r="T662" s="301">
        <f t="shared" si="271"/>
        <v>0</v>
      </c>
      <c r="U662" s="301">
        <f t="shared" si="281"/>
        <v>0</v>
      </c>
      <c r="V662" s="301">
        <f t="shared" si="282"/>
        <v>0</v>
      </c>
      <c r="W662" s="301">
        <f t="shared" si="283"/>
        <v>0</v>
      </c>
      <c r="AA662" s="12">
        <f>+paraméterek!$B$346</f>
        <v>6.4600000000000005E-2</v>
      </c>
      <c r="AB662" s="301">
        <f t="shared" si="284"/>
        <v>0</v>
      </c>
      <c r="AC662" s="301">
        <f t="shared" si="272"/>
        <v>0</v>
      </c>
      <c r="AD662" s="301">
        <f t="shared" si="285"/>
        <v>0</v>
      </c>
      <c r="AE662" s="301">
        <f t="shared" si="286"/>
        <v>0</v>
      </c>
      <c r="AF662" s="477">
        <f t="shared" si="287"/>
        <v>0</v>
      </c>
    </row>
    <row r="663" spans="1:32" s="11" customFormat="1" hidden="1" x14ac:dyDescent="0.3">
      <c r="A663" s="775">
        <v>584</v>
      </c>
      <c r="B663" s="775">
        <f t="shared" si="273"/>
        <v>49</v>
      </c>
      <c r="C663" s="891">
        <f t="shared" si="274"/>
        <v>0.14489675614077413</v>
      </c>
      <c r="D663" s="891"/>
      <c r="E663" s="891">
        <f t="shared" si="274"/>
        <v>0.03</v>
      </c>
      <c r="F663" s="891">
        <f t="shared" si="267"/>
        <v>0.03</v>
      </c>
      <c r="G663" s="893">
        <f t="shared" si="275"/>
        <v>1.151056494563818E-8</v>
      </c>
      <c r="H663" s="436">
        <f t="shared" si="268"/>
        <v>0</v>
      </c>
      <c r="I663" s="302">
        <f t="shared" si="269"/>
        <v>0</v>
      </c>
      <c r="J663" s="301">
        <f t="shared" si="288"/>
        <v>2.9176084758041223E-11</v>
      </c>
      <c r="K663" s="301">
        <f t="shared" si="276"/>
        <v>2.9176084758041223E-11</v>
      </c>
      <c r="L663" s="10">
        <f t="shared" si="277"/>
        <v>2.9176084758041223E-11</v>
      </c>
      <c r="M663" s="302"/>
      <c r="N663" s="435">
        <f t="shared" si="278"/>
        <v>0</v>
      </c>
      <c r="O663" s="436">
        <f t="shared" si="270"/>
        <v>0</v>
      </c>
      <c r="P663" s="436">
        <f t="shared" si="279"/>
        <v>0</v>
      </c>
      <c r="R663" s="354">
        <f>+Hirdetmény!$AA$46</f>
        <v>0.13400000000000001</v>
      </c>
      <c r="S663" s="301">
        <f t="shared" si="280"/>
        <v>0</v>
      </c>
      <c r="T663" s="301">
        <f t="shared" si="271"/>
        <v>0</v>
      </c>
      <c r="U663" s="301">
        <f t="shared" si="281"/>
        <v>0</v>
      </c>
      <c r="V663" s="301">
        <f t="shared" si="282"/>
        <v>0</v>
      </c>
      <c r="W663" s="301">
        <f t="shared" si="283"/>
        <v>0</v>
      </c>
      <c r="AA663" s="12">
        <f>+paraméterek!$B$346</f>
        <v>6.4600000000000005E-2</v>
      </c>
      <c r="AB663" s="301">
        <f t="shared" si="284"/>
        <v>0</v>
      </c>
      <c r="AC663" s="301">
        <f t="shared" si="272"/>
        <v>0</v>
      </c>
      <c r="AD663" s="301">
        <f t="shared" si="285"/>
        <v>0</v>
      </c>
      <c r="AE663" s="301">
        <f t="shared" si="286"/>
        <v>0</v>
      </c>
      <c r="AF663" s="477">
        <f t="shared" si="287"/>
        <v>0</v>
      </c>
    </row>
    <row r="664" spans="1:32" s="11" customFormat="1" hidden="1" x14ac:dyDescent="0.3">
      <c r="A664" s="775">
        <v>585</v>
      </c>
      <c r="B664" s="775">
        <f t="shared" si="273"/>
        <v>49</v>
      </c>
      <c r="C664" s="891">
        <f t="shared" si="274"/>
        <v>0.14489675614077413</v>
      </c>
      <c r="D664" s="891"/>
      <c r="E664" s="891">
        <f t="shared" si="274"/>
        <v>0.03</v>
      </c>
      <c r="F664" s="891">
        <f t="shared" si="267"/>
        <v>0.03</v>
      </c>
      <c r="G664" s="893">
        <f t="shared" si="275"/>
        <v>1.151056494563818E-8</v>
      </c>
      <c r="H664" s="436">
        <f t="shared" si="268"/>
        <v>0</v>
      </c>
      <c r="I664" s="302">
        <f t="shared" si="269"/>
        <v>0</v>
      </c>
      <c r="J664" s="301">
        <f t="shared" si="288"/>
        <v>2.9176084758041223E-11</v>
      </c>
      <c r="K664" s="301">
        <f t="shared" si="276"/>
        <v>2.9176084758041223E-11</v>
      </c>
      <c r="L664" s="10">
        <f t="shared" si="277"/>
        <v>2.9176084758041223E-11</v>
      </c>
      <c r="M664" s="302"/>
      <c r="N664" s="435">
        <f t="shared" si="278"/>
        <v>0</v>
      </c>
      <c r="O664" s="436">
        <f t="shared" si="270"/>
        <v>0</v>
      </c>
      <c r="P664" s="436">
        <f t="shared" si="279"/>
        <v>0</v>
      </c>
      <c r="R664" s="354">
        <f>+Hirdetmény!$AA$46</f>
        <v>0.13400000000000001</v>
      </c>
      <c r="S664" s="301">
        <f t="shared" si="280"/>
        <v>0</v>
      </c>
      <c r="T664" s="301">
        <f t="shared" si="271"/>
        <v>0</v>
      </c>
      <c r="U664" s="301">
        <f t="shared" si="281"/>
        <v>0</v>
      </c>
      <c r="V664" s="301">
        <f t="shared" si="282"/>
        <v>0</v>
      </c>
      <c r="W664" s="301">
        <f t="shared" si="283"/>
        <v>0</v>
      </c>
      <c r="AA664" s="12">
        <f>+paraméterek!$B$346</f>
        <v>6.4600000000000005E-2</v>
      </c>
      <c r="AB664" s="301">
        <f t="shared" si="284"/>
        <v>0</v>
      </c>
      <c r="AC664" s="301">
        <f t="shared" si="272"/>
        <v>0</v>
      </c>
      <c r="AD664" s="301">
        <f t="shared" si="285"/>
        <v>0</v>
      </c>
      <c r="AE664" s="301">
        <f t="shared" si="286"/>
        <v>0</v>
      </c>
      <c r="AF664" s="477">
        <f t="shared" si="287"/>
        <v>0</v>
      </c>
    </row>
    <row r="665" spans="1:32" s="11" customFormat="1" hidden="1" x14ac:dyDescent="0.3">
      <c r="A665" s="775">
        <v>586</v>
      </c>
      <c r="B665" s="775">
        <f t="shared" si="273"/>
        <v>49</v>
      </c>
      <c r="C665" s="891">
        <f t="shared" si="274"/>
        <v>0.14489675614077413</v>
      </c>
      <c r="D665" s="891"/>
      <c r="E665" s="891">
        <f t="shared" si="274"/>
        <v>0.03</v>
      </c>
      <c r="F665" s="891">
        <f t="shared" si="267"/>
        <v>0.03</v>
      </c>
      <c r="G665" s="893">
        <f t="shared" si="275"/>
        <v>1.151056494563818E-8</v>
      </c>
      <c r="H665" s="436">
        <f t="shared" si="268"/>
        <v>0</v>
      </c>
      <c r="I665" s="302">
        <f t="shared" si="269"/>
        <v>0</v>
      </c>
      <c r="J665" s="301">
        <f t="shared" si="288"/>
        <v>2.9176084758041223E-11</v>
      </c>
      <c r="K665" s="301">
        <f t="shared" si="276"/>
        <v>2.9176084758041223E-11</v>
      </c>
      <c r="L665" s="10">
        <f t="shared" si="277"/>
        <v>2.9176084758041223E-11</v>
      </c>
      <c r="M665" s="302"/>
      <c r="N665" s="435">
        <f t="shared" si="278"/>
        <v>0</v>
      </c>
      <c r="O665" s="436">
        <f t="shared" si="270"/>
        <v>0</v>
      </c>
      <c r="P665" s="436">
        <f t="shared" si="279"/>
        <v>0</v>
      </c>
      <c r="R665" s="354">
        <f>+Hirdetmény!$AA$46</f>
        <v>0.13400000000000001</v>
      </c>
      <c r="S665" s="301">
        <f t="shared" si="280"/>
        <v>0</v>
      </c>
      <c r="T665" s="301">
        <f t="shared" si="271"/>
        <v>0</v>
      </c>
      <c r="U665" s="301">
        <f t="shared" si="281"/>
        <v>0</v>
      </c>
      <c r="V665" s="301">
        <f t="shared" si="282"/>
        <v>0</v>
      </c>
      <c r="W665" s="301">
        <f t="shared" si="283"/>
        <v>0</v>
      </c>
      <c r="AA665" s="12">
        <f>+paraméterek!$B$346</f>
        <v>6.4600000000000005E-2</v>
      </c>
      <c r="AB665" s="301">
        <f t="shared" si="284"/>
        <v>0</v>
      </c>
      <c r="AC665" s="301">
        <f t="shared" si="272"/>
        <v>0</v>
      </c>
      <c r="AD665" s="301">
        <f t="shared" si="285"/>
        <v>0</v>
      </c>
      <c r="AE665" s="301">
        <f t="shared" si="286"/>
        <v>0</v>
      </c>
      <c r="AF665" s="477">
        <f t="shared" si="287"/>
        <v>0</v>
      </c>
    </row>
    <row r="666" spans="1:32" s="11" customFormat="1" hidden="1" x14ac:dyDescent="0.3">
      <c r="A666" s="775">
        <v>587</v>
      </c>
      <c r="B666" s="775">
        <f t="shared" si="273"/>
        <v>49</v>
      </c>
      <c r="C666" s="891">
        <f t="shared" si="274"/>
        <v>0.14489675614077413</v>
      </c>
      <c r="D666" s="891"/>
      <c r="E666" s="891">
        <f t="shared" si="274"/>
        <v>0.03</v>
      </c>
      <c r="F666" s="891">
        <f t="shared" si="267"/>
        <v>0.03</v>
      </c>
      <c r="G666" s="893">
        <f t="shared" si="275"/>
        <v>1.151056494563818E-8</v>
      </c>
      <c r="H666" s="436">
        <f t="shared" si="268"/>
        <v>0</v>
      </c>
      <c r="I666" s="302">
        <f t="shared" si="269"/>
        <v>0</v>
      </c>
      <c r="J666" s="301">
        <f t="shared" si="288"/>
        <v>2.9176084758041223E-11</v>
      </c>
      <c r="K666" s="301">
        <f t="shared" si="276"/>
        <v>2.9176084758041223E-11</v>
      </c>
      <c r="L666" s="10">
        <f t="shared" si="277"/>
        <v>2.9176084758041223E-11</v>
      </c>
      <c r="M666" s="302"/>
      <c r="N666" s="435">
        <f t="shared" si="278"/>
        <v>0</v>
      </c>
      <c r="O666" s="436">
        <f t="shared" si="270"/>
        <v>0</v>
      </c>
      <c r="P666" s="436">
        <f t="shared" si="279"/>
        <v>0</v>
      </c>
      <c r="R666" s="354">
        <f>+Hirdetmény!$AA$46</f>
        <v>0.13400000000000001</v>
      </c>
      <c r="S666" s="301">
        <f t="shared" si="280"/>
        <v>0</v>
      </c>
      <c r="T666" s="301">
        <f t="shared" si="271"/>
        <v>0</v>
      </c>
      <c r="U666" s="301">
        <f t="shared" si="281"/>
        <v>0</v>
      </c>
      <c r="V666" s="301">
        <f t="shared" si="282"/>
        <v>0</v>
      </c>
      <c r="W666" s="301">
        <f t="shared" si="283"/>
        <v>0</v>
      </c>
      <c r="AA666" s="12">
        <f>+paraméterek!$B$346</f>
        <v>6.4600000000000005E-2</v>
      </c>
      <c r="AB666" s="301">
        <f t="shared" si="284"/>
        <v>0</v>
      </c>
      <c r="AC666" s="301">
        <f t="shared" si="272"/>
        <v>0</v>
      </c>
      <c r="AD666" s="301">
        <f t="shared" si="285"/>
        <v>0</v>
      </c>
      <c r="AE666" s="301">
        <f t="shared" si="286"/>
        <v>0</v>
      </c>
      <c r="AF666" s="477">
        <f t="shared" si="287"/>
        <v>0</v>
      </c>
    </row>
    <row r="667" spans="1:32" s="11" customFormat="1" hidden="1" x14ac:dyDescent="0.3">
      <c r="A667" s="775">
        <v>588</v>
      </c>
      <c r="B667" s="775">
        <f t="shared" si="273"/>
        <v>49</v>
      </c>
      <c r="C667" s="891">
        <f t="shared" si="274"/>
        <v>0.14489675614077413</v>
      </c>
      <c r="D667" s="891"/>
      <c r="E667" s="891">
        <f t="shared" si="274"/>
        <v>0.03</v>
      </c>
      <c r="F667" s="891">
        <f t="shared" si="267"/>
        <v>0.03</v>
      </c>
      <c r="G667" s="893">
        <f t="shared" si="275"/>
        <v>1.151056494563818E-8</v>
      </c>
      <c r="H667" s="436">
        <f t="shared" si="268"/>
        <v>0</v>
      </c>
      <c r="I667" s="302">
        <f t="shared" si="269"/>
        <v>0</v>
      </c>
      <c r="J667" s="301">
        <f t="shared" si="288"/>
        <v>2.9176084758041223E-11</v>
      </c>
      <c r="K667" s="301">
        <f t="shared" si="276"/>
        <v>2.9176084758041223E-11</v>
      </c>
      <c r="L667" s="10">
        <f t="shared" si="277"/>
        <v>2.9176084758041223E-11</v>
      </c>
      <c r="M667" s="302"/>
      <c r="N667" s="435">
        <f t="shared" si="278"/>
        <v>0</v>
      </c>
      <c r="O667" s="436">
        <f t="shared" si="270"/>
        <v>0</v>
      </c>
      <c r="P667" s="436">
        <f t="shared" si="279"/>
        <v>0</v>
      </c>
      <c r="R667" s="354">
        <f>+Hirdetmény!$AA$46</f>
        <v>0.13400000000000001</v>
      </c>
      <c r="S667" s="301">
        <f t="shared" si="280"/>
        <v>0</v>
      </c>
      <c r="T667" s="301">
        <f t="shared" si="271"/>
        <v>0</v>
      </c>
      <c r="U667" s="301">
        <f t="shared" si="281"/>
        <v>0</v>
      </c>
      <c r="V667" s="301">
        <f t="shared" si="282"/>
        <v>0</v>
      </c>
      <c r="W667" s="301">
        <f t="shared" si="283"/>
        <v>0</v>
      </c>
      <c r="AA667" s="12">
        <f>+paraméterek!$B$346</f>
        <v>6.4600000000000005E-2</v>
      </c>
      <c r="AB667" s="301">
        <f t="shared" si="284"/>
        <v>0</v>
      </c>
      <c r="AC667" s="301">
        <f t="shared" si="272"/>
        <v>0</v>
      </c>
      <c r="AD667" s="301">
        <f t="shared" si="285"/>
        <v>0</v>
      </c>
      <c r="AE667" s="301">
        <f t="shared" si="286"/>
        <v>0</v>
      </c>
      <c r="AF667" s="477">
        <f t="shared" si="287"/>
        <v>0</v>
      </c>
    </row>
    <row r="668" spans="1:32" s="11" customFormat="1" hidden="1" x14ac:dyDescent="0.3">
      <c r="A668" s="775">
        <v>589</v>
      </c>
      <c r="B668" s="775">
        <f t="shared" si="273"/>
        <v>50</v>
      </c>
      <c r="C668" s="891">
        <f t="shared" si="274"/>
        <v>0.14489675614077413</v>
      </c>
      <c r="D668" s="891"/>
      <c r="E668" s="891">
        <f t="shared" si="274"/>
        <v>0.03</v>
      </c>
      <c r="F668" s="891">
        <f t="shared" si="267"/>
        <v>0.03</v>
      </c>
      <c r="G668" s="893">
        <f t="shared" si="275"/>
        <v>1.151056494563818E-8</v>
      </c>
      <c r="H668" s="436">
        <f t="shared" si="268"/>
        <v>0</v>
      </c>
      <c r="I668" s="302">
        <f t="shared" si="269"/>
        <v>0</v>
      </c>
      <c r="J668" s="301">
        <f t="shared" si="288"/>
        <v>2.9176084758041223E-11</v>
      </c>
      <c r="K668" s="301">
        <f t="shared" si="276"/>
        <v>2.9176084758041223E-11</v>
      </c>
      <c r="L668" s="10">
        <f t="shared" si="277"/>
        <v>2.9176084758041223E-11</v>
      </c>
      <c r="M668" s="302"/>
      <c r="N668" s="435">
        <f t="shared" si="278"/>
        <v>0</v>
      </c>
      <c r="O668" s="436">
        <f t="shared" si="270"/>
        <v>0</v>
      </c>
      <c r="P668" s="436">
        <f t="shared" si="279"/>
        <v>0</v>
      </c>
      <c r="R668" s="354">
        <f>+Hirdetmény!$AA$46</f>
        <v>0.13400000000000001</v>
      </c>
      <c r="S668" s="301">
        <f t="shared" si="280"/>
        <v>0</v>
      </c>
      <c r="T668" s="301">
        <f t="shared" si="271"/>
        <v>0</v>
      </c>
      <c r="U668" s="301">
        <f t="shared" si="281"/>
        <v>0</v>
      </c>
      <c r="V668" s="301">
        <f t="shared" si="282"/>
        <v>0</v>
      </c>
      <c r="W668" s="301">
        <f t="shared" si="283"/>
        <v>0</v>
      </c>
      <c r="AA668" s="12">
        <f>+paraméterek!$B$346</f>
        <v>6.4600000000000005E-2</v>
      </c>
      <c r="AB668" s="301">
        <f t="shared" si="284"/>
        <v>0</v>
      </c>
      <c r="AC668" s="301">
        <f t="shared" si="272"/>
        <v>0</v>
      </c>
      <c r="AD668" s="301">
        <f t="shared" si="285"/>
        <v>0</v>
      </c>
      <c r="AE668" s="301">
        <f t="shared" si="286"/>
        <v>0</v>
      </c>
      <c r="AF668" s="477">
        <f t="shared" si="287"/>
        <v>0</v>
      </c>
    </row>
    <row r="669" spans="1:32" s="11" customFormat="1" hidden="1" x14ac:dyDescent="0.3">
      <c r="A669" s="775">
        <v>590</v>
      </c>
      <c r="B669" s="775">
        <f t="shared" si="273"/>
        <v>50</v>
      </c>
      <c r="C669" s="891">
        <f t="shared" si="274"/>
        <v>0.14489675614077413</v>
      </c>
      <c r="D669" s="891"/>
      <c r="E669" s="891">
        <f t="shared" si="274"/>
        <v>0.03</v>
      </c>
      <c r="F669" s="891">
        <f t="shared" si="267"/>
        <v>0.03</v>
      </c>
      <c r="G669" s="893">
        <f t="shared" si="275"/>
        <v>1.151056494563818E-8</v>
      </c>
      <c r="H669" s="436">
        <f t="shared" si="268"/>
        <v>0</v>
      </c>
      <c r="I669" s="302">
        <f t="shared" si="269"/>
        <v>0</v>
      </c>
      <c r="J669" s="301">
        <f t="shared" si="288"/>
        <v>2.9176084758041223E-11</v>
      </c>
      <c r="K669" s="301">
        <f t="shared" si="276"/>
        <v>2.9176084758041223E-11</v>
      </c>
      <c r="L669" s="10">
        <f t="shared" si="277"/>
        <v>2.9176084758041223E-11</v>
      </c>
      <c r="M669" s="302"/>
      <c r="N669" s="435">
        <f t="shared" si="278"/>
        <v>0</v>
      </c>
      <c r="O669" s="436">
        <f t="shared" si="270"/>
        <v>0</v>
      </c>
      <c r="P669" s="436">
        <f t="shared" si="279"/>
        <v>0</v>
      </c>
      <c r="R669" s="354">
        <f>+Hirdetmény!$AA$46</f>
        <v>0.13400000000000001</v>
      </c>
      <c r="S669" s="301">
        <f t="shared" si="280"/>
        <v>0</v>
      </c>
      <c r="T669" s="301">
        <f t="shared" si="271"/>
        <v>0</v>
      </c>
      <c r="U669" s="301">
        <f t="shared" si="281"/>
        <v>0</v>
      </c>
      <c r="V669" s="301">
        <f t="shared" si="282"/>
        <v>0</v>
      </c>
      <c r="W669" s="301">
        <f t="shared" si="283"/>
        <v>0</v>
      </c>
      <c r="AA669" s="12">
        <f>+paraméterek!$B$346</f>
        <v>6.4600000000000005E-2</v>
      </c>
      <c r="AB669" s="301">
        <f t="shared" si="284"/>
        <v>0</v>
      </c>
      <c r="AC669" s="301">
        <f t="shared" si="272"/>
        <v>0</v>
      </c>
      <c r="AD669" s="301">
        <f t="shared" si="285"/>
        <v>0</v>
      </c>
      <c r="AE669" s="301">
        <f t="shared" si="286"/>
        <v>0</v>
      </c>
      <c r="AF669" s="477">
        <f t="shared" si="287"/>
        <v>0</v>
      </c>
    </row>
    <row r="670" spans="1:32" s="11" customFormat="1" hidden="1" x14ac:dyDescent="0.3">
      <c r="A670" s="775">
        <v>591</v>
      </c>
      <c r="B670" s="775">
        <f t="shared" si="273"/>
        <v>50</v>
      </c>
      <c r="C670" s="891">
        <f t="shared" si="274"/>
        <v>0.14489675614077413</v>
      </c>
      <c r="D670" s="891"/>
      <c r="E670" s="891">
        <f t="shared" si="274"/>
        <v>0.03</v>
      </c>
      <c r="F670" s="891">
        <f t="shared" si="267"/>
        <v>0.03</v>
      </c>
      <c r="G670" s="893">
        <f t="shared" si="275"/>
        <v>1.151056494563818E-8</v>
      </c>
      <c r="H670" s="436">
        <f t="shared" si="268"/>
        <v>0</v>
      </c>
      <c r="I670" s="302">
        <f t="shared" si="269"/>
        <v>0</v>
      </c>
      <c r="J670" s="301">
        <f t="shared" si="288"/>
        <v>2.9176084758041223E-11</v>
      </c>
      <c r="K670" s="301">
        <f t="shared" si="276"/>
        <v>2.9176084758041223E-11</v>
      </c>
      <c r="L670" s="10">
        <f t="shared" si="277"/>
        <v>2.9176084758041223E-11</v>
      </c>
      <c r="M670" s="302"/>
      <c r="N670" s="435">
        <f t="shared" si="278"/>
        <v>0</v>
      </c>
      <c r="O670" s="436">
        <f t="shared" si="270"/>
        <v>0</v>
      </c>
      <c r="P670" s="436">
        <f t="shared" si="279"/>
        <v>0</v>
      </c>
      <c r="R670" s="354">
        <f>+Hirdetmény!$AA$46</f>
        <v>0.13400000000000001</v>
      </c>
      <c r="S670" s="301">
        <f t="shared" si="280"/>
        <v>0</v>
      </c>
      <c r="T670" s="301">
        <f t="shared" si="271"/>
        <v>0</v>
      </c>
      <c r="U670" s="301">
        <f t="shared" si="281"/>
        <v>0</v>
      </c>
      <c r="V670" s="301">
        <f t="shared" si="282"/>
        <v>0</v>
      </c>
      <c r="W670" s="301">
        <f t="shared" si="283"/>
        <v>0</v>
      </c>
      <c r="AA670" s="12">
        <f>+paraméterek!$B$346</f>
        <v>6.4600000000000005E-2</v>
      </c>
      <c r="AB670" s="301">
        <f t="shared" si="284"/>
        <v>0</v>
      </c>
      <c r="AC670" s="301">
        <f t="shared" si="272"/>
        <v>0</v>
      </c>
      <c r="AD670" s="301">
        <f t="shared" si="285"/>
        <v>0</v>
      </c>
      <c r="AE670" s="301">
        <f t="shared" si="286"/>
        <v>0</v>
      </c>
      <c r="AF670" s="477">
        <f t="shared" si="287"/>
        <v>0</v>
      </c>
    </row>
    <row r="671" spans="1:32" s="11" customFormat="1" hidden="1" x14ac:dyDescent="0.3">
      <c r="A671" s="775">
        <v>592</v>
      </c>
      <c r="B671" s="775">
        <f t="shared" si="273"/>
        <v>50</v>
      </c>
      <c r="C671" s="891">
        <f t="shared" si="274"/>
        <v>0.14489675614077413</v>
      </c>
      <c r="D671" s="891"/>
      <c r="E671" s="891">
        <f t="shared" si="274"/>
        <v>0.03</v>
      </c>
      <c r="F671" s="891">
        <f t="shared" si="267"/>
        <v>0.03</v>
      </c>
      <c r="G671" s="893">
        <f t="shared" si="275"/>
        <v>1.151056494563818E-8</v>
      </c>
      <c r="H671" s="436">
        <f t="shared" si="268"/>
        <v>0</v>
      </c>
      <c r="I671" s="302">
        <f t="shared" si="269"/>
        <v>0</v>
      </c>
      <c r="J671" s="301">
        <f t="shared" si="288"/>
        <v>2.9176084758041223E-11</v>
      </c>
      <c r="K671" s="301">
        <f t="shared" si="276"/>
        <v>2.9176084758041223E-11</v>
      </c>
      <c r="L671" s="10">
        <f t="shared" si="277"/>
        <v>2.9176084758041223E-11</v>
      </c>
      <c r="M671" s="302"/>
      <c r="N671" s="435">
        <f t="shared" si="278"/>
        <v>0</v>
      </c>
      <c r="O671" s="436">
        <f t="shared" si="270"/>
        <v>0</v>
      </c>
      <c r="P671" s="436">
        <f t="shared" si="279"/>
        <v>0</v>
      </c>
      <c r="R671" s="354">
        <f>+Hirdetmény!$AA$46</f>
        <v>0.13400000000000001</v>
      </c>
      <c r="S671" s="301">
        <f t="shared" si="280"/>
        <v>0</v>
      </c>
      <c r="T671" s="301">
        <f t="shared" si="271"/>
        <v>0</v>
      </c>
      <c r="U671" s="301">
        <f t="shared" si="281"/>
        <v>0</v>
      </c>
      <c r="V671" s="301">
        <f t="shared" si="282"/>
        <v>0</v>
      </c>
      <c r="W671" s="301">
        <f t="shared" si="283"/>
        <v>0</v>
      </c>
      <c r="AA671" s="12">
        <f>+paraméterek!$B$346</f>
        <v>6.4600000000000005E-2</v>
      </c>
      <c r="AB671" s="301">
        <f t="shared" si="284"/>
        <v>0</v>
      </c>
      <c r="AC671" s="301">
        <f t="shared" si="272"/>
        <v>0</v>
      </c>
      <c r="AD671" s="301">
        <f t="shared" si="285"/>
        <v>0</v>
      </c>
      <c r="AE671" s="301">
        <f t="shared" si="286"/>
        <v>0</v>
      </c>
      <c r="AF671" s="477">
        <f t="shared" si="287"/>
        <v>0</v>
      </c>
    </row>
    <row r="672" spans="1:32" s="11" customFormat="1" hidden="1" x14ac:dyDescent="0.3">
      <c r="A672" s="775">
        <v>593</v>
      </c>
      <c r="B672" s="775">
        <f t="shared" si="273"/>
        <v>50</v>
      </c>
      <c r="C672" s="891">
        <f t="shared" si="274"/>
        <v>0.14489675614077413</v>
      </c>
      <c r="D672" s="891"/>
      <c r="E672" s="891">
        <f t="shared" si="274"/>
        <v>0.03</v>
      </c>
      <c r="F672" s="891">
        <f t="shared" si="267"/>
        <v>0.03</v>
      </c>
      <c r="G672" s="893">
        <f t="shared" si="275"/>
        <v>1.151056494563818E-8</v>
      </c>
      <c r="H672" s="436">
        <f t="shared" si="268"/>
        <v>0</v>
      </c>
      <c r="I672" s="302">
        <f t="shared" si="269"/>
        <v>0</v>
      </c>
      <c r="J672" s="301">
        <f t="shared" si="288"/>
        <v>2.9176084758041223E-11</v>
      </c>
      <c r="K672" s="301">
        <f t="shared" si="276"/>
        <v>2.9176084758041223E-11</v>
      </c>
      <c r="L672" s="10">
        <f t="shared" si="277"/>
        <v>2.9176084758041223E-11</v>
      </c>
      <c r="M672" s="302"/>
      <c r="N672" s="435">
        <f t="shared" si="278"/>
        <v>0</v>
      </c>
      <c r="O672" s="436">
        <f t="shared" si="270"/>
        <v>0</v>
      </c>
      <c r="P672" s="436">
        <f t="shared" si="279"/>
        <v>0</v>
      </c>
      <c r="R672" s="354">
        <f>+Hirdetmény!$AA$46</f>
        <v>0.13400000000000001</v>
      </c>
      <c r="S672" s="301">
        <f t="shared" si="280"/>
        <v>0</v>
      </c>
      <c r="T672" s="301">
        <f t="shared" si="271"/>
        <v>0</v>
      </c>
      <c r="U672" s="301">
        <f t="shared" si="281"/>
        <v>0</v>
      </c>
      <c r="V672" s="301">
        <f t="shared" si="282"/>
        <v>0</v>
      </c>
      <c r="W672" s="301">
        <f t="shared" si="283"/>
        <v>0</v>
      </c>
      <c r="AA672" s="12">
        <f>+paraméterek!$B$346</f>
        <v>6.4600000000000005E-2</v>
      </c>
      <c r="AB672" s="301">
        <f t="shared" si="284"/>
        <v>0</v>
      </c>
      <c r="AC672" s="301">
        <f t="shared" si="272"/>
        <v>0</v>
      </c>
      <c r="AD672" s="301">
        <f t="shared" si="285"/>
        <v>0</v>
      </c>
      <c r="AE672" s="301">
        <f t="shared" si="286"/>
        <v>0</v>
      </c>
      <c r="AF672" s="477">
        <f t="shared" si="287"/>
        <v>0</v>
      </c>
    </row>
    <row r="673" spans="1:32" s="11" customFormat="1" hidden="1" x14ac:dyDescent="0.3">
      <c r="A673" s="775">
        <v>594</v>
      </c>
      <c r="B673" s="775">
        <f t="shared" si="273"/>
        <v>50</v>
      </c>
      <c r="C673" s="891">
        <f t="shared" ref="C673:E688" si="289">+C672</f>
        <v>0.14489675614077413</v>
      </c>
      <c r="D673" s="891"/>
      <c r="E673" s="891">
        <f t="shared" si="289"/>
        <v>0.03</v>
      </c>
      <c r="F673" s="891">
        <f t="shared" si="267"/>
        <v>0.03</v>
      </c>
      <c r="G673" s="893">
        <f t="shared" si="275"/>
        <v>1.151056494563818E-8</v>
      </c>
      <c r="H673" s="436">
        <f t="shared" si="268"/>
        <v>0</v>
      </c>
      <c r="I673" s="302">
        <f t="shared" si="269"/>
        <v>0</v>
      </c>
      <c r="J673" s="301">
        <f t="shared" si="288"/>
        <v>2.9176084758041223E-11</v>
      </c>
      <c r="K673" s="301">
        <f t="shared" si="276"/>
        <v>2.9176084758041223E-11</v>
      </c>
      <c r="L673" s="10">
        <f t="shared" si="277"/>
        <v>2.9176084758041223E-11</v>
      </c>
      <c r="M673" s="302"/>
      <c r="N673" s="435">
        <f t="shared" si="278"/>
        <v>0</v>
      </c>
      <c r="O673" s="436">
        <f t="shared" si="270"/>
        <v>0</v>
      </c>
      <c r="P673" s="436">
        <f t="shared" si="279"/>
        <v>0</v>
      </c>
      <c r="R673" s="354">
        <f>+Hirdetmény!$AA$46</f>
        <v>0.13400000000000001</v>
      </c>
      <c r="S673" s="301">
        <f t="shared" si="280"/>
        <v>0</v>
      </c>
      <c r="T673" s="301">
        <f t="shared" si="271"/>
        <v>0</v>
      </c>
      <c r="U673" s="301">
        <f t="shared" si="281"/>
        <v>0</v>
      </c>
      <c r="V673" s="301">
        <f t="shared" si="282"/>
        <v>0</v>
      </c>
      <c r="W673" s="301">
        <f t="shared" si="283"/>
        <v>0</v>
      </c>
      <c r="AA673" s="12">
        <f>+paraméterek!$B$346</f>
        <v>6.4600000000000005E-2</v>
      </c>
      <c r="AB673" s="301">
        <f t="shared" si="284"/>
        <v>0</v>
      </c>
      <c r="AC673" s="301">
        <f t="shared" si="272"/>
        <v>0</v>
      </c>
      <c r="AD673" s="301">
        <f t="shared" si="285"/>
        <v>0</v>
      </c>
      <c r="AE673" s="301">
        <f t="shared" si="286"/>
        <v>0</v>
      </c>
      <c r="AF673" s="477">
        <f t="shared" si="287"/>
        <v>0</v>
      </c>
    </row>
    <row r="674" spans="1:32" s="11" customFormat="1" hidden="1" x14ac:dyDescent="0.3">
      <c r="A674" s="775">
        <v>595</v>
      </c>
      <c r="B674" s="775">
        <f t="shared" si="273"/>
        <v>50</v>
      </c>
      <c r="C674" s="891">
        <f t="shared" si="289"/>
        <v>0.14489675614077413</v>
      </c>
      <c r="D674" s="891"/>
      <c r="E674" s="891">
        <f t="shared" si="289"/>
        <v>0.03</v>
      </c>
      <c r="F674" s="891">
        <f t="shared" si="267"/>
        <v>0.03</v>
      </c>
      <c r="G674" s="893">
        <f t="shared" si="275"/>
        <v>1.151056494563818E-8</v>
      </c>
      <c r="H674" s="436">
        <f t="shared" si="268"/>
        <v>0</v>
      </c>
      <c r="I674" s="302">
        <f t="shared" si="269"/>
        <v>0</v>
      </c>
      <c r="J674" s="301">
        <f t="shared" si="288"/>
        <v>2.9176084758041223E-11</v>
      </c>
      <c r="K674" s="301">
        <f t="shared" si="276"/>
        <v>2.9176084758041223E-11</v>
      </c>
      <c r="L674" s="10">
        <f t="shared" si="277"/>
        <v>2.9176084758041223E-11</v>
      </c>
      <c r="M674" s="302"/>
      <c r="N674" s="435">
        <f t="shared" si="278"/>
        <v>0</v>
      </c>
      <c r="O674" s="436">
        <f t="shared" si="270"/>
        <v>0</v>
      </c>
      <c r="P674" s="436">
        <f t="shared" si="279"/>
        <v>0</v>
      </c>
      <c r="R674" s="354">
        <f>+Hirdetmény!$AA$46</f>
        <v>0.13400000000000001</v>
      </c>
      <c r="S674" s="301">
        <f t="shared" si="280"/>
        <v>0</v>
      </c>
      <c r="T674" s="301">
        <f t="shared" si="271"/>
        <v>0</v>
      </c>
      <c r="U674" s="301">
        <f t="shared" si="281"/>
        <v>0</v>
      </c>
      <c r="V674" s="301">
        <f t="shared" si="282"/>
        <v>0</v>
      </c>
      <c r="W674" s="301">
        <f t="shared" si="283"/>
        <v>0</v>
      </c>
      <c r="AA674" s="12">
        <f>+paraméterek!$B$346</f>
        <v>6.4600000000000005E-2</v>
      </c>
      <c r="AB674" s="301">
        <f t="shared" si="284"/>
        <v>0</v>
      </c>
      <c r="AC674" s="301">
        <f t="shared" si="272"/>
        <v>0</v>
      </c>
      <c r="AD674" s="301">
        <f t="shared" si="285"/>
        <v>0</v>
      </c>
      <c r="AE674" s="301">
        <f t="shared" si="286"/>
        <v>0</v>
      </c>
      <c r="AF674" s="477">
        <f t="shared" si="287"/>
        <v>0</v>
      </c>
    </row>
    <row r="675" spans="1:32" s="11" customFormat="1" hidden="1" x14ac:dyDescent="0.3">
      <c r="A675" s="775">
        <v>596</v>
      </c>
      <c r="B675" s="775">
        <f t="shared" si="273"/>
        <v>50</v>
      </c>
      <c r="C675" s="891">
        <f t="shared" si="289"/>
        <v>0.14489675614077413</v>
      </c>
      <c r="D675" s="891"/>
      <c r="E675" s="891">
        <f t="shared" si="289"/>
        <v>0.03</v>
      </c>
      <c r="F675" s="891">
        <f t="shared" si="267"/>
        <v>0.03</v>
      </c>
      <c r="G675" s="893">
        <f t="shared" si="275"/>
        <v>1.151056494563818E-8</v>
      </c>
      <c r="H675" s="436">
        <f t="shared" si="268"/>
        <v>0</v>
      </c>
      <c r="I675" s="302">
        <f t="shared" si="269"/>
        <v>0</v>
      </c>
      <c r="J675" s="301">
        <f t="shared" si="288"/>
        <v>2.9176084758041223E-11</v>
      </c>
      <c r="K675" s="301">
        <f t="shared" si="276"/>
        <v>2.9176084758041223E-11</v>
      </c>
      <c r="L675" s="10">
        <f t="shared" si="277"/>
        <v>2.9176084758041223E-11</v>
      </c>
      <c r="M675" s="302"/>
      <c r="N675" s="435">
        <f t="shared" si="278"/>
        <v>0</v>
      </c>
      <c r="O675" s="436">
        <f t="shared" si="270"/>
        <v>0</v>
      </c>
      <c r="P675" s="436">
        <f t="shared" si="279"/>
        <v>0</v>
      </c>
      <c r="R675" s="354">
        <f>+Hirdetmény!$AA$46</f>
        <v>0.13400000000000001</v>
      </c>
      <c r="S675" s="301">
        <f t="shared" si="280"/>
        <v>0</v>
      </c>
      <c r="T675" s="301">
        <f t="shared" si="271"/>
        <v>0</v>
      </c>
      <c r="U675" s="301">
        <f t="shared" si="281"/>
        <v>0</v>
      </c>
      <c r="V675" s="301">
        <f t="shared" si="282"/>
        <v>0</v>
      </c>
      <c r="W675" s="301">
        <f t="shared" si="283"/>
        <v>0</v>
      </c>
      <c r="AA675" s="12">
        <f>+paraméterek!$B$346</f>
        <v>6.4600000000000005E-2</v>
      </c>
      <c r="AB675" s="301">
        <f t="shared" si="284"/>
        <v>0</v>
      </c>
      <c r="AC675" s="301">
        <f t="shared" si="272"/>
        <v>0</v>
      </c>
      <c r="AD675" s="301">
        <f t="shared" si="285"/>
        <v>0</v>
      </c>
      <c r="AE675" s="301">
        <f t="shared" si="286"/>
        <v>0</v>
      </c>
      <c r="AF675" s="477">
        <f t="shared" si="287"/>
        <v>0</v>
      </c>
    </row>
    <row r="676" spans="1:32" s="11" customFormat="1" hidden="1" x14ac:dyDescent="0.3">
      <c r="A676" s="775">
        <v>597</v>
      </c>
      <c r="B676" s="775">
        <f t="shared" si="273"/>
        <v>50</v>
      </c>
      <c r="C676" s="891">
        <f t="shared" si="289"/>
        <v>0.14489675614077413</v>
      </c>
      <c r="D676" s="891"/>
      <c r="E676" s="891">
        <f t="shared" si="289"/>
        <v>0.03</v>
      </c>
      <c r="F676" s="891">
        <f t="shared" si="267"/>
        <v>0.03</v>
      </c>
      <c r="G676" s="893">
        <f t="shared" si="275"/>
        <v>1.151056494563818E-8</v>
      </c>
      <c r="H676" s="436">
        <f t="shared" si="268"/>
        <v>0</v>
      </c>
      <c r="I676" s="302">
        <f t="shared" si="269"/>
        <v>0</v>
      </c>
      <c r="J676" s="301">
        <f t="shared" si="288"/>
        <v>2.9176084758041223E-11</v>
      </c>
      <c r="K676" s="301">
        <f t="shared" si="276"/>
        <v>2.9176084758041223E-11</v>
      </c>
      <c r="L676" s="10">
        <f t="shared" si="277"/>
        <v>2.9176084758041223E-11</v>
      </c>
      <c r="M676" s="302"/>
      <c r="N676" s="435">
        <f t="shared" si="278"/>
        <v>0</v>
      </c>
      <c r="O676" s="436">
        <f t="shared" si="270"/>
        <v>0</v>
      </c>
      <c r="P676" s="436">
        <f t="shared" si="279"/>
        <v>0</v>
      </c>
      <c r="R676" s="354">
        <f>+Hirdetmény!$AA$46</f>
        <v>0.13400000000000001</v>
      </c>
      <c r="S676" s="301">
        <f t="shared" si="280"/>
        <v>0</v>
      </c>
      <c r="T676" s="301">
        <f t="shared" si="271"/>
        <v>0</v>
      </c>
      <c r="U676" s="301">
        <f t="shared" si="281"/>
        <v>0</v>
      </c>
      <c r="V676" s="301">
        <f t="shared" si="282"/>
        <v>0</v>
      </c>
      <c r="W676" s="301">
        <f t="shared" si="283"/>
        <v>0</v>
      </c>
      <c r="AA676" s="12">
        <f>+paraméterek!$B$346</f>
        <v>6.4600000000000005E-2</v>
      </c>
      <c r="AB676" s="301">
        <f t="shared" si="284"/>
        <v>0</v>
      </c>
      <c r="AC676" s="301">
        <f t="shared" si="272"/>
        <v>0</v>
      </c>
      <c r="AD676" s="301">
        <f t="shared" si="285"/>
        <v>0</v>
      </c>
      <c r="AE676" s="301">
        <f t="shared" si="286"/>
        <v>0</v>
      </c>
      <c r="AF676" s="477">
        <f t="shared" si="287"/>
        <v>0</v>
      </c>
    </row>
    <row r="677" spans="1:32" s="11" customFormat="1" hidden="1" x14ac:dyDescent="0.3">
      <c r="A677" s="775">
        <v>598</v>
      </c>
      <c r="B677" s="775">
        <f t="shared" si="273"/>
        <v>50</v>
      </c>
      <c r="C677" s="891">
        <f t="shared" si="289"/>
        <v>0.14489675614077413</v>
      </c>
      <c r="D677" s="891"/>
      <c r="E677" s="891">
        <f t="shared" si="289"/>
        <v>0.03</v>
      </c>
      <c r="F677" s="891">
        <f t="shared" si="267"/>
        <v>0.03</v>
      </c>
      <c r="G677" s="893">
        <f t="shared" si="275"/>
        <v>1.151056494563818E-8</v>
      </c>
      <c r="H677" s="436">
        <f t="shared" si="268"/>
        <v>0</v>
      </c>
      <c r="I677" s="302">
        <f t="shared" si="269"/>
        <v>0</v>
      </c>
      <c r="J677" s="301">
        <f t="shared" si="288"/>
        <v>2.9176084758041223E-11</v>
      </c>
      <c r="K677" s="301">
        <f t="shared" si="276"/>
        <v>2.9176084758041223E-11</v>
      </c>
      <c r="L677" s="10">
        <f t="shared" si="277"/>
        <v>2.9176084758041223E-11</v>
      </c>
      <c r="M677" s="302"/>
      <c r="N677" s="435">
        <f t="shared" si="278"/>
        <v>0</v>
      </c>
      <c r="O677" s="436">
        <f t="shared" si="270"/>
        <v>0</v>
      </c>
      <c r="P677" s="436">
        <f t="shared" si="279"/>
        <v>0</v>
      </c>
      <c r="R677" s="354">
        <f>+Hirdetmény!$AA$46</f>
        <v>0.13400000000000001</v>
      </c>
      <c r="S677" s="301">
        <f t="shared" si="280"/>
        <v>0</v>
      </c>
      <c r="T677" s="301">
        <f t="shared" si="271"/>
        <v>0</v>
      </c>
      <c r="U677" s="301">
        <f t="shared" si="281"/>
        <v>0</v>
      </c>
      <c r="V677" s="301">
        <f t="shared" si="282"/>
        <v>0</v>
      </c>
      <c r="W677" s="301">
        <f t="shared" si="283"/>
        <v>0</v>
      </c>
      <c r="AA677" s="12">
        <f>+paraméterek!$B$346</f>
        <v>6.4600000000000005E-2</v>
      </c>
      <c r="AB677" s="301">
        <f t="shared" si="284"/>
        <v>0</v>
      </c>
      <c r="AC677" s="301">
        <f t="shared" si="272"/>
        <v>0</v>
      </c>
      <c r="AD677" s="301">
        <f t="shared" si="285"/>
        <v>0</v>
      </c>
      <c r="AE677" s="301">
        <f t="shared" si="286"/>
        <v>0</v>
      </c>
      <c r="AF677" s="477">
        <f t="shared" si="287"/>
        <v>0</v>
      </c>
    </row>
    <row r="678" spans="1:32" s="11" customFormat="1" hidden="1" x14ac:dyDescent="0.3">
      <c r="A678" s="775">
        <v>599</v>
      </c>
      <c r="B678" s="775">
        <f t="shared" si="273"/>
        <v>50</v>
      </c>
      <c r="C678" s="891">
        <f t="shared" si="289"/>
        <v>0.14489675614077413</v>
      </c>
      <c r="D678" s="891"/>
      <c r="E678" s="891">
        <f t="shared" si="289"/>
        <v>0.03</v>
      </c>
      <c r="F678" s="891">
        <f t="shared" si="267"/>
        <v>0.03</v>
      </c>
      <c r="G678" s="893">
        <f t="shared" si="275"/>
        <v>1.151056494563818E-8</v>
      </c>
      <c r="H678" s="436">
        <f t="shared" si="268"/>
        <v>0</v>
      </c>
      <c r="I678" s="302">
        <f t="shared" si="269"/>
        <v>0</v>
      </c>
      <c r="J678" s="301">
        <f t="shared" si="288"/>
        <v>2.9176084758041223E-11</v>
      </c>
      <c r="K678" s="301">
        <f t="shared" si="276"/>
        <v>2.9176084758041223E-11</v>
      </c>
      <c r="L678" s="10">
        <f t="shared" si="277"/>
        <v>2.9176084758041223E-11</v>
      </c>
      <c r="M678" s="302"/>
      <c r="N678" s="435">
        <f t="shared" si="278"/>
        <v>0</v>
      </c>
      <c r="O678" s="436">
        <f t="shared" si="270"/>
        <v>0</v>
      </c>
      <c r="P678" s="436">
        <f t="shared" si="279"/>
        <v>0</v>
      </c>
      <c r="R678" s="354">
        <f>+Hirdetmény!$AA$46</f>
        <v>0.13400000000000001</v>
      </c>
      <c r="S678" s="301">
        <f t="shared" si="280"/>
        <v>0</v>
      </c>
      <c r="T678" s="301">
        <f t="shared" si="271"/>
        <v>0</v>
      </c>
      <c r="U678" s="301">
        <f t="shared" si="281"/>
        <v>0</v>
      </c>
      <c r="V678" s="301">
        <f t="shared" si="282"/>
        <v>0</v>
      </c>
      <c r="W678" s="301">
        <f t="shared" si="283"/>
        <v>0</v>
      </c>
      <c r="AA678" s="12">
        <f>+paraméterek!$B$346</f>
        <v>6.4600000000000005E-2</v>
      </c>
      <c r="AB678" s="301">
        <f t="shared" si="284"/>
        <v>0</v>
      </c>
      <c r="AC678" s="301">
        <f t="shared" si="272"/>
        <v>0</v>
      </c>
      <c r="AD678" s="301">
        <f t="shared" si="285"/>
        <v>0</v>
      </c>
      <c r="AE678" s="301">
        <f t="shared" si="286"/>
        <v>0</v>
      </c>
      <c r="AF678" s="477">
        <f t="shared" si="287"/>
        <v>0</v>
      </c>
    </row>
    <row r="679" spans="1:32" s="11" customFormat="1" hidden="1" x14ac:dyDescent="0.3">
      <c r="A679" s="775">
        <v>600</v>
      </c>
      <c r="B679" s="775">
        <f t="shared" si="273"/>
        <v>50</v>
      </c>
      <c r="C679" s="891">
        <f t="shared" si="289"/>
        <v>0.14489675614077413</v>
      </c>
      <c r="D679" s="891"/>
      <c r="E679" s="891">
        <f t="shared" si="289"/>
        <v>0.03</v>
      </c>
      <c r="F679" s="891">
        <f t="shared" si="267"/>
        <v>0.03</v>
      </c>
      <c r="G679" s="893">
        <f t="shared" si="275"/>
        <v>1.151056494563818E-8</v>
      </c>
      <c r="H679" s="436">
        <f t="shared" si="268"/>
        <v>0</v>
      </c>
      <c r="I679" s="302">
        <f t="shared" si="269"/>
        <v>0</v>
      </c>
      <c r="J679" s="301">
        <f t="shared" si="288"/>
        <v>2.9176084758041223E-11</v>
      </c>
      <c r="K679" s="301">
        <f t="shared" si="276"/>
        <v>2.9176084758041223E-11</v>
      </c>
      <c r="L679" s="10">
        <f t="shared" si="277"/>
        <v>2.9176084758041223E-11</v>
      </c>
      <c r="M679" s="302"/>
      <c r="N679" s="435">
        <f t="shared" si="278"/>
        <v>0</v>
      </c>
      <c r="O679" s="436">
        <f t="shared" si="270"/>
        <v>0</v>
      </c>
      <c r="P679" s="436">
        <f t="shared" si="279"/>
        <v>0</v>
      </c>
      <c r="R679" s="354">
        <f>+Hirdetmény!$AA$46</f>
        <v>0.13400000000000001</v>
      </c>
      <c r="S679" s="301">
        <f t="shared" si="280"/>
        <v>0</v>
      </c>
      <c r="T679" s="301">
        <f t="shared" si="271"/>
        <v>0</v>
      </c>
      <c r="U679" s="301">
        <f t="shared" si="281"/>
        <v>0</v>
      </c>
      <c r="V679" s="301">
        <f t="shared" si="282"/>
        <v>0</v>
      </c>
      <c r="W679" s="301">
        <f t="shared" si="283"/>
        <v>0</v>
      </c>
      <c r="AA679" s="12">
        <f>+paraméterek!$B$346</f>
        <v>6.4600000000000005E-2</v>
      </c>
      <c r="AB679" s="301">
        <f t="shared" si="284"/>
        <v>0</v>
      </c>
      <c r="AC679" s="301">
        <f t="shared" si="272"/>
        <v>0</v>
      </c>
      <c r="AD679" s="301">
        <f t="shared" si="285"/>
        <v>0</v>
      </c>
      <c r="AE679" s="301">
        <f t="shared" si="286"/>
        <v>0</v>
      </c>
      <c r="AF679" s="477">
        <f t="shared" si="287"/>
        <v>0</v>
      </c>
    </row>
    <row r="680" spans="1:32" s="11" customFormat="1" hidden="1" x14ac:dyDescent="0.3">
      <c r="A680" s="775">
        <v>601</v>
      </c>
      <c r="B680" s="775">
        <f t="shared" si="273"/>
        <v>51</v>
      </c>
      <c r="C680" s="891">
        <f t="shared" si="289"/>
        <v>0.14489675614077413</v>
      </c>
      <c r="D680" s="891"/>
      <c r="E680" s="891">
        <f t="shared" si="289"/>
        <v>0.03</v>
      </c>
      <c r="F680" s="891">
        <f t="shared" si="267"/>
        <v>0.03</v>
      </c>
      <c r="G680" s="893">
        <f t="shared" si="275"/>
        <v>1.151056494563818E-8</v>
      </c>
      <c r="H680" s="436">
        <f t="shared" si="268"/>
        <v>0</v>
      </c>
      <c r="I680" s="302">
        <f t="shared" si="269"/>
        <v>0</v>
      </c>
      <c r="J680" s="301">
        <f t="shared" si="288"/>
        <v>2.9176084758041223E-11</v>
      </c>
      <c r="K680" s="301">
        <f t="shared" si="276"/>
        <v>2.9176084758041223E-11</v>
      </c>
      <c r="L680" s="10">
        <f t="shared" si="277"/>
        <v>2.9176084758041223E-11</v>
      </c>
      <c r="M680" s="302"/>
      <c r="N680" s="435">
        <f t="shared" si="278"/>
        <v>0</v>
      </c>
      <c r="O680" s="436">
        <f t="shared" si="270"/>
        <v>0</v>
      </c>
      <c r="P680" s="436">
        <f t="shared" si="279"/>
        <v>0</v>
      </c>
      <c r="R680" s="354">
        <f>+Hirdetmény!$AA$46</f>
        <v>0.13400000000000001</v>
      </c>
      <c r="S680" s="301">
        <f t="shared" si="280"/>
        <v>0</v>
      </c>
      <c r="T680" s="301">
        <f t="shared" si="271"/>
        <v>0</v>
      </c>
      <c r="U680" s="301">
        <f t="shared" si="281"/>
        <v>0</v>
      </c>
      <c r="V680" s="301">
        <f t="shared" si="282"/>
        <v>0</v>
      </c>
      <c r="W680" s="301">
        <f t="shared" si="283"/>
        <v>0</v>
      </c>
      <c r="AA680" s="12">
        <f>+paraméterek!$B$346</f>
        <v>6.4600000000000005E-2</v>
      </c>
      <c r="AB680" s="301">
        <f t="shared" si="284"/>
        <v>0</v>
      </c>
      <c r="AC680" s="301">
        <f t="shared" si="272"/>
        <v>0</v>
      </c>
      <c r="AD680" s="301">
        <f t="shared" si="285"/>
        <v>0</v>
      </c>
      <c r="AE680" s="301">
        <f t="shared" si="286"/>
        <v>0</v>
      </c>
      <c r="AF680" s="477">
        <f t="shared" si="287"/>
        <v>0</v>
      </c>
    </row>
    <row r="681" spans="1:32" s="11" customFormat="1" hidden="1" x14ac:dyDescent="0.3">
      <c r="A681" s="775">
        <v>602</v>
      </c>
      <c r="B681" s="775">
        <f t="shared" si="273"/>
        <v>51</v>
      </c>
      <c r="C681" s="891">
        <f t="shared" si="289"/>
        <v>0.14489675614077413</v>
      </c>
      <c r="D681" s="891"/>
      <c r="E681" s="891">
        <f t="shared" si="289"/>
        <v>0.03</v>
      </c>
      <c r="F681" s="891">
        <f t="shared" si="267"/>
        <v>0.03</v>
      </c>
      <c r="G681" s="893">
        <f t="shared" si="275"/>
        <v>1.151056494563818E-8</v>
      </c>
      <c r="H681" s="436">
        <f t="shared" si="268"/>
        <v>0</v>
      </c>
      <c r="I681" s="302">
        <f t="shared" si="269"/>
        <v>0</v>
      </c>
      <c r="J681" s="301">
        <f t="shared" si="288"/>
        <v>2.9176084758041223E-11</v>
      </c>
      <c r="K681" s="301">
        <f t="shared" si="276"/>
        <v>2.9176084758041223E-11</v>
      </c>
      <c r="L681" s="10">
        <f t="shared" si="277"/>
        <v>2.9176084758041223E-11</v>
      </c>
      <c r="M681" s="302"/>
      <c r="N681" s="435">
        <f t="shared" si="278"/>
        <v>0</v>
      </c>
      <c r="O681" s="436">
        <f t="shared" si="270"/>
        <v>0</v>
      </c>
      <c r="P681" s="436">
        <f t="shared" si="279"/>
        <v>0</v>
      </c>
      <c r="R681" s="354">
        <f>+Hirdetmény!$AA$46</f>
        <v>0.13400000000000001</v>
      </c>
      <c r="S681" s="301">
        <f t="shared" si="280"/>
        <v>0</v>
      </c>
      <c r="T681" s="301">
        <f t="shared" si="271"/>
        <v>0</v>
      </c>
      <c r="U681" s="301">
        <f t="shared" si="281"/>
        <v>0</v>
      </c>
      <c r="V681" s="301">
        <f t="shared" si="282"/>
        <v>0</v>
      </c>
      <c r="W681" s="301">
        <f t="shared" si="283"/>
        <v>0</v>
      </c>
      <c r="AA681" s="12">
        <f>+paraméterek!$B$346</f>
        <v>6.4600000000000005E-2</v>
      </c>
      <c r="AB681" s="301">
        <f t="shared" si="284"/>
        <v>0</v>
      </c>
      <c r="AC681" s="301">
        <f t="shared" si="272"/>
        <v>0</v>
      </c>
      <c r="AD681" s="301">
        <f t="shared" si="285"/>
        <v>0</v>
      </c>
      <c r="AE681" s="301">
        <f t="shared" si="286"/>
        <v>0</v>
      </c>
      <c r="AF681" s="477">
        <f t="shared" si="287"/>
        <v>0</v>
      </c>
    </row>
    <row r="682" spans="1:32" s="11" customFormat="1" hidden="1" x14ac:dyDescent="0.3">
      <c r="A682" s="775">
        <v>603</v>
      </c>
      <c r="B682" s="775">
        <f t="shared" si="273"/>
        <v>51</v>
      </c>
      <c r="C682" s="891">
        <f t="shared" si="289"/>
        <v>0.14489675614077413</v>
      </c>
      <c r="D682" s="891"/>
      <c r="E682" s="891">
        <f t="shared" si="289"/>
        <v>0.03</v>
      </c>
      <c r="F682" s="891">
        <f t="shared" si="267"/>
        <v>0.03</v>
      </c>
      <c r="G682" s="893">
        <f t="shared" si="275"/>
        <v>1.151056494563818E-8</v>
      </c>
      <c r="H682" s="436">
        <f t="shared" si="268"/>
        <v>0</v>
      </c>
      <c r="I682" s="302">
        <f t="shared" si="269"/>
        <v>0</v>
      </c>
      <c r="J682" s="301">
        <f t="shared" si="288"/>
        <v>2.9176084758041223E-11</v>
      </c>
      <c r="K682" s="301">
        <f t="shared" si="276"/>
        <v>2.9176084758041223E-11</v>
      </c>
      <c r="L682" s="10">
        <f t="shared" si="277"/>
        <v>2.9176084758041223E-11</v>
      </c>
      <c r="M682" s="302"/>
      <c r="N682" s="435">
        <f t="shared" si="278"/>
        <v>0</v>
      </c>
      <c r="O682" s="436">
        <f t="shared" si="270"/>
        <v>0</v>
      </c>
      <c r="P682" s="436">
        <f t="shared" si="279"/>
        <v>0</v>
      </c>
      <c r="R682" s="354">
        <f>+Hirdetmény!$AA$46</f>
        <v>0.13400000000000001</v>
      </c>
      <c r="S682" s="301">
        <f t="shared" si="280"/>
        <v>0</v>
      </c>
      <c r="T682" s="301">
        <f t="shared" si="271"/>
        <v>0</v>
      </c>
      <c r="U682" s="301">
        <f t="shared" si="281"/>
        <v>0</v>
      </c>
      <c r="V682" s="301">
        <f t="shared" si="282"/>
        <v>0</v>
      </c>
      <c r="W682" s="301">
        <f t="shared" si="283"/>
        <v>0</v>
      </c>
      <c r="AA682" s="12">
        <f>+paraméterek!$B$346</f>
        <v>6.4600000000000005E-2</v>
      </c>
      <c r="AB682" s="301">
        <f t="shared" si="284"/>
        <v>0</v>
      </c>
      <c r="AC682" s="301">
        <f t="shared" si="272"/>
        <v>0</v>
      </c>
      <c r="AD682" s="301">
        <f t="shared" si="285"/>
        <v>0</v>
      </c>
      <c r="AE682" s="301">
        <f t="shared" si="286"/>
        <v>0</v>
      </c>
      <c r="AF682" s="477">
        <f t="shared" si="287"/>
        <v>0</v>
      </c>
    </row>
    <row r="683" spans="1:32" s="11" customFormat="1" hidden="1" x14ac:dyDescent="0.3">
      <c r="A683" s="775">
        <v>604</v>
      </c>
      <c r="B683" s="775">
        <f t="shared" si="273"/>
        <v>51</v>
      </c>
      <c r="C683" s="891">
        <f t="shared" si="289"/>
        <v>0.14489675614077413</v>
      </c>
      <c r="D683" s="891"/>
      <c r="E683" s="891">
        <f t="shared" si="289"/>
        <v>0.03</v>
      </c>
      <c r="F683" s="891">
        <f t="shared" si="267"/>
        <v>0.03</v>
      </c>
      <c r="G683" s="893">
        <f t="shared" si="275"/>
        <v>1.151056494563818E-8</v>
      </c>
      <c r="H683" s="436">
        <f t="shared" si="268"/>
        <v>0</v>
      </c>
      <c r="I683" s="302">
        <f t="shared" si="269"/>
        <v>0</v>
      </c>
      <c r="J683" s="301">
        <f t="shared" si="288"/>
        <v>2.9176084758041223E-11</v>
      </c>
      <c r="K683" s="301">
        <f t="shared" si="276"/>
        <v>2.9176084758041223E-11</v>
      </c>
      <c r="L683" s="10">
        <f t="shared" si="277"/>
        <v>2.9176084758041223E-11</v>
      </c>
      <c r="M683" s="302"/>
      <c r="N683" s="435">
        <f t="shared" si="278"/>
        <v>0</v>
      </c>
      <c r="O683" s="436">
        <f t="shared" si="270"/>
        <v>0</v>
      </c>
      <c r="P683" s="436">
        <f t="shared" si="279"/>
        <v>0</v>
      </c>
      <c r="R683" s="354">
        <f>+Hirdetmény!$AA$46</f>
        <v>0.13400000000000001</v>
      </c>
      <c r="S683" s="301">
        <f t="shared" si="280"/>
        <v>0</v>
      </c>
      <c r="T683" s="301">
        <f t="shared" si="271"/>
        <v>0</v>
      </c>
      <c r="U683" s="301">
        <f t="shared" si="281"/>
        <v>0</v>
      </c>
      <c r="V683" s="301">
        <f t="shared" si="282"/>
        <v>0</v>
      </c>
      <c r="W683" s="301">
        <f t="shared" si="283"/>
        <v>0</v>
      </c>
      <c r="AA683" s="12">
        <f>+paraméterek!$B$346</f>
        <v>6.4600000000000005E-2</v>
      </c>
      <c r="AB683" s="301">
        <f t="shared" si="284"/>
        <v>0</v>
      </c>
      <c r="AC683" s="301">
        <f t="shared" si="272"/>
        <v>0</v>
      </c>
      <c r="AD683" s="301">
        <f t="shared" si="285"/>
        <v>0</v>
      </c>
      <c r="AE683" s="301">
        <f t="shared" si="286"/>
        <v>0</v>
      </c>
      <c r="AF683" s="477">
        <f t="shared" si="287"/>
        <v>0</v>
      </c>
    </row>
    <row r="684" spans="1:32" s="11" customFormat="1" hidden="1" x14ac:dyDescent="0.3">
      <c r="A684" s="775">
        <v>605</v>
      </c>
      <c r="B684" s="775">
        <f t="shared" si="273"/>
        <v>51</v>
      </c>
      <c r="C684" s="891">
        <f t="shared" si="289"/>
        <v>0.14489675614077413</v>
      </c>
      <c r="D684" s="891"/>
      <c r="E684" s="891">
        <f t="shared" si="289"/>
        <v>0.03</v>
      </c>
      <c r="F684" s="891">
        <f t="shared" si="267"/>
        <v>0.03</v>
      </c>
      <c r="G684" s="893">
        <f t="shared" si="275"/>
        <v>1.151056494563818E-8</v>
      </c>
      <c r="H684" s="436">
        <f t="shared" si="268"/>
        <v>0</v>
      </c>
      <c r="I684" s="302">
        <f t="shared" si="269"/>
        <v>0</v>
      </c>
      <c r="J684" s="301">
        <f t="shared" si="288"/>
        <v>2.9176084758041223E-11</v>
      </c>
      <c r="K684" s="301">
        <f t="shared" si="276"/>
        <v>2.9176084758041223E-11</v>
      </c>
      <c r="L684" s="10">
        <f t="shared" si="277"/>
        <v>2.9176084758041223E-11</v>
      </c>
      <c r="M684" s="302"/>
      <c r="N684" s="435">
        <f t="shared" si="278"/>
        <v>0</v>
      </c>
      <c r="O684" s="436">
        <f t="shared" si="270"/>
        <v>0</v>
      </c>
      <c r="P684" s="436">
        <f t="shared" si="279"/>
        <v>0</v>
      </c>
      <c r="R684" s="354">
        <f>+Hirdetmény!$AA$46</f>
        <v>0.13400000000000001</v>
      </c>
      <c r="S684" s="301">
        <f t="shared" si="280"/>
        <v>0</v>
      </c>
      <c r="T684" s="301">
        <f t="shared" si="271"/>
        <v>0</v>
      </c>
      <c r="U684" s="301">
        <f t="shared" si="281"/>
        <v>0</v>
      </c>
      <c r="V684" s="301">
        <f t="shared" si="282"/>
        <v>0</v>
      </c>
      <c r="W684" s="301">
        <f t="shared" si="283"/>
        <v>0</v>
      </c>
      <c r="AA684" s="12">
        <f>+paraméterek!$B$346</f>
        <v>6.4600000000000005E-2</v>
      </c>
      <c r="AB684" s="301">
        <f t="shared" si="284"/>
        <v>0</v>
      </c>
      <c r="AC684" s="301">
        <f t="shared" si="272"/>
        <v>0</v>
      </c>
      <c r="AD684" s="301">
        <f t="shared" si="285"/>
        <v>0</v>
      </c>
      <c r="AE684" s="301">
        <f t="shared" si="286"/>
        <v>0</v>
      </c>
      <c r="AF684" s="477">
        <f t="shared" si="287"/>
        <v>0</v>
      </c>
    </row>
    <row r="685" spans="1:32" s="11" customFormat="1" hidden="1" x14ac:dyDescent="0.3">
      <c r="A685" s="775">
        <v>606</v>
      </c>
      <c r="B685" s="775">
        <f t="shared" si="273"/>
        <v>51</v>
      </c>
      <c r="C685" s="891">
        <f t="shared" si="289"/>
        <v>0.14489675614077413</v>
      </c>
      <c r="D685" s="891"/>
      <c r="E685" s="891">
        <f t="shared" si="289"/>
        <v>0.03</v>
      </c>
      <c r="F685" s="891">
        <f t="shared" si="267"/>
        <v>0.03</v>
      </c>
      <c r="G685" s="893">
        <f t="shared" si="275"/>
        <v>1.151056494563818E-8</v>
      </c>
      <c r="H685" s="436">
        <f t="shared" si="268"/>
        <v>0</v>
      </c>
      <c r="I685" s="302">
        <f t="shared" si="269"/>
        <v>0</v>
      </c>
      <c r="J685" s="301">
        <f t="shared" si="288"/>
        <v>2.9176084758041223E-11</v>
      </c>
      <c r="K685" s="301">
        <f t="shared" si="276"/>
        <v>2.9176084758041223E-11</v>
      </c>
      <c r="L685" s="10">
        <f t="shared" si="277"/>
        <v>2.9176084758041223E-11</v>
      </c>
      <c r="M685" s="302"/>
      <c r="N685" s="435">
        <f t="shared" si="278"/>
        <v>0</v>
      </c>
      <c r="O685" s="436">
        <f t="shared" si="270"/>
        <v>0</v>
      </c>
      <c r="P685" s="436">
        <f t="shared" si="279"/>
        <v>0</v>
      </c>
      <c r="R685" s="354">
        <f>+Hirdetmény!$AA$46</f>
        <v>0.13400000000000001</v>
      </c>
      <c r="S685" s="301">
        <f t="shared" si="280"/>
        <v>0</v>
      </c>
      <c r="T685" s="301">
        <f t="shared" si="271"/>
        <v>0</v>
      </c>
      <c r="U685" s="301">
        <f t="shared" si="281"/>
        <v>0</v>
      </c>
      <c r="V685" s="301">
        <f t="shared" si="282"/>
        <v>0</v>
      </c>
      <c r="W685" s="301">
        <f t="shared" si="283"/>
        <v>0</v>
      </c>
      <c r="AA685" s="12">
        <f>+paraméterek!$B$346</f>
        <v>6.4600000000000005E-2</v>
      </c>
      <c r="AB685" s="301">
        <f t="shared" si="284"/>
        <v>0</v>
      </c>
      <c r="AC685" s="301">
        <f t="shared" si="272"/>
        <v>0</v>
      </c>
      <c r="AD685" s="301">
        <f t="shared" si="285"/>
        <v>0</v>
      </c>
      <c r="AE685" s="301">
        <f t="shared" si="286"/>
        <v>0</v>
      </c>
      <c r="AF685" s="477">
        <f t="shared" si="287"/>
        <v>0</v>
      </c>
    </row>
    <row r="686" spans="1:32" s="11" customFormat="1" hidden="1" x14ac:dyDescent="0.3">
      <c r="A686" s="775">
        <v>607</v>
      </c>
      <c r="B686" s="775">
        <f t="shared" si="273"/>
        <v>51</v>
      </c>
      <c r="C686" s="891">
        <f t="shared" si="289"/>
        <v>0.14489675614077413</v>
      </c>
      <c r="D686" s="891"/>
      <c r="E686" s="891">
        <f t="shared" si="289"/>
        <v>0.03</v>
      </c>
      <c r="F686" s="891">
        <f t="shared" si="267"/>
        <v>0.03</v>
      </c>
      <c r="G686" s="893">
        <f t="shared" si="275"/>
        <v>1.151056494563818E-8</v>
      </c>
      <c r="H686" s="436">
        <f t="shared" si="268"/>
        <v>0</v>
      </c>
      <c r="I686" s="302">
        <f t="shared" si="269"/>
        <v>0</v>
      </c>
      <c r="J686" s="301">
        <f t="shared" si="288"/>
        <v>2.9176084758041223E-11</v>
      </c>
      <c r="K686" s="301">
        <f t="shared" si="276"/>
        <v>2.9176084758041223E-11</v>
      </c>
      <c r="L686" s="10">
        <f t="shared" si="277"/>
        <v>2.9176084758041223E-11</v>
      </c>
      <c r="M686" s="302"/>
      <c r="N686" s="435">
        <f t="shared" si="278"/>
        <v>0</v>
      </c>
      <c r="O686" s="436">
        <f t="shared" si="270"/>
        <v>0</v>
      </c>
      <c r="P686" s="436">
        <f t="shared" si="279"/>
        <v>0</v>
      </c>
      <c r="R686" s="354">
        <f>+Hirdetmény!$AA$46</f>
        <v>0.13400000000000001</v>
      </c>
      <c r="S686" s="301">
        <f t="shared" si="280"/>
        <v>0</v>
      </c>
      <c r="T686" s="301">
        <f t="shared" si="271"/>
        <v>0</v>
      </c>
      <c r="U686" s="301">
        <f t="shared" si="281"/>
        <v>0</v>
      </c>
      <c r="V686" s="301">
        <f t="shared" si="282"/>
        <v>0</v>
      </c>
      <c r="W686" s="301">
        <f t="shared" si="283"/>
        <v>0</v>
      </c>
      <c r="AA686" s="12">
        <f>+paraméterek!$B$346</f>
        <v>6.4600000000000005E-2</v>
      </c>
      <c r="AB686" s="301">
        <f t="shared" si="284"/>
        <v>0</v>
      </c>
      <c r="AC686" s="301">
        <f t="shared" si="272"/>
        <v>0</v>
      </c>
      <c r="AD686" s="301">
        <f t="shared" si="285"/>
        <v>0</v>
      </c>
      <c r="AE686" s="301">
        <f t="shared" si="286"/>
        <v>0</v>
      </c>
      <c r="AF686" s="477">
        <f t="shared" si="287"/>
        <v>0</v>
      </c>
    </row>
    <row r="687" spans="1:32" s="11" customFormat="1" hidden="1" x14ac:dyDescent="0.3">
      <c r="A687" s="775">
        <v>608</v>
      </c>
      <c r="B687" s="775">
        <f t="shared" si="273"/>
        <v>51</v>
      </c>
      <c r="C687" s="891">
        <f t="shared" si="289"/>
        <v>0.14489675614077413</v>
      </c>
      <c r="D687" s="891"/>
      <c r="E687" s="891">
        <f t="shared" si="289"/>
        <v>0.03</v>
      </c>
      <c r="F687" s="891">
        <f t="shared" si="267"/>
        <v>0.03</v>
      </c>
      <c r="G687" s="893">
        <f t="shared" si="275"/>
        <v>1.151056494563818E-8</v>
      </c>
      <c r="H687" s="436">
        <f t="shared" si="268"/>
        <v>0</v>
      </c>
      <c r="I687" s="302">
        <f t="shared" si="269"/>
        <v>0</v>
      </c>
      <c r="J687" s="301">
        <f t="shared" si="288"/>
        <v>2.9176084758041223E-11</v>
      </c>
      <c r="K687" s="301">
        <f t="shared" si="276"/>
        <v>2.9176084758041223E-11</v>
      </c>
      <c r="L687" s="10">
        <f t="shared" si="277"/>
        <v>2.9176084758041223E-11</v>
      </c>
      <c r="M687" s="302"/>
      <c r="N687" s="435">
        <f t="shared" si="278"/>
        <v>0</v>
      </c>
      <c r="O687" s="436">
        <f t="shared" si="270"/>
        <v>0</v>
      </c>
      <c r="P687" s="436">
        <f t="shared" si="279"/>
        <v>0</v>
      </c>
      <c r="R687" s="354">
        <f>+Hirdetmény!$AA$46</f>
        <v>0.13400000000000001</v>
      </c>
      <c r="S687" s="301">
        <f t="shared" si="280"/>
        <v>0</v>
      </c>
      <c r="T687" s="301">
        <f t="shared" si="271"/>
        <v>0</v>
      </c>
      <c r="U687" s="301">
        <f t="shared" si="281"/>
        <v>0</v>
      </c>
      <c r="V687" s="301">
        <f t="shared" si="282"/>
        <v>0</v>
      </c>
      <c r="W687" s="301">
        <f t="shared" si="283"/>
        <v>0</v>
      </c>
      <c r="AA687" s="12">
        <f>+paraméterek!$B$346</f>
        <v>6.4600000000000005E-2</v>
      </c>
      <c r="AB687" s="301">
        <f t="shared" si="284"/>
        <v>0</v>
      </c>
      <c r="AC687" s="301">
        <f t="shared" si="272"/>
        <v>0</v>
      </c>
      <c r="AD687" s="301">
        <f t="shared" si="285"/>
        <v>0</v>
      </c>
      <c r="AE687" s="301">
        <f t="shared" si="286"/>
        <v>0</v>
      </c>
      <c r="AF687" s="477">
        <f t="shared" si="287"/>
        <v>0</v>
      </c>
    </row>
    <row r="688" spans="1:32" s="11" customFormat="1" hidden="1" x14ac:dyDescent="0.3">
      <c r="A688" s="775">
        <v>609</v>
      </c>
      <c r="B688" s="775">
        <f t="shared" si="273"/>
        <v>51</v>
      </c>
      <c r="C688" s="891">
        <f t="shared" si="289"/>
        <v>0.14489675614077413</v>
      </c>
      <c r="D688" s="891"/>
      <c r="E688" s="891">
        <f t="shared" si="289"/>
        <v>0.03</v>
      </c>
      <c r="F688" s="891">
        <f t="shared" si="267"/>
        <v>0.03</v>
      </c>
      <c r="G688" s="893">
        <f t="shared" si="275"/>
        <v>1.151056494563818E-8</v>
      </c>
      <c r="H688" s="436">
        <f t="shared" si="268"/>
        <v>0</v>
      </c>
      <c r="I688" s="302">
        <f t="shared" si="269"/>
        <v>0</v>
      </c>
      <c r="J688" s="301">
        <f t="shared" si="288"/>
        <v>2.9176084758041223E-11</v>
      </c>
      <c r="K688" s="301">
        <f t="shared" si="276"/>
        <v>2.9176084758041223E-11</v>
      </c>
      <c r="L688" s="10">
        <f t="shared" si="277"/>
        <v>2.9176084758041223E-11</v>
      </c>
      <c r="M688" s="302"/>
      <c r="N688" s="435">
        <f t="shared" si="278"/>
        <v>0</v>
      </c>
      <c r="O688" s="436">
        <f t="shared" si="270"/>
        <v>0</v>
      </c>
      <c r="P688" s="436">
        <f t="shared" si="279"/>
        <v>0</v>
      </c>
      <c r="R688" s="354">
        <f>+Hirdetmény!$AA$46</f>
        <v>0.13400000000000001</v>
      </c>
      <c r="S688" s="301">
        <f t="shared" si="280"/>
        <v>0</v>
      </c>
      <c r="T688" s="301">
        <f t="shared" si="271"/>
        <v>0</v>
      </c>
      <c r="U688" s="301">
        <f t="shared" si="281"/>
        <v>0</v>
      </c>
      <c r="V688" s="301">
        <f t="shared" si="282"/>
        <v>0</v>
      </c>
      <c r="W688" s="301">
        <f t="shared" si="283"/>
        <v>0</v>
      </c>
      <c r="AA688" s="12">
        <f>+paraméterek!$B$346</f>
        <v>6.4600000000000005E-2</v>
      </c>
      <c r="AB688" s="301">
        <f t="shared" si="284"/>
        <v>0</v>
      </c>
      <c r="AC688" s="301">
        <f t="shared" si="272"/>
        <v>0</v>
      </c>
      <c r="AD688" s="301">
        <f t="shared" si="285"/>
        <v>0</v>
      </c>
      <c r="AE688" s="301">
        <f t="shared" si="286"/>
        <v>0</v>
      </c>
      <c r="AF688" s="477">
        <f t="shared" si="287"/>
        <v>0</v>
      </c>
    </row>
    <row r="689" spans="1:32" s="11" customFormat="1" hidden="1" x14ac:dyDescent="0.3">
      <c r="A689" s="775">
        <v>610</v>
      </c>
      <c r="B689" s="775">
        <f t="shared" si="273"/>
        <v>51</v>
      </c>
      <c r="C689" s="891">
        <f t="shared" ref="C689:E704" si="290">+C688</f>
        <v>0.14489675614077413</v>
      </c>
      <c r="D689" s="891"/>
      <c r="E689" s="891">
        <f t="shared" si="290"/>
        <v>0.03</v>
      </c>
      <c r="F689" s="891">
        <f t="shared" si="267"/>
        <v>0.03</v>
      </c>
      <c r="G689" s="893">
        <f t="shared" si="275"/>
        <v>1.151056494563818E-8</v>
      </c>
      <c r="H689" s="436">
        <f t="shared" si="268"/>
        <v>0</v>
      </c>
      <c r="I689" s="302">
        <f t="shared" si="269"/>
        <v>0</v>
      </c>
      <c r="J689" s="301">
        <f t="shared" si="288"/>
        <v>2.9176084758041223E-11</v>
      </c>
      <c r="K689" s="301">
        <f t="shared" si="276"/>
        <v>2.9176084758041223E-11</v>
      </c>
      <c r="L689" s="10">
        <f t="shared" si="277"/>
        <v>2.9176084758041223E-11</v>
      </c>
      <c r="M689" s="302"/>
      <c r="N689" s="435">
        <f t="shared" si="278"/>
        <v>0</v>
      </c>
      <c r="O689" s="436">
        <f t="shared" si="270"/>
        <v>0</v>
      </c>
      <c r="P689" s="436">
        <f t="shared" si="279"/>
        <v>0</v>
      </c>
      <c r="R689" s="354">
        <f>+Hirdetmény!$AA$46</f>
        <v>0.13400000000000001</v>
      </c>
      <c r="S689" s="301">
        <f t="shared" si="280"/>
        <v>0</v>
      </c>
      <c r="T689" s="301">
        <f t="shared" si="271"/>
        <v>0</v>
      </c>
      <c r="U689" s="301">
        <f t="shared" si="281"/>
        <v>0</v>
      </c>
      <c r="V689" s="301">
        <f t="shared" si="282"/>
        <v>0</v>
      </c>
      <c r="W689" s="301">
        <f t="shared" si="283"/>
        <v>0</v>
      </c>
      <c r="AA689" s="12">
        <f>+paraméterek!$B$346</f>
        <v>6.4600000000000005E-2</v>
      </c>
      <c r="AB689" s="301">
        <f t="shared" si="284"/>
        <v>0</v>
      </c>
      <c r="AC689" s="301">
        <f t="shared" si="272"/>
        <v>0</v>
      </c>
      <c r="AD689" s="301">
        <f t="shared" si="285"/>
        <v>0</v>
      </c>
      <c r="AE689" s="301">
        <f t="shared" si="286"/>
        <v>0</v>
      </c>
      <c r="AF689" s="477">
        <f t="shared" si="287"/>
        <v>0</v>
      </c>
    </row>
    <row r="690" spans="1:32" s="11" customFormat="1" hidden="1" x14ac:dyDescent="0.3">
      <c r="A690" s="775">
        <v>611</v>
      </c>
      <c r="B690" s="775">
        <f t="shared" si="273"/>
        <v>51</v>
      </c>
      <c r="C690" s="891">
        <f t="shared" si="290"/>
        <v>0.14489675614077413</v>
      </c>
      <c r="D690" s="891"/>
      <c r="E690" s="891">
        <f t="shared" si="290"/>
        <v>0.03</v>
      </c>
      <c r="F690" s="891">
        <f t="shared" si="267"/>
        <v>0.03</v>
      </c>
      <c r="G690" s="893">
        <f t="shared" si="275"/>
        <v>1.151056494563818E-8</v>
      </c>
      <c r="H690" s="436">
        <f t="shared" si="268"/>
        <v>0</v>
      </c>
      <c r="I690" s="302">
        <f t="shared" si="269"/>
        <v>0</v>
      </c>
      <c r="J690" s="301">
        <f t="shared" si="288"/>
        <v>2.9176084758041223E-11</v>
      </c>
      <c r="K690" s="301">
        <f t="shared" si="276"/>
        <v>2.9176084758041223E-11</v>
      </c>
      <c r="L690" s="10">
        <f t="shared" si="277"/>
        <v>2.9176084758041223E-11</v>
      </c>
      <c r="M690" s="302"/>
      <c r="N690" s="435">
        <f t="shared" si="278"/>
        <v>0</v>
      </c>
      <c r="O690" s="436">
        <f t="shared" si="270"/>
        <v>0</v>
      </c>
      <c r="P690" s="436">
        <f t="shared" si="279"/>
        <v>0</v>
      </c>
      <c r="R690" s="354">
        <f>+Hirdetmény!$AA$46</f>
        <v>0.13400000000000001</v>
      </c>
      <c r="S690" s="301">
        <f t="shared" si="280"/>
        <v>0</v>
      </c>
      <c r="T690" s="301">
        <f t="shared" si="271"/>
        <v>0</v>
      </c>
      <c r="U690" s="301">
        <f t="shared" si="281"/>
        <v>0</v>
      </c>
      <c r="V690" s="301">
        <f t="shared" si="282"/>
        <v>0</v>
      </c>
      <c r="W690" s="301">
        <f t="shared" si="283"/>
        <v>0</v>
      </c>
      <c r="AA690" s="12">
        <f>+paraméterek!$B$346</f>
        <v>6.4600000000000005E-2</v>
      </c>
      <c r="AB690" s="301">
        <f t="shared" si="284"/>
        <v>0</v>
      </c>
      <c r="AC690" s="301">
        <f t="shared" si="272"/>
        <v>0</v>
      </c>
      <c r="AD690" s="301">
        <f t="shared" si="285"/>
        <v>0</v>
      </c>
      <c r="AE690" s="301">
        <f t="shared" si="286"/>
        <v>0</v>
      </c>
      <c r="AF690" s="477">
        <f t="shared" si="287"/>
        <v>0</v>
      </c>
    </row>
    <row r="691" spans="1:32" s="11" customFormat="1" hidden="1" x14ac:dyDescent="0.3">
      <c r="A691" s="775">
        <v>612</v>
      </c>
      <c r="B691" s="775">
        <f t="shared" si="273"/>
        <v>51</v>
      </c>
      <c r="C691" s="891">
        <f t="shared" si="290"/>
        <v>0.14489675614077413</v>
      </c>
      <c r="D691" s="891"/>
      <c r="E691" s="891">
        <f t="shared" si="290"/>
        <v>0.03</v>
      </c>
      <c r="F691" s="891">
        <f t="shared" si="267"/>
        <v>0.03</v>
      </c>
      <c r="G691" s="893">
        <f t="shared" si="275"/>
        <v>1.151056494563818E-8</v>
      </c>
      <c r="H691" s="436">
        <f t="shared" si="268"/>
        <v>0</v>
      </c>
      <c r="I691" s="302">
        <f t="shared" si="269"/>
        <v>0</v>
      </c>
      <c r="J691" s="301">
        <f t="shared" si="288"/>
        <v>2.9176084758041223E-11</v>
      </c>
      <c r="K691" s="301">
        <f t="shared" si="276"/>
        <v>2.9176084758041223E-11</v>
      </c>
      <c r="L691" s="10">
        <f t="shared" si="277"/>
        <v>2.9176084758041223E-11</v>
      </c>
      <c r="M691" s="302"/>
      <c r="N691" s="435">
        <f t="shared" si="278"/>
        <v>0</v>
      </c>
      <c r="O691" s="436">
        <f t="shared" si="270"/>
        <v>0</v>
      </c>
      <c r="P691" s="436">
        <f t="shared" si="279"/>
        <v>0</v>
      </c>
      <c r="R691" s="354">
        <f>+Hirdetmény!$AA$46</f>
        <v>0.13400000000000001</v>
      </c>
      <c r="S691" s="301">
        <f t="shared" si="280"/>
        <v>0</v>
      </c>
      <c r="T691" s="301">
        <f t="shared" si="271"/>
        <v>0</v>
      </c>
      <c r="U691" s="301">
        <f t="shared" si="281"/>
        <v>0</v>
      </c>
      <c r="V691" s="301">
        <f t="shared" si="282"/>
        <v>0</v>
      </c>
      <c r="W691" s="301">
        <f t="shared" si="283"/>
        <v>0</v>
      </c>
      <c r="AA691" s="12">
        <f>+paraméterek!$B$346</f>
        <v>6.4600000000000005E-2</v>
      </c>
      <c r="AB691" s="301">
        <f t="shared" si="284"/>
        <v>0</v>
      </c>
      <c r="AC691" s="301">
        <f t="shared" si="272"/>
        <v>0</v>
      </c>
      <c r="AD691" s="301">
        <f t="shared" si="285"/>
        <v>0</v>
      </c>
      <c r="AE691" s="301">
        <f t="shared" si="286"/>
        <v>0</v>
      </c>
      <c r="AF691" s="477">
        <f t="shared" si="287"/>
        <v>0</v>
      </c>
    </row>
    <row r="692" spans="1:32" s="11" customFormat="1" hidden="1" x14ac:dyDescent="0.3">
      <c r="A692" s="775">
        <v>613</v>
      </c>
      <c r="B692" s="775">
        <f t="shared" si="273"/>
        <v>52</v>
      </c>
      <c r="C692" s="891">
        <f t="shared" si="290"/>
        <v>0.14489675614077413</v>
      </c>
      <c r="D692" s="891"/>
      <c r="E692" s="891">
        <f t="shared" si="290"/>
        <v>0.03</v>
      </c>
      <c r="F692" s="891">
        <f t="shared" si="267"/>
        <v>0.03</v>
      </c>
      <c r="G692" s="893">
        <f t="shared" si="275"/>
        <v>1.151056494563818E-8</v>
      </c>
      <c r="H692" s="436">
        <f t="shared" si="268"/>
        <v>0</v>
      </c>
      <c r="I692" s="302">
        <f t="shared" si="269"/>
        <v>0</v>
      </c>
      <c r="J692" s="301">
        <f t="shared" si="288"/>
        <v>2.9176084758041223E-11</v>
      </c>
      <c r="K692" s="301">
        <f t="shared" si="276"/>
        <v>2.9176084758041223E-11</v>
      </c>
      <c r="L692" s="10">
        <f t="shared" si="277"/>
        <v>2.9176084758041223E-11</v>
      </c>
      <c r="M692" s="302"/>
      <c r="N692" s="435">
        <f t="shared" si="278"/>
        <v>0</v>
      </c>
      <c r="O692" s="436">
        <f t="shared" si="270"/>
        <v>0</v>
      </c>
      <c r="P692" s="436">
        <f t="shared" si="279"/>
        <v>0</v>
      </c>
      <c r="R692" s="354">
        <f>+Hirdetmény!$AA$46</f>
        <v>0.13400000000000001</v>
      </c>
      <c r="S692" s="301">
        <f t="shared" si="280"/>
        <v>0</v>
      </c>
      <c r="T692" s="301">
        <f t="shared" si="271"/>
        <v>0</v>
      </c>
      <c r="U692" s="301">
        <f t="shared" si="281"/>
        <v>0</v>
      </c>
      <c r="V692" s="301">
        <f t="shared" si="282"/>
        <v>0</v>
      </c>
      <c r="W692" s="301">
        <f t="shared" si="283"/>
        <v>0</v>
      </c>
      <c r="AA692" s="12">
        <f>+paraméterek!$B$346</f>
        <v>6.4600000000000005E-2</v>
      </c>
      <c r="AB692" s="301">
        <f t="shared" si="284"/>
        <v>0</v>
      </c>
      <c r="AC692" s="301">
        <f t="shared" si="272"/>
        <v>0</v>
      </c>
      <c r="AD692" s="301">
        <f t="shared" si="285"/>
        <v>0</v>
      </c>
      <c r="AE692" s="301">
        <f t="shared" si="286"/>
        <v>0</v>
      </c>
      <c r="AF692" s="477">
        <f t="shared" si="287"/>
        <v>0</v>
      </c>
    </row>
    <row r="693" spans="1:32" s="11" customFormat="1" hidden="1" x14ac:dyDescent="0.3">
      <c r="A693" s="775">
        <v>614</v>
      </c>
      <c r="B693" s="775">
        <f t="shared" si="273"/>
        <v>52</v>
      </c>
      <c r="C693" s="891">
        <f t="shared" si="290"/>
        <v>0.14489675614077413</v>
      </c>
      <c r="D693" s="891"/>
      <c r="E693" s="891">
        <f t="shared" si="290"/>
        <v>0.03</v>
      </c>
      <c r="F693" s="891">
        <f t="shared" si="267"/>
        <v>0.03</v>
      </c>
      <c r="G693" s="893">
        <f t="shared" si="275"/>
        <v>1.151056494563818E-8</v>
      </c>
      <c r="H693" s="436">
        <f t="shared" si="268"/>
        <v>0</v>
      </c>
      <c r="I693" s="302">
        <f t="shared" si="269"/>
        <v>0</v>
      </c>
      <c r="J693" s="301">
        <f t="shared" si="288"/>
        <v>2.9176084758041223E-11</v>
      </c>
      <c r="K693" s="301">
        <f t="shared" si="276"/>
        <v>2.9176084758041223E-11</v>
      </c>
      <c r="L693" s="10">
        <f t="shared" si="277"/>
        <v>2.9176084758041223E-11</v>
      </c>
      <c r="M693" s="302"/>
      <c r="N693" s="435">
        <f t="shared" si="278"/>
        <v>0</v>
      </c>
      <c r="O693" s="436">
        <f t="shared" si="270"/>
        <v>0</v>
      </c>
      <c r="P693" s="436">
        <f t="shared" si="279"/>
        <v>0</v>
      </c>
      <c r="R693" s="354">
        <f>+Hirdetmény!$AA$46</f>
        <v>0.13400000000000001</v>
      </c>
      <c r="S693" s="301">
        <f t="shared" si="280"/>
        <v>0</v>
      </c>
      <c r="T693" s="301">
        <f t="shared" si="271"/>
        <v>0</v>
      </c>
      <c r="U693" s="301">
        <f t="shared" si="281"/>
        <v>0</v>
      </c>
      <c r="V693" s="301">
        <f t="shared" si="282"/>
        <v>0</v>
      </c>
      <c r="W693" s="301">
        <f t="shared" si="283"/>
        <v>0</v>
      </c>
      <c r="AA693" s="12">
        <f>+paraméterek!$B$346</f>
        <v>6.4600000000000005E-2</v>
      </c>
      <c r="AB693" s="301">
        <f t="shared" si="284"/>
        <v>0</v>
      </c>
      <c r="AC693" s="301">
        <f t="shared" si="272"/>
        <v>0</v>
      </c>
      <c r="AD693" s="301">
        <f t="shared" si="285"/>
        <v>0</v>
      </c>
      <c r="AE693" s="301">
        <f t="shared" si="286"/>
        <v>0</v>
      </c>
      <c r="AF693" s="477">
        <f t="shared" si="287"/>
        <v>0</v>
      </c>
    </row>
    <row r="694" spans="1:32" s="11" customFormat="1" hidden="1" x14ac:dyDescent="0.3">
      <c r="A694" s="775">
        <v>615</v>
      </c>
      <c r="B694" s="775">
        <f t="shared" si="273"/>
        <v>52</v>
      </c>
      <c r="C694" s="891">
        <f t="shared" si="290"/>
        <v>0.14489675614077413</v>
      </c>
      <c r="D694" s="891"/>
      <c r="E694" s="891">
        <f t="shared" si="290"/>
        <v>0.03</v>
      </c>
      <c r="F694" s="891">
        <f t="shared" si="267"/>
        <v>0.03</v>
      </c>
      <c r="G694" s="893">
        <f t="shared" si="275"/>
        <v>1.151056494563818E-8</v>
      </c>
      <c r="H694" s="436">
        <f t="shared" si="268"/>
        <v>0</v>
      </c>
      <c r="I694" s="302">
        <f t="shared" si="269"/>
        <v>0</v>
      </c>
      <c r="J694" s="301">
        <f t="shared" si="288"/>
        <v>2.9176084758041223E-11</v>
      </c>
      <c r="K694" s="301">
        <f t="shared" si="276"/>
        <v>2.9176084758041223E-11</v>
      </c>
      <c r="L694" s="10">
        <f t="shared" si="277"/>
        <v>2.9176084758041223E-11</v>
      </c>
      <c r="M694" s="302"/>
      <c r="N694" s="435">
        <f t="shared" si="278"/>
        <v>0</v>
      </c>
      <c r="O694" s="436">
        <f t="shared" si="270"/>
        <v>0</v>
      </c>
      <c r="P694" s="436">
        <f t="shared" si="279"/>
        <v>0</v>
      </c>
      <c r="R694" s="354">
        <f>+Hirdetmény!$AA$46</f>
        <v>0.13400000000000001</v>
      </c>
      <c r="S694" s="301">
        <f t="shared" si="280"/>
        <v>0</v>
      </c>
      <c r="T694" s="301">
        <f t="shared" si="271"/>
        <v>0</v>
      </c>
      <c r="U694" s="301">
        <f t="shared" si="281"/>
        <v>0</v>
      </c>
      <c r="V694" s="301">
        <f t="shared" si="282"/>
        <v>0</v>
      </c>
      <c r="W694" s="301">
        <f t="shared" si="283"/>
        <v>0</v>
      </c>
      <c r="AA694" s="12">
        <f>+paraméterek!$B$346</f>
        <v>6.4600000000000005E-2</v>
      </c>
      <c r="AB694" s="301">
        <f t="shared" si="284"/>
        <v>0</v>
      </c>
      <c r="AC694" s="301">
        <f t="shared" si="272"/>
        <v>0</v>
      </c>
      <c r="AD694" s="301">
        <f t="shared" si="285"/>
        <v>0</v>
      </c>
      <c r="AE694" s="301">
        <f t="shared" si="286"/>
        <v>0</v>
      </c>
      <c r="AF694" s="477">
        <f t="shared" si="287"/>
        <v>0</v>
      </c>
    </row>
    <row r="695" spans="1:32" s="11" customFormat="1" hidden="1" x14ac:dyDescent="0.3">
      <c r="A695" s="775">
        <v>616</v>
      </c>
      <c r="B695" s="775">
        <f t="shared" si="273"/>
        <v>52</v>
      </c>
      <c r="C695" s="891">
        <f t="shared" si="290"/>
        <v>0.14489675614077413</v>
      </c>
      <c r="D695" s="891"/>
      <c r="E695" s="891">
        <f t="shared" si="290"/>
        <v>0.03</v>
      </c>
      <c r="F695" s="891">
        <f t="shared" si="267"/>
        <v>0.03</v>
      </c>
      <c r="G695" s="893">
        <f t="shared" si="275"/>
        <v>1.151056494563818E-8</v>
      </c>
      <c r="H695" s="436">
        <f t="shared" si="268"/>
        <v>0</v>
      </c>
      <c r="I695" s="302">
        <f t="shared" si="269"/>
        <v>0</v>
      </c>
      <c r="J695" s="301">
        <f t="shared" si="288"/>
        <v>2.9176084758041223E-11</v>
      </c>
      <c r="K695" s="301">
        <f t="shared" si="276"/>
        <v>2.9176084758041223E-11</v>
      </c>
      <c r="L695" s="10">
        <f t="shared" si="277"/>
        <v>2.9176084758041223E-11</v>
      </c>
      <c r="M695" s="302"/>
      <c r="N695" s="435">
        <f t="shared" si="278"/>
        <v>0</v>
      </c>
      <c r="O695" s="436">
        <f t="shared" si="270"/>
        <v>0</v>
      </c>
      <c r="P695" s="436">
        <f t="shared" si="279"/>
        <v>0</v>
      </c>
      <c r="R695" s="354">
        <f>+Hirdetmény!$AA$46</f>
        <v>0.13400000000000001</v>
      </c>
      <c r="S695" s="301">
        <f t="shared" si="280"/>
        <v>0</v>
      </c>
      <c r="T695" s="301">
        <f t="shared" si="271"/>
        <v>0</v>
      </c>
      <c r="U695" s="301">
        <f t="shared" si="281"/>
        <v>0</v>
      </c>
      <c r="V695" s="301">
        <f t="shared" si="282"/>
        <v>0</v>
      </c>
      <c r="W695" s="301">
        <f t="shared" si="283"/>
        <v>0</v>
      </c>
      <c r="AA695" s="12">
        <f>+paraméterek!$B$346</f>
        <v>6.4600000000000005E-2</v>
      </c>
      <c r="AB695" s="301">
        <f t="shared" si="284"/>
        <v>0</v>
      </c>
      <c r="AC695" s="301">
        <f t="shared" si="272"/>
        <v>0</v>
      </c>
      <c r="AD695" s="301">
        <f t="shared" si="285"/>
        <v>0</v>
      </c>
      <c r="AE695" s="301">
        <f t="shared" si="286"/>
        <v>0</v>
      </c>
      <c r="AF695" s="477">
        <f t="shared" si="287"/>
        <v>0</v>
      </c>
    </row>
    <row r="696" spans="1:32" s="11" customFormat="1" hidden="1" x14ac:dyDescent="0.3">
      <c r="A696" s="775">
        <v>617</v>
      </c>
      <c r="B696" s="775">
        <f t="shared" si="273"/>
        <v>52</v>
      </c>
      <c r="C696" s="891">
        <f t="shared" si="290"/>
        <v>0.14489675614077413</v>
      </c>
      <c r="D696" s="891"/>
      <c r="E696" s="891">
        <f t="shared" si="290"/>
        <v>0.03</v>
      </c>
      <c r="F696" s="891">
        <f t="shared" si="267"/>
        <v>0.03</v>
      </c>
      <c r="G696" s="893">
        <f t="shared" si="275"/>
        <v>1.151056494563818E-8</v>
      </c>
      <c r="H696" s="436">
        <f t="shared" si="268"/>
        <v>0</v>
      </c>
      <c r="I696" s="302">
        <f t="shared" si="269"/>
        <v>0</v>
      </c>
      <c r="J696" s="301">
        <f t="shared" si="288"/>
        <v>2.9176084758041223E-11</v>
      </c>
      <c r="K696" s="301">
        <f t="shared" si="276"/>
        <v>2.9176084758041223E-11</v>
      </c>
      <c r="L696" s="10">
        <f t="shared" si="277"/>
        <v>2.9176084758041223E-11</v>
      </c>
      <c r="M696" s="302"/>
      <c r="N696" s="435">
        <f t="shared" si="278"/>
        <v>0</v>
      </c>
      <c r="O696" s="436">
        <f t="shared" si="270"/>
        <v>0</v>
      </c>
      <c r="P696" s="436">
        <f t="shared" si="279"/>
        <v>0</v>
      </c>
      <c r="R696" s="354">
        <f>+Hirdetmény!$AA$46</f>
        <v>0.13400000000000001</v>
      </c>
      <c r="S696" s="301">
        <f t="shared" si="280"/>
        <v>0</v>
      </c>
      <c r="T696" s="301">
        <f t="shared" si="271"/>
        <v>0</v>
      </c>
      <c r="U696" s="301">
        <f t="shared" si="281"/>
        <v>0</v>
      </c>
      <c r="V696" s="301">
        <f t="shared" si="282"/>
        <v>0</v>
      </c>
      <c r="W696" s="301">
        <f t="shared" si="283"/>
        <v>0</v>
      </c>
      <c r="AA696" s="12">
        <f>+paraméterek!$B$346</f>
        <v>6.4600000000000005E-2</v>
      </c>
      <c r="AB696" s="301">
        <f t="shared" si="284"/>
        <v>0</v>
      </c>
      <c r="AC696" s="301">
        <f t="shared" si="272"/>
        <v>0</v>
      </c>
      <c r="AD696" s="301">
        <f t="shared" si="285"/>
        <v>0</v>
      </c>
      <c r="AE696" s="301">
        <f t="shared" si="286"/>
        <v>0</v>
      </c>
      <c r="AF696" s="477">
        <f t="shared" si="287"/>
        <v>0</v>
      </c>
    </row>
    <row r="697" spans="1:32" s="11" customFormat="1" hidden="1" x14ac:dyDescent="0.3">
      <c r="A697" s="775">
        <v>618</v>
      </c>
      <c r="B697" s="775">
        <f t="shared" si="273"/>
        <v>52</v>
      </c>
      <c r="C697" s="891">
        <f t="shared" si="290"/>
        <v>0.14489675614077413</v>
      </c>
      <c r="D697" s="891"/>
      <c r="E697" s="891">
        <f t="shared" si="290"/>
        <v>0.03</v>
      </c>
      <c r="F697" s="891">
        <f t="shared" si="267"/>
        <v>0.03</v>
      </c>
      <c r="G697" s="893">
        <f t="shared" si="275"/>
        <v>1.151056494563818E-8</v>
      </c>
      <c r="H697" s="436">
        <f t="shared" si="268"/>
        <v>0</v>
      </c>
      <c r="I697" s="302">
        <f t="shared" si="269"/>
        <v>0</v>
      </c>
      <c r="J697" s="301">
        <f t="shared" si="288"/>
        <v>2.9176084758041223E-11</v>
      </c>
      <c r="K697" s="301">
        <f t="shared" si="276"/>
        <v>2.9176084758041223E-11</v>
      </c>
      <c r="L697" s="10">
        <f t="shared" si="277"/>
        <v>2.9176084758041223E-11</v>
      </c>
      <c r="M697" s="302"/>
      <c r="N697" s="435">
        <f t="shared" si="278"/>
        <v>0</v>
      </c>
      <c r="O697" s="436">
        <f t="shared" si="270"/>
        <v>0</v>
      </c>
      <c r="P697" s="436">
        <f t="shared" si="279"/>
        <v>0</v>
      </c>
      <c r="R697" s="354">
        <f>+Hirdetmény!$AA$46</f>
        <v>0.13400000000000001</v>
      </c>
      <c r="S697" s="301">
        <f t="shared" si="280"/>
        <v>0</v>
      </c>
      <c r="T697" s="301">
        <f t="shared" si="271"/>
        <v>0</v>
      </c>
      <c r="U697" s="301">
        <f t="shared" si="281"/>
        <v>0</v>
      </c>
      <c r="V697" s="301">
        <f t="shared" si="282"/>
        <v>0</v>
      </c>
      <c r="W697" s="301">
        <f t="shared" si="283"/>
        <v>0</v>
      </c>
      <c r="AA697" s="12">
        <f>+paraméterek!$B$346</f>
        <v>6.4600000000000005E-2</v>
      </c>
      <c r="AB697" s="301">
        <f t="shared" si="284"/>
        <v>0</v>
      </c>
      <c r="AC697" s="301">
        <f t="shared" si="272"/>
        <v>0</v>
      </c>
      <c r="AD697" s="301">
        <f t="shared" si="285"/>
        <v>0</v>
      </c>
      <c r="AE697" s="301">
        <f t="shared" si="286"/>
        <v>0</v>
      </c>
      <c r="AF697" s="477">
        <f t="shared" si="287"/>
        <v>0</v>
      </c>
    </row>
    <row r="698" spans="1:32" s="11" customFormat="1" hidden="1" x14ac:dyDescent="0.3">
      <c r="A698" s="775">
        <v>619</v>
      </c>
      <c r="B698" s="775">
        <f t="shared" si="273"/>
        <v>52</v>
      </c>
      <c r="C698" s="891">
        <f t="shared" si="290"/>
        <v>0.14489675614077413</v>
      </c>
      <c r="D698" s="891"/>
      <c r="E698" s="891">
        <f t="shared" si="290"/>
        <v>0.03</v>
      </c>
      <c r="F698" s="891">
        <f t="shared" si="267"/>
        <v>0.03</v>
      </c>
      <c r="G698" s="893">
        <f t="shared" si="275"/>
        <v>1.151056494563818E-8</v>
      </c>
      <c r="H698" s="436">
        <f t="shared" si="268"/>
        <v>0</v>
      </c>
      <c r="I698" s="302">
        <f t="shared" si="269"/>
        <v>0</v>
      </c>
      <c r="J698" s="301">
        <f t="shared" si="288"/>
        <v>2.9176084758041223E-11</v>
      </c>
      <c r="K698" s="301">
        <f t="shared" si="276"/>
        <v>2.9176084758041223E-11</v>
      </c>
      <c r="L698" s="10">
        <f t="shared" si="277"/>
        <v>2.9176084758041223E-11</v>
      </c>
      <c r="M698" s="302"/>
      <c r="N698" s="435">
        <f t="shared" si="278"/>
        <v>0</v>
      </c>
      <c r="O698" s="436">
        <f t="shared" si="270"/>
        <v>0</v>
      </c>
      <c r="P698" s="436">
        <f t="shared" si="279"/>
        <v>0</v>
      </c>
      <c r="R698" s="354">
        <f>+Hirdetmény!$AA$46</f>
        <v>0.13400000000000001</v>
      </c>
      <c r="S698" s="301">
        <f t="shared" si="280"/>
        <v>0</v>
      </c>
      <c r="T698" s="301">
        <f t="shared" si="271"/>
        <v>0</v>
      </c>
      <c r="U698" s="301">
        <f t="shared" si="281"/>
        <v>0</v>
      </c>
      <c r="V698" s="301">
        <f t="shared" si="282"/>
        <v>0</v>
      </c>
      <c r="W698" s="301">
        <f t="shared" si="283"/>
        <v>0</v>
      </c>
      <c r="AA698" s="12">
        <f>+paraméterek!$B$346</f>
        <v>6.4600000000000005E-2</v>
      </c>
      <c r="AB698" s="301">
        <f t="shared" si="284"/>
        <v>0</v>
      </c>
      <c r="AC698" s="301">
        <f t="shared" si="272"/>
        <v>0</v>
      </c>
      <c r="AD698" s="301">
        <f t="shared" si="285"/>
        <v>0</v>
      </c>
      <c r="AE698" s="301">
        <f t="shared" si="286"/>
        <v>0</v>
      </c>
      <c r="AF698" s="477">
        <f t="shared" si="287"/>
        <v>0</v>
      </c>
    </row>
    <row r="699" spans="1:32" s="11" customFormat="1" hidden="1" x14ac:dyDescent="0.3">
      <c r="A699" s="775">
        <v>620</v>
      </c>
      <c r="B699" s="775">
        <f t="shared" si="273"/>
        <v>52</v>
      </c>
      <c r="C699" s="891">
        <f t="shared" si="290"/>
        <v>0.14489675614077413</v>
      </c>
      <c r="D699" s="891"/>
      <c r="E699" s="891">
        <f t="shared" si="290"/>
        <v>0.03</v>
      </c>
      <c r="F699" s="891">
        <f t="shared" si="267"/>
        <v>0.03</v>
      </c>
      <c r="G699" s="893">
        <f t="shared" si="275"/>
        <v>1.151056494563818E-8</v>
      </c>
      <c r="H699" s="436">
        <f t="shared" si="268"/>
        <v>0</v>
      </c>
      <c r="I699" s="302">
        <f t="shared" si="269"/>
        <v>0</v>
      </c>
      <c r="J699" s="301">
        <f t="shared" si="288"/>
        <v>2.9176084758041223E-11</v>
      </c>
      <c r="K699" s="301">
        <f t="shared" si="276"/>
        <v>2.9176084758041223E-11</v>
      </c>
      <c r="L699" s="10">
        <f t="shared" si="277"/>
        <v>2.9176084758041223E-11</v>
      </c>
      <c r="M699" s="302"/>
      <c r="N699" s="435">
        <f t="shared" si="278"/>
        <v>0</v>
      </c>
      <c r="O699" s="436">
        <f t="shared" si="270"/>
        <v>0</v>
      </c>
      <c r="P699" s="436">
        <f t="shared" si="279"/>
        <v>0</v>
      </c>
      <c r="R699" s="354">
        <f>+Hirdetmény!$AA$46</f>
        <v>0.13400000000000001</v>
      </c>
      <c r="S699" s="301">
        <f t="shared" si="280"/>
        <v>0</v>
      </c>
      <c r="T699" s="301">
        <f t="shared" si="271"/>
        <v>0</v>
      </c>
      <c r="U699" s="301">
        <f t="shared" si="281"/>
        <v>0</v>
      </c>
      <c r="V699" s="301">
        <f t="shared" si="282"/>
        <v>0</v>
      </c>
      <c r="W699" s="301">
        <f t="shared" si="283"/>
        <v>0</v>
      </c>
      <c r="AA699" s="12">
        <f>+paraméterek!$B$346</f>
        <v>6.4600000000000005E-2</v>
      </c>
      <c r="AB699" s="301">
        <f t="shared" si="284"/>
        <v>0</v>
      </c>
      <c r="AC699" s="301">
        <f t="shared" si="272"/>
        <v>0</v>
      </c>
      <c r="AD699" s="301">
        <f t="shared" si="285"/>
        <v>0</v>
      </c>
      <c r="AE699" s="301">
        <f t="shared" si="286"/>
        <v>0</v>
      </c>
      <c r="AF699" s="477">
        <f t="shared" si="287"/>
        <v>0</v>
      </c>
    </row>
    <row r="700" spans="1:32" s="11" customFormat="1" hidden="1" x14ac:dyDescent="0.3">
      <c r="A700" s="775">
        <v>621</v>
      </c>
      <c r="B700" s="775">
        <f t="shared" si="273"/>
        <v>52</v>
      </c>
      <c r="C700" s="891">
        <f t="shared" si="290"/>
        <v>0.14489675614077413</v>
      </c>
      <c r="D700" s="891"/>
      <c r="E700" s="891">
        <f t="shared" si="290"/>
        <v>0.03</v>
      </c>
      <c r="F700" s="891">
        <f t="shared" si="267"/>
        <v>0.03</v>
      </c>
      <c r="G700" s="893">
        <f t="shared" si="275"/>
        <v>1.151056494563818E-8</v>
      </c>
      <c r="H700" s="436">
        <f t="shared" si="268"/>
        <v>0</v>
      </c>
      <c r="I700" s="302">
        <f t="shared" si="269"/>
        <v>0</v>
      </c>
      <c r="J700" s="301">
        <f t="shared" si="288"/>
        <v>2.9176084758041223E-11</v>
      </c>
      <c r="K700" s="301">
        <f t="shared" si="276"/>
        <v>2.9176084758041223E-11</v>
      </c>
      <c r="L700" s="10">
        <f t="shared" si="277"/>
        <v>2.9176084758041223E-11</v>
      </c>
      <c r="M700" s="302"/>
      <c r="N700" s="435">
        <f t="shared" si="278"/>
        <v>0</v>
      </c>
      <c r="O700" s="436">
        <f t="shared" si="270"/>
        <v>0</v>
      </c>
      <c r="P700" s="436">
        <f t="shared" si="279"/>
        <v>0</v>
      </c>
      <c r="R700" s="354">
        <f>+Hirdetmény!$AA$46</f>
        <v>0.13400000000000001</v>
      </c>
      <c r="S700" s="301">
        <f t="shared" si="280"/>
        <v>0</v>
      </c>
      <c r="T700" s="301">
        <f t="shared" si="271"/>
        <v>0</v>
      </c>
      <c r="U700" s="301">
        <f t="shared" si="281"/>
        <v>0</v>
      </c>
      <c r="V700" s="301">
        <f t="shared" si="282"/>
        <v>0</v>
      </c>
      <c r="W700" s="301">
        <f t="shared" si="283"/>
        <v>0</v>
      </c>
      <c r="AA700" s="12">
        <f>+paraméterek!$B$346</f>
        <v>6.4600000000000005E-2</v>
      </c>
      <c r="AB700" s="301">
        <f t="shared" si="284"/>
        <v>0</v>
      </c>
      <c r="AC700" s="301">
        <f t="shared" si="272"/>
        <v>0</v>
      </c>
      <c r="AD700" s="301">
        <f t="shared" si="285"/>
        <v>0</v>
      </c>
      <c r="AE700" s="301">
        <f t="shared" si="286"/>
        <v>0</v>
      </c>
      <c r="AF700" s="477">
        <f t="shared" si="287"/>
        <v>0</v>
      </c>
    </row>
    <row r="701" spans="1:32" s="11" customFormat="1" hidden="1" x14ac:dyDescent="0.3">
      <c r="A701" s="775">
        <v>622</v>
      </c>
      <c r="B701" s="775">
        <f t="shared" si="273"/>
        <v>52</v>
      </c>
      <c r="C701" s="891">
        <f t="shared" si="290"/>
        <v>0.14489675614077413</v>
      </c>
      <c r="D701" s="891"/>
      <c r="E701" s="891">
        <f t="shared" si="290"/>
        <v>0.03</v>
      </c>
      <c r="F701" s="891">
        <f t="shared" si="267"/>
        <v>0.03</v>
      </c>
      <c r="G701" s="893">
        <f t="shared" si="275"/>
        <v>1.151056494563818E-8</v>
      </c>
      <c r="H701" s="436">
        <f t="shared" si="268"/>
        <v>0</v>
      </c>
      <c r="I701" s="302">
        <f t="shared" si="269"/>
        <v>0</v>
      </c>
      <c r="J701" s="301">
        <f t="shared" si="288"/>
        <v>2.9176084758041223E-11</v>
      </c>
      <c r="K701" s="301">
        <f t="shared" si="276"/>
        <v>2.9176084758041223E-11</v>
      </c>
      <c r="L701" s="10">
        <f t="shared" si="277"/>
        <v>2.9176084758041223E-11</v>
      </c>
      <c r="M701" s="302"/>
      <c r="N701" s="435">
        <f t="shared" si="278"/>
        <v>0</v>
      </c>
      <c r="O701" s="436">
        <f t="shared" si="270"/>
        <v>0</v>
      </c>
      <c r="P701" s="436">
        <f t="shared" si="279"/>
        <v>0</v>
      </c>
      <c r="R701" s="354">
        <f>+Hirdetmény!$AA$46</f>
        <v>0.13400000000000001</v>
      </c>
      <c r="S701" s="301">
        <f t="shared" si="280"/>
        <v>0</v>
      </c>
      <c r="T701" s="301">
        <f t="shared" si="271"/>
        <v>0</v>
      </c>
      <c r="U701" s="301">
        <f t="shared" si="281"/>
        <v>0</v>
      </c>
      <c r="V701" s="301">
        <f t="shared" si="282"/>
        <v>0</v>
      </c>
      <c r="W701" s="301">
        <f t="shared" si="283"/>
        <v>0</v>
      </c>
      <c r="AA701" s="12">
        <f>+paraméterek!$B$346</f>
        <v>6.4600000000000005E-2</v>
      </c>
      <c r="AB701" s="301">
        <f t="shared" si="284"/>
        <v>0</v>
      </c>
      <c r="AC701" s="301">
        <f t="shared" si="272"/>
        <v>0</v>
      </c>
      <c r="AD701" s="301">
        <f t="shared" si="285"/>
        <v>0</v>
      </c>
      <c r="AE701" s="301">
        <f t="shared" si="286"/>
        <v>0</v>
      </c>
      <c r="AF701" s="477">
        <f t="shared" si="287"/>
        <v>0</v>
      </c>
    </row>
    <row r="702" spans="1:32" s="11" customFormat="1" hidden="1" x14ac:dyDescent="0.3">
      <c r="A702" s="775">
        <v>623</v>
      </c>
      <c r="B702" s="775">
        <f t="shared" si="273"/>
        <v>52</v>
      </c>
      <c r="C702" s="891">
        <f t="shared" si="290"/>
        <v>0.14489675614077413</v>
      </c>
      <c r="D702" s="891"/>
      <c r="E702" s="891">
        <f t="shared" si="290"/>
        <v>0.03</v>
      </c>
      <c r="F702" s="891">
        <f t="shared" si="267"/>
        <v>0.03</v>
      </c>
      <c r="G702" s="893">
        <f t="shared" si="275"/>
        <v>1.151056494563818E-8</v>
      </c>
      <c r="H702" s="436">
        <f t="shared" si="268"/>
        <v>0</v>
      </c>
      <c r="I702" s="302">
        <f t="shared" si="269"/>
        <v>0</v>
      </c>
      <c r="J702" s="301">
        <f t="shared" si="288"/>
        <v>2.9176084758041223E-11</v>
      </c>
      <c r="K702" s="301">
        <f t="shared" si="276"/>
        <v>2.9176084758041223E-11</v>
      </c>
      <c r="L702" s="10">
        <f t="shared" si="277"/>
        <v>2.9176084758041223E-11</v>
      </c>
      <c r="M702" s="302"/>
      <c r="N702" s="435">
        <f t="shared" si="278"/>
        <v>0</v>
      </c>
      <c r="O702" s="436">
        <f t="shared" si="270"/>
        <v>0</v>
      </c>
      <c r="P702" s="436">
        <f t="shared" si="279"/>
        <v>0</v>
      </c>
      <c r="R702" s="354">
        <f>+Hirdetmény!$AA$46</f>
        <v>0.13400000000000001</v>
      </c>
      <c r="S702" s="301">
        <f t="shared" si="280"/>
        <v>0</v>
      </c>
      <c r="T702" s="301">
        <f t="shared" si="271"/>
        <v>0</v>
      </c>
      <c r="U702" s="301">
        <f t="shared" si="281"/>
        <v>0</v>
      </c>
      <c r="V702" s="301">
        <f t="shared" si="282"/>
        <v>0</v>
      </c>
      <c r="W702" s="301">
        <f t="shared" si="283"/>
        <v>0</v>
      </c>
      <c r="AA702" s="12">
        <f>+paraméterek!$B$346</f>
        <v>6.4600000000000005E-2</v>
      </c>
      <c r="AB702" s="301">
        <f t="shared" si="284"/>
        <v>0</v>
      </c>
      <c r="AC702" s="301">
        <f t="shared" si="272"/>
        <v>0</v>
      </c>
      <c r="AD702" s="301">
        <f t="shared" si="285"/>
        <v>0</v>
      </c>
      <c r="AE702" s="301">
        <f t="shared" si="286"/>
        <v>0</v>
      </c>
      <c r="AF702" s="477">
        <f t="shared" si="287"/>
        <v>0</v>
      </c>
    </row>
    <row r="703" spans="1:32" s="11" customFormat="1" hidden="1" x14ac:dyDescent="0.3">
      <c r="A703" s="775">
        <v>624</v>
      </c>
      <c r="B703" s="775">
        <f t="shared" si="273"/>
        <v>52</v>
      </c>
      <c r="C703" s="891">
        <f t="shared" si="290"/>
        <v>0.14489675614077413</v>
      </c>
      <c r="D703" s="891"/>
      <c r="E703" s="891">
        <f t="shared" si="290"/>
        <v>0.03</v>
      </c>
      <c r="F703" s="891">
        <f t="shared" si="267"/>
        <v>0.03</v>
      </c>
      <c r="G703" s="893">
        <f t="shared" si="275"/>
        <v>1.151056494563818E-8</v>
      </c>
      <c r="H703" s="436">
        <f t="shared" si="268"/>
        <v>0</v>
      </c>
      <c r="I703" s="302">
        <f t="shared" si="269"/>
        <v>0</v>
      </c>
      <c r="J703" s="301">
        <f t="shared" si="288"/>
        <v>2.9176084758041223E-11</v>
      </c>
      <c r="K703" s="301">
        <f t="shared" si="276"/>
        <v>2.9176084758041223E-11</v>
      </c>
      <c r="L703" s="10">
        <f t="shared" si="277"/>
        <v>2.9176084758041223E-11</v>
      </c>
      <c r="M703" s="302"/>
      <c r="N703" s="435">
        <f t="shared" si="278"/>
        <v>0</v>
      </c>
      <c r="O703" s="436">
        <f t="shared" si="270"/>
        <v>0</v>
      </c>
      <c r="P703" s="436">
        <f t="shared" si="279"/>
        <v>0</v>
      </c>
      <c r="R703" s="354">
        <f>+Hirdetmény!$AA$46</f>
        <v>0.13400000000000001</v>
      </c>
      <c r="S703" s="301">
        <f t="shared" si="280"/>
        <v>0</v>
      </c>
      <c r="T703" s="301">
        <f t="shared" si="271"/>
        <v>0</v>
      </c>
      <c r="U703" s="301">
        <f t="shared" si="281"/>
        <v>0</v>
      </c>
      <c r="V703" s="301">
        <f t="shared" si="282"/>
        <v>0</v>
      </c>
      <c r="W703" s="301">
        <f t="shared" si="283"/>
        <v>0</v>
      </c>
      <c r="AA703" s="12">
        <f>+paraméterek!$B$346</f>
        <v>6.4600000000000005E-2</v>
      </c>
      <c r="AB703" s="301">
        <f t="shared" si="284"/>
        <v>0</v>
      </c>
      <c r="AC703" s="301">
        <f t="shared" si="272"/>
        <v>0</v>
      </c>
      <c r="AD703" s="301">
        <f t="shared" si="285"/>
        <v>0</v>
      </c>
      <c r="AE703" s="301">
        <f t="shared" si="286"/>
        <v>0</v>
      </c>
      <c r="AF703" s="477">
        <f t="shared" si="287"/>
        <v>0</v>
      </c>
    </row>
    <row r="704" spans="1:32" s="11" customFormat="1" hidden="1" x14ac:dyDescent="0.3">
      <c r="A704" s="775">
        <v>625</v>
      </c>
      <c r="B704" s="775">
        <f t="shared" si="273"/>
        <v>53</v>
      </c>
      <c r="C704" s="891">
        <f t="shared" si="290"/>
        <v>0.14489675614077413</v>
      </c>
      <c r="D704" s="891"/>
      <c r="E704" s="891">
        <f t="shared" si="290"/>
        <v>0.03</v>
      </c>
      <c r="F704" s="891">
        <f t="shared" si="267"/>
        <v>0.03</v>
      </c>
      <c r="G704" s="893">
        <f t="shared" si="275"/>
        <v>1.151056494563818E-8</v>
      </c>
      <c r="H704" s="436">
        <f t="shared" si="268"/>
        <v>0</v>
      </c>
      <c r="I704" s="302">
        <f t="shared" si="269"/>
        <v>0</v>
      </c>
      <c r="J704" s="301">
        <f t="shared" si="288"/>
        <v>2.9176084758041223E-11</v>
      </c>
      <c r="K704" s="301">
        <f t="shared" si="276"/>
        <v>2.9176084758041223E-11</v>
      </c>
      <c r="L704" s="10">
        <f t="shared" si="277"/>
        <v>2.9176084758041223E-11</v>
      </c>
      <c r="M704" s="302"/>
      <c r="N704" s="435">
        <f t="shared" si="278"/>
        <v>0</v>
      </c>
      <c r="O704" s="436">
        <f t="shared" si="270"/>
        <v>0</v>
      </c>
      <c r="P704" s="436">
        <f t="shared" si="279"/>
        <v>0</v>
      </c>
      <c r="R704" s="354">
        <f>+Hirdetmény!$AA$46</f>
        <v>0.13400000000000001</v>
      </c>
      <c r="S704" s="301">
        <f t="shared" si="280"/>
        <v>0</v>
      </c>
      <c r="T704" s="301">
        <f t="shared" si="271"/>
        <v>0</v>
      </c>
      <c r="U704" s="301">
        <f t="shared" si="281"/>
        <v>0</v>
      </c>
      <c r="V704" s="301">
        <f t="shared" si="282"/>
        <v>0</v>
      </c>
      <c r="W704" s="301">
        <f t="shared" si="283"/>
        <v>0</v>
      </c>
      <c r="AA704" s="12">
        <f>+paraméterek!$B$346</f>
        <v>6.4600000000000005E-2</v>
      </c>
      <c r="AB704" s="301">
        <f t="shared" si="284"/>
        <v>0</v>
      </c>
      <c r="AC704" s="301">
        <f t="shared" si="272"/>
        <v>0</v>
      </c>
      <c r="AD704" s="301">
        <f t="shared" si="285"/>
        <v>0</v>
      </c>
      <c r="AE704" s="301">
        <f t="shared" si="286"/>
        <v>0</v>
      </c>
      <c r="AF704" s="477">
        <f t="shared" si="287"/>
        <v>0</v>
      </c>
    </row>
    <row r="705" spans="1:32" s="11" customFormat="1" hidden="1" x14ac:dyDescent="0.3">
      <c r="A705" s="775">
        <v>626</v>
      </c>
      <c r="B705" s="775">
        <f t="shared" si="273"/>
        <v>53</v>
      </c>
      <c r="C705" s="891">
        <f t="shared" ref="C705:E716" si="291">+C704</f>
        <v>0.14489675614077413</v>
      </c>
      <c r="D705" s="891"/>
      <c r="E705" s="891">
        <f t="shared" si="291"/>
        <v>0.03</v>
      </c>
      <c r="F705" s="891">
        <f t="shared" si="267"/>
        <v>0.03</v>
      </c>
      <c r="G705" s="893">
        <f t="shared" si="275"/>
        <v>1.151056494563818E-8</v>
      </c>
      <c r="H705" s="436">
        <f t="shared" si="268"/>
        <v>0</v>
      </c>
      <c r="I705" s="302">
        <f t="shared" si="269"/>
        <v>0</v>
      </c>
      <c r="J705" s="301">
        <f t="shared" si="288"/>
        <v>2.9176084758041223E-11</v>
      </c>
      <c r="K705" s="301">
        <f t="shared" si="276"/>
        <v>2.9176084758041223E-11</v>
      </c>
      <c r="L705" s="10">
        <f t="shared" si="277"/>
        <v>2.9176084758041223E-11</v>
      </c>
      <c r="M705" s="302"/>
      <c r="N705" s="435">
        <f t="shared" si="278"/>
        <v>0</v>
      </c>
      <c r="O705" s="436">
        <f t="shared" si="270"/>
        <v>0</v>
      </c>
      <c r="P705" s="436">
        <f t="shared" si="279"/>
        <v>0</v>
      </c>
      <c r="R705" s="354">
        <f>+Hirdetmény!$AA$46</f>
        <v>0.13400000000000001</v>
      </c>
      <c r="S705" s="301">
        <f t="shared" si="280"/>
        <v>0</v>
      </c>
      <c r="T705" s="301">
        <f t="shared" si="271"/>
        <v>0</v>
      </c>
      <c r="U705" s="301">
        <f t="shared" si="281"/>
        <v>0</v>
      </c>
      <c r="V705" s="301">
        <f t="shared" si="282"/>
        <v>0</v>
      </c>
      <c r="W705" s="301">
        <f t="shared" si="283"/>
        <v>0</v>
      </c>
      <c r="AA705" s="12">
        <f>+paraméterek!$B$346</f>
        <v>6.4600000000000005E-2</v>
      </c>
      <c r="AB705" s="301">
        <f t="shared" si="284"/>
        <v>0</v>
      </c>
      <c r="AC705" s="301">
        <f t="shared" si="272"/>
        <v>0</v>
      </c>
      <c r="AD705" s="301">
        <f t="shared" si="285"/>
        <v>0</v>
      </c>
      <c r="AE705" s="301">
        <f t="shared" si="286"/>
        <v>0</v>
      </c>
      <c r="AF705" s="477">
        <f t="shared" si="287"/>
        <v>0</v>
      </c>
    </row>
    <row r="706" spans="1:32" s="11" customFormat="1" hidden="1" x14ac:dyDescent="0.3">
      <c r="A706" s="775">
        <v>627</v>
      </c>
      <c r="B706" s="775">
        <f t="shared" si="273"/>
        <v>53</v>
      </c>
      <c r="C706" s="891">
        <f t="shared" si="291"/>
        <v>0.14489675614077413</v>
      </c>
      <c r="D706" s="891"/>
      <c r="E706" s="891">
        <f t="shared" si="291"/>
        <v>0.03</v>
      </c>
      <c r="F706" s="891">
        <f t="shared" si="267"/>
        <v>0.03</v>
      </c>
      <c r="G706" s="893">
        <f t="shared" si="275"/>
        <v>1.151056494563818E-8</v>
      </c>
      <c r="H706" s="436">
        <f t="shared" si="268"/>
        <v>0</v>
      </c>
      <c r="I706" s="302">
        <f t="shared" si="269"/>
        <v>0</v>
      </c>
      <c r="J706" s="301">
        <f t="shared" si="288"/>
        <v>2.9176084758041223E-11</v>
      </c>
      <c r="K706" s="301">
        <f t="shared" si="276"/>
        <v>2.9176084758041223E-11</v>
      </c>
      <c r="L706" s="10">
        <f t="shared" si="277"/>
        <v>2.9176084758041223E-11</v>
      </c>
      <c r="M706" s="302"/>
      <c r="N706" s="435">
        <f t="shared" si="278"/>
        <v>0</v>
      </c>
      <c r="O706" s="436">
        <f t="shared" si="270"/>
        <v>0</v>
      </c>
      <c r="P706" s="436">
        <f t="shared" si="279"/>
        <v>0</v>
      </c>
      <c r="R706" s="354">
        <f>+Hirdetmény!$AA$46</f>
        <v>0.13400000000000001</v>
      </c>
      <c r="S706" s="301">
        <f t="shared" si="280"/>
        <v>0</v>
      </c>
      <c r="T706" s="301">
        <f t="shared" si="271"/>
        <v>0</v>
      </c>
      <c r="U706" s="301">
        <f t="shared" si="281"/>
        <v>0</v>
      </c>
      <c r="V706" s="301">
        <f t="shared" si="282"/>
        <v>0</v>
      </c>
      <c r="W706" s="301">
        <f t="shared" si="283"/>
        <v>0</v>
      </c>
      <c r="AA706" s="12">
        <f>+paraméterek!$B$346</f>
        <v>6.4600000000000005E-2</v>
      </c>
      <c r="AB706" s="301">
        <f t="shared" si="284"/>
        <v>0</v>
      </c>
      <c r="AC706" s="301">
        <f t="shared" si="272"/>
        <v>0</v>
      </c>
      <c r="AD706" s="301">
        <f t="shared" si="285"/>
        <v>0</v>
      </c>
      <c r="AE706" s="301">
        <f t="shared" si="286"/>
        <v>0</v>
      </c>
      <c r="AF706" s="477">
        <f t="shared" si="287"/>
        <v>0</v>
      </c>
    </row>
    <row r="707" spans="1:32" s="11" customFormat="1" hidden="1" x14ac:dyDescent="0.3">
      <c r="A707" s="775">
        <v>628</v>
      </c>
      <c r="B707" s="775">
        <f t="shared" si="273"/>
        <v>53</v>
      </c>
      <c r="C707" s="891">
        <f t="shared" si="291"/>
        <v>0.14489675614077413</v>
      </c>
      <c r="D707" s="891"/>
      <c r="E707" s="891">
        <f t="shared" si="291"/>
        <v>0.03</v>
      </c>
      <c r="F707" s="891">
        <f t="shared" si="267"/>
        <v>0.03</v>
      </c>
      <c r="G707" s="893">
        <f t="shared" si="275"/>
        <v>1.151056494563818E-8</v>
      </c>
      <c r="H707" s="436">
        <f t="shared" si="268"/>
        <v>0</v>
      </c>
      <c r="I707" s="302">
        <f t="shared" si="269"/>
        <v>0</v>
      </c>
      <c r="J707" s="301">
        <f t="shared" si="288"/>
        <v>2.9176084758041223E-11</v>
      </c>
      <c r="K707" s="301">
        <f t="shared" si="276"/>
        <v>2.9176084758041223E-11</v>
      </c>
      <c r="L707" s="10">
        <f t="shared" si="277"/>
        <v>2.9176084758041223E-11</v>
      </c>
      <c r="M707" s="302"/>
      <c r="N707" s="435">
        <f t="shared" si="278"/>
        <v>0</v>
      </c>
      <c r="O707" s="436">
        <f t="shared" si="270"/>
        <v>0</v>
      </c>
      <c r="P707" s="436">
        <f t="shared" si="279"/>
        <v>0</v>
      </c>
      <c r="R707" s="354">
        <f>+Hirdetmény!$AA$46</f>
        <v>0.13400000000000001</v>
      </c>
      <c r="S707" s="301">
        <f t="shared" si="280"/>
        <v>0</v>
      </c>
      <c r="T707" s="301">
        <f t="shared" si="271"/>
        <v>0</v>
      </c>
      <c r="U707" s="301">
        <f t="shared" si="281"/>
        <v>0</v>
      </c>
      <c r="V707" s="301">
        <f t="shared" si="282"/>
        <v>0</v>
      </c>
      <c r="W707" s="301">
        <f t="shared" si="283"/>
        <v>0</v>
      </c>
      <c r="AA707" s="12">
        <f>+paraméterek!$B$346</f>
        <v>6.4600000000000005E-2</v>
      </c>
      <c r="AB707" s="301">
        <f t="shared" si="284"/>
        <v>0</v>
      </c>
      <c r="AC707" s="301">
        <f t="shared" si="272"/>
        <v>0</v>
      </c>
      <c r="AD707" s="301">
        <f t="shared" si="285"/>
        <v>0</v>
      </c>
      <c r="AE707" s="301">
        <f t="shared" si="286"/>
        <v>0</v>
      </c>
      <c r="AF707" s="477">
        <f t="shared" si="287"/>
        <v>0</v>
      </c>
    </row>
    <row r="708" spans="1:32" s="11" customFormat="1" hidden="1" x14ac:dyDescent="0.3">
      <c r="A708" s="775">
        <v>629</v>
      </c>
      <c r="B708" s="775">
        <f t="shared" si="273"/>
        <v>53</v>
      </c>
      <c r="C708" s="891">
        <f t="shared" si="291"/>
        <v>0.14489675614077413</v>
      </c>
      <c r="D708" s="891"/>
      <c r="E708" s="891">
        <f t="shared" si="291"/>
        <v>0.03</v>
      </c>
      <c r="F708" s="891">
        <f t="shared" si="267"/>
        <v>0.03</v>
      </c>
      <c r="G708" s="893">
        <f t="shared" si="275"/>
        <v>1.151056494563818E-8</v>
      </c>
      <c r="H708" s="436">
        <f t="shared" si="268"/>
        <v>0</v>
      </c>
      <c r="I708" s="302">
        <f t="shared" si="269"/>
        <v>0</v>
      </c>
      <c r="J708" s="301">
        <f t="shared" si="288"/>
        <v>2.9176084758041223E-11</v>
      </c>
      <c r="K708" s="301">
        <f t="shared" si="276"/>
        <v>2.9176084758041223E-11</v>
      </c>
      <c r="L708" s="10">
        <f t="shared" si="277"/>
        <v>2.9176084758041223E-11</v>
      </c>
      <c r="M708" s="302"/>
      <c r="N708" s="435">
        <f t="shared" si="278"/>
        <v>0</v>
      </c>
      <c r="O708" s="436">
        <f t="shared" si="270"/>
        <v>0</v>
      </c>
      <c r="P708" s="436">
        <f t="shared" si="279"/>
        <v>0</v>
      </c>
      <c r="R708" s="354">
        <f>+Hirdetmény!$AA$46</f>
        <v>0.13400000000000001</v>
      </c>
      <c r="S708" s="301">
        <f t="shared" si="280"/>
        <v>0</v>
      </c>
      <c r="T708" s="301">
        <f t="shared" si="271"/>
        <v>0</v>
      </c>
      <c r="U708" s="301">
        <f t="shared" si="281"/>
        <v>0</v>
      </c>
      <c r="V708" s="301">
        <f t="shared" si="282"/>
        <v>0</v>
      </c>
      <c r="W708" s="301">
        <f t="shared" si="283"/>
        <v>0</v>
      </c>
      <c r="AA708" s="12">
        <f>+paraméterek!$B$346</f>
        <v>6.4600000000000005E-2</v>
      </c>
      <c r="AB708" s="301">
        <f t="shared" si="284"/>
        <v>0</v>
      </c>
      <c r="AC708" s="301">
        <f t="shared" si="272"/>
        <v>0</v>
      </c>
      <c r="AD708" s="301">
        <f t="shared" si="285"/>
        <v>0</v>
      </c>
      <c r="AE708" s="301">
        <f t="shared" si="286"/>
        <v>0</v>
      </c>
      <c r="AF708" s="477">
        <f t="shared" si="287"/>
        <v>0</v>
      </c>
    </row>
    <row r="709" spans="1:32" s="11" customFormat="1" hidden="1" x14ac:dyDescent="0.3">
      <c r="A709" s="775">
        <v>630</v>
      </c>
      <c r="B709" s="775">
        <f t="shared" si="273"/>
        <v>53</v>
      </c>
      <c r="C709" s="891">
        <f t="shared" si="291"/>
        <v>0.14489675614077413</v>
      </c>
      <c r="D709" s="891"/>
      <c r="E709" s="891">
        <f t="shared" si="291"/>
        <v>0.03</v>
      </c>
      <c r="F709" s="891">
        <f t="shared" si="267"/>
        <v>0.03</v>
      </c>
      <c r="G709" s="893">
        <f t="shared" si="275"/>
        <v>1.151056494563818E-8</v>
      </c>
      <c r="H709" s="436">
        <f t="shared" si="268"/>
        <v>0</v>
      </c>
      <c r="I709" s="302">
        <f t="shared" si="269"/>
        <v>0</v>
      </c>
      <c r="J709" s="301">
        <f t="shared" si="288"/>
        <v>2.9176084758041223E-11</v>
      </c>
      <c r="K709" s="301">
        <f t="shared" si="276"/>
        <v>2.9176084758041223E-11</v>
      </c>
      <c r="L709" s="10">
        <f t="shared" si="277"/>
        <v>2.9176084758041223E-11</v>
      </c>
      <c r="M709" s="302"/>
      <c r="N709" s="435">
        <f t="shared" si="278"/>
        <v>0</v>
      </c>
      <c r="O709" s="436">
        <f t="shared" si="270"/>
        <v>0</v>
      </c>
      <c r="P709" s="436">
        <f t="shared" si="279"/>
        <v>0</v>
      </c>
      <c r="R709" s="354">
        <f>+Hirdetmény!$AA$46</f>
        <v>0.13400000000000001</v>
      </c>
      <c r="S709" s="301">
        <f t="shared" si="280"/>
        <v>0</v>
      </c>
      <c r="T709" s="301">
        <f t="shared" si="271"/>
        <v>0</v>
      </c>
      <c r="U709" s="301">
        <f t="shared" si="281"/>
        <v>0</v>
      </c>
      <c r="V709" s="301">
        <f t="shared" si="282"/>
        <v>0</v>
      </c>
      <c r="W709" s="301">
        <f t="shared" si="283"/>
        <v>0</v>
      </c>
      <c r="AA709" s="12">
        <f>+paraméterek!$B$346</f>
        <v>6.4600000000000005E-2</v>
      </c>
      <c r="AB709" s="301">
        <f t="shared" si="284"/>
        <v>0</v>
      </c>
      <c r="AC709" s="301">
        <f t="shared" si="272"/>
        <v>0</v>
      </c>
      <c r="AD709" s="301">
        <f t="shared" si="285"/>
        <v>0</v>
      </c>
      <c r="AE709" s="301">
        <f t="shared" si="286"/>
        <v>0</v>
      </c>
      <c r="AF709" s="477">
        <f t="shared" si="287"/>
        <v>0</v>
      </c>
    </row>
    <row r="710" spans="1:32" s="11" customFormat="1" hidden="1" x14ac:dyDescent="0.3">
      <c r="A710" s="775">
        <v>631</v>
      </c>
      <c r="B710" s="775">
        <f t="shared" si="273"/>
        <v>53</v>
      </c>
      <c r="C710" s="891">
        <f t="shared" si="291"/>
        <v>0.14489675614077413</v>
      </c>
      <c r="D710" s="891"/>
      <c r="E710" s="891">
        <f t="shared" si="291"/>
        <v>0.03</v>
      </c>
      <c r="F710" s="891">
        <f t="shared" si="267"/>
        <v>0.03</v>
      </c>
      <c r="G710" s="893">
        <f t="shared" si="275"/>
        <v>1.151056494563818E-8</v>
      </c>
      <c r="H710" s="436">
        <f t="shared" si="268"/>
        <v>0</v>
      </c>
      <c r="I710" s="302">
        <f t="shared" si="269"/>
        <v>0</v>
      </c>
      <c r="J710" s="301">
        <f t="shared" si="288"/>
        <v>2.9176084758041223E-11</v>
      </c>
      <c r="K710" s="301">
        <f t="shared" si="276"/>
        <v>2.9176084758041223E-11</v>
      </c>
      <c r="L710" s="10">
        <f t="shared" si="277"/>
        <v>2.9176084758041223E-11</v>
      </c>
      <c r="M710" s="302"/>
      <c r="N710" s="435">
        <f t="shared" si="278"/>
        <v>0</v>
      </c>
      <c r="O710" s="436">
        <f t="shared" si="270"/>
        <v>0</v>
      </c>
      <c r="P710" s="436">
        <f t="shared" si="279"/>
        <v>0</v>
      </c>
      <c r="R710" s="354">
        <f>+Hirdetmény!$AA$46</f>
        <v>0.13400000000000001</v>
      </c>
      <c r="S710" s="301">
        <f t="shared" si="280"/>
        <v>0</v>
      </c>
      <c r="T710" s="301">
        <f t="shared" si="271"/>
        <v>0</v>
      </c>
      <c r="U710" s="301">
        <f t="shared" si="281"/>
        <v>0</v>
      </c>
      <c r="V710" s="301">
        <f t="shared" si="282"/>
        <v>0</v>
      </c>
      <c r="W710" s="301">
        <f t="shared" si="283"/>
        <v>0</v>
      </c>
      <c r="AA710" s="12">
        <f>+paraméterek!$B$346</f>
        <v>6.4600000000000005E-2</v>
      </c>
      <c r="AB710" s="301">
        <f t="shared" si="284"/>
        <v>0</v>
      </c>
      <c r="AC710" s="301">
        <f t="shared" si="272"/>
        <v>0</v>
      </c>
      <c r="AD710" s="301">
        <f t="shared" si="285"/>
        <v>0</v>
      </c>
      <c r="AE710" s="301">
        <f t="shared" si="286"/>
        <v>0</v>
      </c>
      <c r="AF710" s="477">
        <f t="shared" si="287"/>
        <v>0</v>
      </c>
    </row>
    <row r="711" spans="1:32" s="11" customFormat="1" hidden="1" x14ac:dyDescent="0.3">
      <c r="A711" s="775">
        <v>632</v>
      </c>
      <c r="B711" s="775">
        <f t="shared" si="273"/>
        <v>53</v>
      </c>
      <c r="C711" s="891">
        <f t="shared" si="291"/>
        <v>0.14489675614077413</v>
      </c>
      <c r="D711" s="891"/>
      <c r="E711" s="891">
        <f t="shared" si="291"/>
        <v>0.03</v>
      </c>
      <c r="F711" s="891">
        <f t="shared" si="267"/>
        <v>0.03</v>
      </c>
      <c r="G711" s="893">
        <f t="shared" si="275"/>
        <v>1.151056494563818E-8</v>
      </c>
      <c r="H711" s="436">
        <f t="shared" si="268"/>
        <v>0</v>
      </c>
      <c r="I711" s="302">
        <f t="shared" si="269"/>
        <v>0</v>
      </c>
      <c r="J711" s="301">
        <f t="shared" si="288"/>
        <v>2.9176084758041223E-11</v>
      </c>
      <c r="K711" s="301">
        <f t="shared" si="276"/>
        <v>2.9176084758041223E-11</v>
      </c>
      <c r="L711" s="10">
        <f t="shared" si="277"/>
        <v>2.9176084758041223E-11</v>
      </c>
      <c r="M711" s="302"/>
      <c r="N711" s="435">
        <f t="shared" si="278"/>
        <v>0</v>
      </c>
      <c r="O711" s="436">
        <f t="shared" si="270"/>
        <v>0</v>
      </c>
      <c r="P711" s="436">
        <f t="shared" si="279"/>
        <v>0</v>
      </c>
      <c r="R711" s="354">
        <f>+Hirdetmény!$AA$46</f>
        <v>0.13400000000000001</v>
      </c>
      <c r="S711" s="301">
        <f t="shared" si="280"/>
        <v>0</v>
      </c>
      <c r="T711" s="301">
        <f t="shared" si="271"/>
        <v>0</v>
      </c>
      <c r="U711" s="301">
        <f t="shared" si="281"/>
        <v>0</v>
      </c>
      <c r="V711" s="301">
        <f t="shared" si="282"/>
        <v>0</v>
      </c>
      <c r="W711" s="301">
        <f t="shared" si="283"/>
        <v>0</v>
      </c>
      <c r="AA711" s="12">
        <f>+paraméterek!$B$346</f>
        <v>6.4600000000000005E-2</v>
      </c>
      <c r="AB711" s="301">
        <f t="shared" si="284"/>
        <v>0</v>
      </c>
      <c r="AC711" s="301">
        <f t="shared" si="272"/>
        <v>0</v>
      </c>
      <c r="AD711" s="301">
        <f t="shared" si="285"/>
        <v>0</v>
      </c>
      <c r="AE711" s="301">
        <f t="shared" si="286"/>
        <v>0</v>
      </c>
      <c r="AF711" s="477">
        <f t="shared" si="287"/>
        <v>0</v>
      </c>
    </row>
    <row r="712" spans="1:32" s="11" customFormat="1" hidden="1" x14ac:dyDescent="0.3">
      <c r="A712" s="775">
        <v>633</v>
      </c>
      <c r="B712" s="775">
        <f t="shared" si="273"/>
        <v>53</v>
      </c>
      <c r="C712" s="891">
        <f t="shared" si="291"/>
        <v>0.14489675614077413</v>
      </c>
      <c r="D712" s="891"/>
      <c r="E712" s="891">
        <f t="shared" si="291"/>
        <v>0.03</v>
      </c>
      <c r="F712" s="891">
        <f t="shared" si="267"/>
        <v>0.03</v>
      </c>
      <c r="G712" s="893">
        <f t="shared" si="275"/>
        <v>1.151056494563818E-8</v>
      </c>
      <c r="H712" s="436">
        <f t="shared" si="268"/>
        <v>0</v>
      </c>
      <c r="I712" s="302">
        <f t="shared" si="269"/>
        <v>0</v>
      </c>
      <c r="J712" s="301">
        <f t="shared" si="288"/>
        <v>2.9176084758041223E-11</v>
      </c>
      <c r="K712" s="301">
        <f t="shared" si="276"/>
        <v>2.9176084758041223E-11</v>
      </c>
      <c r="L712" s="10">
        <f t="shared" si="277"/>
        <v>2.9176084758041223E-11</v>
      </c>
      <c r="M712" s="302"/>
      <c r="N712" s="435">
        <f t="shared" si="278"/>
        <v>0</v>
      </c>
      <c r="O712" s="436">
        <f t="shared" si="270"/>
        <v>0</v>
      </c>
      <c r="P712" s="436">
        <f t="shared" si="279"/>
        <v>0</v>
      </c>
      <c r="R712" s="354">
        <f>+Hirdetmény!$AA$46</f>
        <v>0.13400000000000001</v>
      </c>
      <c r="S712" s="301">
        <f t="shared" si="280"/>
        <v>0</v>
      </c>
      <c r="T712" s="301">
        <f t="shared" si="271"/>
        <v>0</v>
      </c>
      <c r="U712" s="301">
        <f t="shared" si="281"/>
        <v>0</v>
      </c>
      <c r="V712" s="301">
        <f t="shared" si="282"/>
        <v>0</v>
      </c>
      <c r="W712" s="301">
        <f t="shared" si="283"/>
        <v>0</v>
      </c>
      <c r="AA712" s="12">
        <f>+paraméterek!$B$346</f>
        <v>6.4600000000000005E-2</v>
      </c>
      <c r="AB712" s="301">
        <f t="shared" si="284"/>
        <v>0</v>
      </c>
      <c r="AC712" s="301">
        <f t="shared" si="272"/>
        <v>0</v>
      </c>
      <c r="AD712" s="301">
        <f t="shared" si="285"/>
        <v>0</v>
      </c>
      <c r="AE712" s="301">
        <f t="shared" si="286"/>
        <v>0</v>
      </c>
      <c r="AF712" s="477">
        <f t="shared" si="287"/>
        <v>0</v>
      </c>
    </row>
    <row r="713" spans="1:32" s="11" customFormat="1" hidden="1" x14ac:dyDescent="0.3">
      <c r="A713" s="775">
        <v>634</v>
      </c>
      <c r="B713" s="775">
        <f t="shared" si="273"/>
        <v>53</v>
      </c>
      <c r="C713" s="891">
        <f t="shared" si="291"/>
        <v>0.14489675614077413</v>
      </c>
      <c r="D713" s="891"/>
      <c r="E713" s="891">
        <f t="shared" si="291"/>
        <v>0.03</v>
      </c>
      <c r="F713" s="891">
        <f t="shared" si="267"/>
        <v>0.03</v>
      </c>
      <c r="G713" s="893">
        <f t="shared" si="275"/>
        <v>1.151056494563818E-8</v>
      </c>
      <c r="H713" s="436">
        <f t="shared" si="268"/>
        <v>0</v>
      </c>
      <c r="I713" s="302">
        <f t="shared" si="269"/>
        <v>0</v>
      </c>
      <c r="J713" s="301">
        <f t="shared" si="288"/>
        <v>2.9176084758041223E-11</v>
      </c>
      <c r="K713" s="301">
        <f t="shared" si="276"/>
        <v>2.9176084758041223E-11</v>
      </c>
      <c r="L713" s="10">
        <f t="shared" si="277"/>
        <v>2.9176084758041223E-11</v>
      </c>
      <c r="M713" s="302"/>
      <c r="N713" s="435">
        <f t="shared" si="278"/>
        <v>0</v>
      </c>
      <c r="O713" s="436">
        <f t="shared" si="270"/>
        <v>0</v>
      </c>
      <c r="P713" s="436">
        <f t="shared" si="279"/>
        <v>0</v>
      </c>
      <c r="R713" s="354">
        <f>+Hirdetmény!$AA$46</f>
        <v>0.13400000000000001</v>
      </c>
      <c r="S713" s="301">
        <f t="shared" si="280"/>
        <v>0</v>
      </c>
      <c r="T713" s="301">
        <f t="shared" si="271"/>
        <v>0</v>
      </c>
      <c r="U713" s="301">
        <f t="shared" si="281"/>
        <v>0</v>
      </c>
      <c r="V713" s="301">
        <f t="shared" si="282"/>
        <v>0</v>
      </c>
      <c r="W713" s="301">
        <f t="shared" si="283"/>
        <v>0</v>
      </c>
      <c r="AA713" s="12">
        <f>+paraméterek!$B$346</f>
        <v>6.4600000000000005E-2</v>
      </c>
      <c r="AB713" s="301">
        <f t="shared" si="284"/>
        <v>0</v>
      </c>
      <c r="AC713" s="301">
        <f t="shared" si="272"/>
        <v>0</v>
      </c>
      <c r="AD713" s="301">
        <f t="shared" si="285"/>
        <v>0</v>
      </c>
      <c r="AE713" s="301">
        <f t="shared" si="286"/>
        <v>0</v>
      </c>
      <c r="AF713" s="477">
        <f t="shared" si="287"/>
        <v>0</v>
      </c>
    </row>
    <row r="714" spans="1:32" s="11" customFormat="1" hidden="1" x14ac:dyDescent="0.3">
      <c r="A714" s="775">
        <v>635</v>
      </c>
      <c r="B714" s="775">
        <f t="shared" si="273"/>
        <v>53</v>
      </c>
      <c r="C714" s="891">
        <f t="shared" si="291"/>
        <v>0.14489675614077413</v>
      </c>
      <c r="D714" s="891"/>
      <c r="E714" s="891">
        <f t="shared" si="291"/>
        <v>0.03</v>
      </c>
      <c r="F714" s="891">
        <f t="shared" si="267"/>
        <v>0.03</v>
      </c>
      <c r="G714" s="893">
        <f t="shared" si="275"/>
        <v>1.151056494563818E-8</v>
      </c>
      <c r="H714" s="436">
        <f t="shared" si="268"/>
        <v>0</v>
      </c>
      <c r="I714" s="302">
        <f t="shared" si="269"/>
        <v>0</v>
      </c>
      <c r="J714" s="301">
        <f t="shared" si="288"/>
        <v>2.9176084758041223E-11</v>
      </c>
      <c r="K714" s="301">
        <f t="shared" si="276"/>
        <v>2.9176084758041223E-11</v>
      </c>
      <c r="L714" s="10">
        <f t="shared" si="277"/>
        <v>2.9176084758041223E-11</v>
      </c>
      <c r="M714" s="302"/>
      <c r="N714" s="435">
        <f t="shared" si="278"/>
        <v>0</v>
      </c>
      <c r="O714" s="436">
        <f t="shared" si="270"/>
        <v>0</v>
      </c>
      <c r="P714" s="436">
        <f t="shared" si="279"/>
        <v>0</v>
      </c>
      <c r="R714" s="354">
        <f>+Hirdetmény!$AA$46</f>
        <v>0.13400000000000001</v>
      </c>
      <c r="S714" s="301">
        <f t="shared" si="280"/>
        <v>0</v>
      </c>
      <c r="T714" s="301">
        <f t="shared" si="271"/>
        <v>0</v>
      </c>
      <c r="U714" s="301">
        <f t="shared" si="281"/>
        <v>0</v>
      </c>
      <c r="V714" s="301">
        <f t="shared" si="282"/>
        <v>0</v>
      </c>
      <c r="W714" s="301">
        <f t="shared" si="283"/>
        <v>0</v>
      </c>
      <c r="AA714" s="12">
        <f>+paraméterek!$B$346</f>
        <v>6.4600000000000005E-2</v>
      </c>
      <c r="AB714" s="301">
        <f t="shared" si="284"/>
        <v>0</v>
      </c>
      <c r="AC714" s="301">
        <f t="shared" si="272"/>
        <v>0</v>
      </c>
      <c r="AD714" s="301">
        <f t="shared" si="285"/>
        <v>0</v>
      </c>
      <c r="AE714" s="301">
        <f t="shared" si="286"/>
        <v>0</v>
      </c>
      <c r="AF714" s="477">
        <f t="shared" si="287"/>
        <v>0</v>
      </c>
    </row>
    <row r="715" spans="1:32" s="11" customFormat="1" hidden="1" x14ac:dyDescent="0.3">
      <c r="A715" s="775">
        <v>636</v>
      </c>
      <c r="B715" s="775">
        <f t="shared" si="273"/>
        <v>53</v>
      </c>
      <c r="C715" s="891">
        <f t="shared" si="291"/>
        <v>0.14489675614077413</v>
      </c>
      <c r="D715" s="891"/>
      <c r="E715" s="891">
        <f t="shared" si="291"/>
        <v>0.03</v>
      </c>
      <c r="F715" s="891">
        <f t="shared" si="267"/>
        <v>0.03</v>
      </c>
      <c r="G715" s="893">
        <f t="shared" si="275"/>
        <v>1.151056494563818E-8</v>
      </c>
      <c r="H715" s="436">
        <f t="shared" si="268"/>
        <v>0</v>
      </c>
      <c r="I715" s="302">
        <f t="shared" si="269"/>
        <v>0</v>
      </c>
      <c r="J715" s="301">
        <f t="shared" si="288"/>
        <v>2.9176084758041223E-11</v>
      </c>
      <c r="K715" s="301">
        <f t="shared" si="276"/>
        <v>2.9176084758041223E-11</v>
      </c>
      <c r="L715" s="10">
        <f t="shared" si="277"/>
        <v>2.9176084758041223E-11</v>
      </c>
      <c r="M715" s="302"/>
      <c r="N715" s="435">
        <f t="shared" si="278"/>
        <v>0</v>
      </c>
      <c r="O715" s="436">
        <f t="shared" si="270"/>
        <v>0</v>
      </c>
      <c r="P715" s="436">
        <f t="shared" si="279"/>
        <v>0</v>
      </c>
      <c r="R715" s="354">
        <f>+Hirdetmény!$AA$46</f>
        <v>0.13400000000000001</v>
      </c>
      <c r="S715" s="301">
        <f t="shared" si="280"/>
        <v>0</v>
      </c>
      <c r="T715" s="301">
        <f t="shared" si="271"/>
        <v>0</v>
      </c>
      <c r="U715" s="301">
        <f t="shared" si="281"/>
        <v>0</v>
      </c>
      <c r="V715" s="301">
        <f t="shared" si="282"/>
        <v>0</v>
      </c>
      <c r="W715" s="301">
        <f t="shared" si="283"/>
        <v>0</v>
      </c>
      <c r="AA715" s="12">
        <f>+paraméterek!$B$346</f>
        <v>6.4600000000000005E-2</v>
      </c>
      <c r="AB715" s="301">
        <f t="shared" si="284"/>
        <v>0</v>
      </c>
      <c r="AC715" s="301">
        <f t="shared" si="272"/>
        <v>0</v>
      </c>
      <c r="AD715" s="301">
        <f t="shared" si="285"/>
        <v>0</v>
      </c>
      <c r="AE715" s="301">
        <f t="shared" si="286"/>
        <v>0</v>
      </c>
      <c r="AF715" s="477">
        <f t="shared" si="287"/>
        <v>0</v>
      </c>
    </row>
    <row r="716" spans="1:32" s="11" customFormat="1" hidden="1" x14ac:dyDescent="0.3">
      <c r="A716" s="775">
        <v>637</v>
      </c>
      <c r="B716" s="775">
        <f t="shared" si="273"/>
        <v>54</v>
      </c>
      <c r="C716" s="891">
        <f t="shared" si="291"/>
        <v>0.14489675614077413</v>
      </c>
      <c r="D716" s="891"/>
      <c r="E716" s="891">
        <f t="shared" si="291"/>
        <v>0.03</v>
      </c>
      <c r="F716" s="891">
        <f t="shared" si="267"/>
        <v>0.03</v>
      </c>
      <c r="G716" s="893">
        <f t="shared" si="275"/>
        <v>1.151056494563818E-8</v>
      </c>
      <c r="H716" s="436">
        <f t="shared" si="268"/>
        <v>0</v>
      </c>
      <c r="I716" s="302">
        <f t="shared" si="269"/>
        <v>0</v>
      </c>
      <c r="J716" s="301">
        <f t="shared" si="288"/>
        <v>2.9176084758041223E-11</v>
      </c>
      <c r="K716" s="301">
        <f t="shared" si="276"/>
        <v>2.9176084758041223E-11</v>
      </c>
      <c r="L716" s="10">
        <f t="shared" si="277"/>
        <v>2.9176084758041223E-11</v>
      </c>
      <c r="M716" s="302"/>
      <c r="N716" s="435">
        <f t="shared" si="278"/>
        <v>0</v>
      </c>
      <c r="O716" s="436">
        <f t="shared" si="270"/>
        <v>0</v>
      </c>
      <c r="P716" s="436">
        <f t="shared" si="279"/>
        <v>0</v>
      </c>
      <c r="R716" s="354">
        <f>+Hirdetmény!$AA$46</f>
        <v>0.13400000000000001</v>
      </c>
      <c r="S716" s="301">
        <f t="shared" si="280"/>
        <v>0</v>
      </c>
      <c r="T716" s="301">
        <f t="shared" si="271"/>
        <v>0</v>
      </c>
      <c r="U716" s="301">
        <f t="shared" si="281"/>
        <v>0</v>
      </c>
      <c r="V716" s="301">
        <f t="shared" si="282"/>
        <v>0</v>
      </c>
      <c r="W716" s="301">
        <f t="shared" si="283"/>
        <v>0</v>
      </c>
      <c r="AA716" s="12">
        <f>+paraméterek!$B$346</f>
        <v>6.4600000000000005E-2</v>
      </c>
      <c r="AB716" s="301">
        <f t="shared" si="284"/>
        <v>0</v>
      </c>
      <c r="AC716" s="301">
        <f t="shared" si="272"/>
        <v>0</v>
      </c>
      <c r="AD716" s="301">
        <f t="shared" si="285"/>
        <v>0</v>
      </c>
      <c r="AE716" s="301">
        <f t="shared" si="286"/>
        <v>0</v>
      </c>
      <c r="AF716" s="477">
        <f t="shared" si="287"/>
        <v>0</v>
      </c>
    </row>
    <row r="717" spans="1:32" s="11" customFormat="1" hidden="1" x14ac:dyDescent="0.3">
      <c r="A717" s="775"/>
      <c r="B717" s="775"/>
      <c r="C717" s="775"/>
      <c r="D717" s="775"/>
      <c r="E717" s="775"/>
      <c r="F717" s="775"/>
      <c r="G717" s="775"/>
    </row>
    <row r="718" spans="1:32" s="11" customFormat="1" hidden="1" x14ac:dyDescent="0.3">
      <c r="A718" s="775"/>
      <c r="B718" s="775"/>
      <c r="C718" s="775"/>
      <c r="D718" s="775"/>
      <c r="E718" s="775"/>
      <c r="F718" s="775"/>
      <c r="G718" s="775"/>
    </row>
    <row r="719" spans="1:32" s="11" customFormat="1" hidden="1" x14ac:dyDescent="0.3">
      <c r="A719" s="775"/>
      <c r="B719" s="775"/>
      <c r="C719" s="775"/>
      <c r="D719" s="775"/>
      <c r="E719" s="775"/>
      <c r="F719" s="775"/>
      <c r="G719" s="775"/>
    </row>
    <row r="720" spans="1:32" s="11" customFormat="1" hidden="1" x14ac:dyDescent="0.3">
      <c r="A720" s="775"/>
      <c r="B720" s="775"/>
      <c r="C720" s="775"/>
      <c r="D720" s="775"/>
      <c r="E720" s="775"/>
      <c r="F720" s="775"/>
      <c r="G720" s="775"/>
    </row>
    <row r="721" spans="1:7" s="11" customFormat="1" hidden="1" x14ac:dyDescent="0.3">
      <c r="A721" s="775"/>
      <c r="B721" s="775"/>
      <c r="C721" s="775"/>
      <c r="D721" s="775"/>
      <c r="E721" s="775"/>
      <c r="F721" s="775"/>
      <c r="G721" s="775"/>
    </row>
    <row r="722" spans="1:7" s="11" customFormat="1" hidden="1" x14ac:dyDescent="0.3">
      <c r="A722" s="775"/>
      <c r="B722" s="775"/>
      <c r="C722" s="775"/>
      <c r="D722" s="775"/>
      <c r="E722" s="775"/>
      <c r="F722" s="775"/>
      <c r="G722" s="775"/>
    </row>
    <row r="723" spans="1:7" hidden="1" x14ac:dyDescent="0.3"/>
    <row r="724" spans="1:7" hidden="1" x14ac:dyDescent="0.3"/>
    <row r="725" spans="1:7" hidden="1" x14ac:dyDescent="0.3"/>
    <row r="726" spans="1:7" hidden="1" x14ac:dyDescent="0.3"/>
    <row r="727" spans="1:7" hidden="1" x14ac:dyDescent="0.3"/>
    <row r="728" spans="1:7" hidden="1" x14ac:dyDescent="0.3"/>
    <row r="729" spans="1:7" hidden="1" x14ac:dyDescent="0.3"/>
    <row r="730" spans="1:7" hidden="1" x14ac:dyDescent="0.3"/>
    <row r="731" spans="1:7" hidden="1" x14ac:dyDescent="0.3"/>
    <row r="732" spans="1:7" hidden="1" x14ac:dyDescent="0.3"/>
    <row r="733" spans="1:7" hidden="1" x14ac:dyDescent="0.3"/>
    <row r="734" spans="1:7" hidden="1" x14ac:dyDescent="0.3"/>
    <row r="735" spans="1:7" hidden="1" x14ac:dyDescent="0.3"/>
    <row r="736" spans="1:7" hidden="1" x14ac:dyDescent="0.3"/>
    <row r="737" hidden="1" x14ac:dyDescent="0.3"/>
    <row r="738" hidden="1" x14ac:dyDescent="0.3"/>
    <row r="739" hidden="1" x14ac:dyDescent="0.3"/>
    <row r="740" hidden="1" x14ac:dyDescent="0.3"/>
    <row r="741" hidden="1" x14ac:dyDescent="0.3"/>
    <row r="742" hidden="1" x14ac:dyDescent="0.3"/>
    <row r="743" hidden="1" x14ac:dyDescent="0.3"/>
    <row r="744" hidden="1" x14ac:dyDescent="0.3"/>
    <row r="745" hidden="1" x14ac:dyDescent="0.3"/>
    <row r="746" hidden="1" x14ac:dyDescent="0.3"/>
    <row r="747" hidden="1" x14ac:dyDescent="0.3"/>
    <row r="748" hidden="1" x14ac:dyDescent="0.3"/>
    <row r="749" hidden="1" x14ac:dyDescent="0.3"/>
    <row r="750" hidden="1" x14ac:dyDescent="0.3"/>
    <row r="751" hidden="1" x14ac:dyDescent="0.3"/>
    <row r="752" hidden="1" x14ac:dyDescent="0.3"/>
    <row r="753" hidden="1" x14ac:dyDescent="0.3"/>
    <row r="754" hidden="1" x14ac:dyDescent="0.3"/>
    <row r="755" hidden="1" x14ac:dyDescent="0.3"/>
    <row r="756" hidden="1" x14ac:dyDescent="0.3"/>
    <row r="757" hidden="1" x14ac:dyDescent="0.3"/>
    <row r="758" hidden="1" x14ac:dyDescent="0.3"/>
    <row r="759" hidden="1" x14ac:dyDescent="0.3"/>
    <row r="760" hidden="1" x14ac:dyDescent="0.3"/>
    <row r="761" hidden="1" x14ac:dyDescent="0.3"/>
    <row r="762" hidden="1" x14ac:dyDescent="0.3"/>
    <row r="763" hidden="1" x14ac:dyDescent="0.3"/>
    <row r="764" hidden="1" x14ac:dyDescent="0.3"/>
    <row r="765" hidden="1" x14ac:dyDescent="0.3"/>
    <row r="766" hidden="1" x14ac:dyDescent="0.3"/>
    <row r="767" hidden="1" x14ac:dyDescent="0.3"/>
    <row r="768" hidden="1" x14ac:dyDescent="0.3"/>
    <row r="769" hidden="1" x14ac:dyDescent="0.3"/>
    <row r="770" hidden="1" x14ac:dyDescent="0.3"/>
    <row r="771" hidden="1" x14ac:dyDescent="0.3"/>
    <row r="772" hidden="1" x14ac:dyDescent="0.3"/>
    <row r="773" hidden="1" x14ac:dyDescent="0.3"/>
    <row r="774" hidden="1" x14ac:dyDescent="0.3"/>
    <row r="775" hidden="1" x14ac:dyDescent="0.3"/>
    <row r="776" hidden="1" x14ac:dyDescent="0.3"/>
    <row r="777" hidden="1" x14ac:dyDescent="0.3"/>
    <row r="778" hidden="1" x14ac:dyDescent="0.3"/>
    <row r="779" hidden="1" x14ac:dyDescent="0.3"/>
    <row r="780" hidden="1" x14ac:dyDescent="0.3"/>
    <row r="781" hidden="1" x14ac:dyDescent="0.3"/>
    <row r="782" hidden="1" x14ac:dyDescent="0.3"/>
    <row r="783" hidden="1" x14ac:dyDescent="0.3"/>
    <row r="784" hidden="1" x14ac:dyDescent="0.3"/>
    <row r="785" hidden="1" x14ac:dyDescent="0.3"/>
    <row r="786" hidden="1" x14ac:dyDescent="0.3"/>
    <row r="787" hidden="1" x14ac:dyDescent="0.3"/>
    <row r="788" hidden="1" x14ac:dyDescent="0.3"/>
    <row r="789" hidden="1" x14ac:dyDescent="0.3"/>
    <row r="790" hidden="1" x14ac:dyDescent="0.3"/>
    <row r="791" hidden="1" x14ac:dyDescent="0.3"/>
    <row r="792" hidden="1" x14ac:dyDescent="0.3"/>
    <row r="793" hidden="1" x14ac:dyDescent="0.3"/>
    <row r="794" hidden="1" x14ac:dyDescent="0.3"/>
    <row r="795" hidden="1" x14ac:dyDescent="0.3"/>
    <row r="796" hidden="1" x14ac:dyDescent="0.3"/>
    <row r="797" hidden="1" x14ac:dyDescent="0.3"/>
    <row r="798" hidden="1" x14ac:dyDescent="0.3"/>
    <row r="799" hidden="1" x14ac:dyDescent="0.3"/>
    <row r="800" hidden="1" x14ac:dyDescent="0.3"/>
    <row r="801" hidden="1" x14ac:dyDescent="0.3"/>
    <row r="802" hidden="1" x14ac:dyDescent="0.3"/>
    <row r="803" hidden="1" x14ac:dyDescent="0.3"/>
    <row r="804" hidden="1" x14ac:dyDescent="0.3"/>
    <row r="805" hidden="1" x14ac:dyDescent="0.3"/>
    <row r="806" hidden="1" x14ac:dyDescent="0.3"/>
    <row r="807" hidden="1" x14ac:dyDescent="0.3"/>
    <row r="808" hidden="1" x14ac:dyDescent="0.3"/>
    <row r="809" hidden="1" x14ac:dyDescent="0.3"/>
    <row r="810" hidden="1" x14ac:dyDescent="0.3"/>
    <row r="811" hidden="1" x14ac:dyDescent="0.3"/>
    <row r="812" hidden="1" x14ac:dyDescent="0.3"/>
    <row r="813" hidden="1" x14ac:dyDescent="0.3"/>
    <row r="814" hidden="1" x14ac:dyDescent="0.3"/>
    <row r="815" hidden="1" x14ac:dyDescent="0.3"/>
    <row r="816" hidden="1" x14ac:dyDescent="0.3"/>
    <row r="817" hidden="1" x14ac:dyDescent="0.3"/>
    <row r="818" hidden="1" x14ac:dyDescent="0.3"/>
    <row r="819" hidden="1" x14ac:dyDescent="0.3"/>
    <row r="820" hidden="1" x14ac:dyDescent="0.3"/>
    <row r="821" hidden="1" x14ac:dyDescent="0.3"/>
    <row r="822" hidden="1" x14ac:dyDescent="0.3"/>
    <row r="823" hidden="1" x14ac:dyDescent="0.3"/>
    <row r="824" hidden="1" x14ac:dyDescent="0.3"/>
    <row r="825" hidden="1" x14ac:dyDescent="0.3"/>
    <row r="826" hidden="1" x14ac:dyDescent="0.3"/>
    <row r="827" hidden="1" x14ac:dyDescent="0.3"/>
    <row r="828" hidden="1" x14ac:dyDescent="0.3"/>
    <row r="829" hidden="1" x14ac:dyDescent="0.3"/>
    <row r="830" hidden="1" x14ac:dyDescent="0.3"/>
    <row r="831" hidden="1" x14ac:dyDescent="0.3"/>
    <row r="832" hidden="1" x14ac:dyDescent="0.3"/>
    <row r="833" hidden="1" x14ac:dyDescent="0.3"/>
    <row r="834" hidden="1" x14ac:dyDescent="0.3"/>
    <row r="835" hidden="1" x14ac:dyDescent="0.3"/>
    <row r="836" hidden="1" x14ac:dyDescent="0.3"/>
    <row r="837" hidden="1" x14ac:dyDescent="0.3"/>
    <row r="838" hidden="1" x14ac:dyDescent="0.3"/>
    <row r="839" hidden="1" x14ac:dyDescent="0.3"/>
    <row r="840" hidden="1" x14ac:dyDescent="0.3"/>
    <row r="841" hidden="1" x14ac:dyDescent="0.3"/>
    <row r="842" hidden="1" x14ac:dyDescent="0.3"/>
    <row r="843" hidden="1" x14ac:dyDescent="0.3"/>
    <row r="844" hidden="1" x14ac:dyDescent="0.3"/>
    <row r="845" hidden="1" x14ac:dyDescent="0.3"/>
    <row r="846" hidden="1" x14ac:dyDescent="0.3"/>
    <row r="847" hidden="1" x14ac:dyDescent="0.3"/>
    <row r="848" hidden="1" x14ac:dyDescent="0.3"/>
    <row r="849" hidden="1" x14ac:dyDescent="0.3"/>
    <row r="850" hidden="1" x14ac:dyDescent="0.3"/>
    <row r="851" hidden="1" x14ac:dyDescent="0.3"/>
    <row r="852" hidden="1" x14ac:dyDescent="0.3"/>
    <row r="853" hidden="1" x14ac:dyDescent="0.3"/>
    <row r="854" hidden="1" x14ac:dyDescent="0.3"/>
    <row r="855" hidden="1" x14ac:dyDescent="0.3"/>
    <row r="856" hidden="1" x14ac:dyDescent="0.3"/>
    <row r="857" hidden="1" x14ac:dyDescent="0.3"/>
    <row r="858" hidden="1" x14ac:dyDescent="0.3"/>
    <row r="859" hidden="1" x14ac:dyDescent="0.3"/>
    <row r="860" hidden="1" x14ac:dyDescent="0.3"/>
    <row r="861" hidden="1" x14ac:dyDescent="0.3"/>
    <row r="862" hidden="1" x14ac:dyDescent="0.3"/>
    <row r="863" hidden="1" x14ac:dyDescent="0.3"/>
    <row r="864" hidden="1" x14ac:dyDescent="0.3"/>
    <row r="865" hidden="1" x14ac:dyDescent="0.3"/>
    <row r="866" hidden="1" x14ac:dyDescent="0.3"/>
    <row r="867" hidden="1" x14ac:dyDescent="0.3"/>
    <row r="868" hidden="1" x14ac:dyDescent="0.3"/>
    <row r="869" hidden="1" x14ac:dyDescent="0.3"/>
    <row r="870" hidden="1" x14ac:dyDescent="0.3"/>
    <row r="871" hidden="1" x14ac:dyDescent="0.3"/>
    <row r="872" hidden="1" x14ac:dyDescent="0.3"/>
    <row r="873" hidden="1" x14ac:dyDescent="0.3"/>
    <row r="874" hidden="1" x14ac:dyDescent="0.3"/>
    <row r="875" hidden="1" x14ac:dyDescent="0.3"/>
    <row r="876" hidden="1" x14ac:dyDescent="0.3"/>
    <row r="877" hidden="1" x14ac:dyDescent="0.3"/>
    <row r="878" hidden="1" x14ac:dyDescent="0.3"/>
    <row r="879" hidden="1" x14ac:dyDescent="0.3"/>
    <row r="880" hidden="1" x14ac:dyDescent="0.3"/>
    <row r="881" hidden="1" x14ac:dyDescent="0.3"/>
    <row r="882" hidden="1" x14ac:dyDescent="0.3"/>
    <row r="883" hidden="1" x14ac:dyDescent="0.3"/>
    <row r="884" hidden="1" x14ac:dyDescent="0.3"/>
    <row r="885" hidden="1" x14ac:dyDescent="0.3"/>
    <row r="886" hidden="1" x14ac:dyDescent="0.3"/>
    <row r="887" hidden="1" x14ac:dyDescent="0.3"/>
    <row r="888" hidden="1" x14ac:dyDescent="0.3"/>
    <row r="889" hidden="1" x14ac:dyDescent="0.3"/>
    <row r="890" hidden="1" x14ac:dyDescent="0.3"/>
    <row r="891" hidden="1" x14ac:dyDescent="0.3"/>
    <row r="892" hidden="1" x14ac:dyDescent="0.3"/>
    <row r="893" hidden="1" x14ac:dyDescent="0.3"/>
    <row r="894" hidden="1" x14ac:dyDescent="0.3"/>
    <row r="895" hidden="1" x14ac:dyDescent="0.3"/>
    <row r="896" hidden="1" x14ac:dyDescent="0.3"/>
    <row r="897" hidden="1" x14ac:dyDescent="0.3"/>
    <row r="898" hidden="1" x14ac:dyDescent="0.3"/>
    <row r="899" hidden="1" x14ac:dyDescent="0.3"/>
    <row r="900" hidden="1" x14ac:dyDescent="0.3"/>
    <row r="901" hidden="1" x14ac:dyDescent="0.3"/>
    <row r="902" hidden="1" x14ac:dyDescent="0.3"/>
    <row r="903" hidden="1" x14ac:dyDescent="0.3"/>
    <row r="904" hidden="1" x14ac:dyDescent="0.3"/>
    <row r="905" hidden="1" x14ac:dyDescent="0.3"/>
    <row r="906" hidden="1" x14ac:dyDescent="0.3"/>
    <row r="907" hidden="1" x14ac:dyDescent="0.3"/>
    <row r="908" hidden="1" x14ac:dyDescent="0.3"/>
    <row r="909" hidden="1" x14ac:dyDescent="0.3"/>
    <row r="910" hidden="1" x14ac:dyDescent="0.3"/>
    <row r="911" hidden="1" x14ac:dyDescent="0.3"/>
    <row r="912" hidden="1" x14ac:dyDescent="0.3"/>
    <row r="913" hidden="1" x14ac:dyDescent="0.3"/>
    <row r="914" hidden="1" x14ac:dyDescent="0.3"/>
    <row r="915" hidden="1" x14ac:dyDescent="0.3"/>
    <row r="916" hidden="1" x14ac:dyDescent="0.3"/>
    <row r="917" hidden="1" x14ac:dyDescent="0.3"/>
    <row r="918" hidden="1" x14ac:dyDescent="0.3"/>
    <row r="919" hidden="1" x14ac:dyDescent="0.3"/>
    <row r="920" hidden="1" x14ac:dyDescent="0.3"/>
    <row r="921" hidden="1" x14ac:dyDescent="0.3"/>
    <row r="922" hidden="1" x14ac:dyDescent="0.3"/>
    <row r="923" hidden="1" x14ac:dyDescent="0.3"/>
    <row r="924" hidden="1" x14ac:dyDescent="0.3"/>
    <row r="925" hidden="1" x14ac:dyDescent="0.3"/>
    <row r="926" hidden="1" x14ac:dyDescent="0.3"/>
    <row r="927" hidden="1" x14ac:dyDescent="0.3"/>
    <row r="928" hidden="1" x14ac:dyDescent="0.3"/>
    <row r="929" hidden="1" x14ac:dyDescent="0.3"/>
    <row r="930" hidden="1" x14ac:dyDescent="0.3"/>
    <row r="931" hidden="1" x14ac:dyDescent="0.3"/>
    <row r="932" hidden="1" x14ac:dyDescent="0.3"/>
    <row r="933" hidden="1" x14ac:dyDescent="0.3"/>
    <row r="934" hidden="1" x14ac:dyDescent="0.3"/>
    <row r="935" hidden="1" x14ac:dyDescent="0.3"/>
    <row r="936" hidden="1" x14ac:dyDescent="0.3"/>
    <row r="937" hidden="1" x14ac:dyDescent="0.3"/>
    <row r="938" hidden="1" x14ac:dyDescent="0.3"/>
    <row r="939" hidden="1" x14ac:dyDescent="0.3"/>
    <row r="940" hidden="1" x14ac:dyDescent="0.3"/>
    <row r="941" hidden="1" x14ac:dyDescent="0.3"/>
    <row r="942" hidden="1" x14ac:dyDescent="0.3"/>
    <row r="943" hidden="1" x14ac:dyDescent="0.3"/>
    <row r="944" hidden="1" x14ac:dyDescent="0.3"/>
    <row r="945" hidden="1" x14ac:dyDescent="0.3"/>
    <row r="946" hidden="1" x14ac:dyDescent="0.3"/>
    <row r="947" hidden="1" x14ac:dyDescent="0.3"/>
    <row r="948" hidden="1" x14ac:dyDescent="0.3"/>
    <row r="949" hidden="1" x14ac:dyDescent="0.3"/>
    <row r="950" hidden="1" x14ac:dyDescent="0.3"/>
    <row r="951" hidden="1" x14ac:dyDescent="0.3"/>
    <row r="952" hidden="1" x14ac:dyDescent="0.3"/>
    <row r="953" hidden="1" x14ac:dyDescent="0.3"/>
    <row r="954" hidden="1" x14ac:dyDescent="0.3"/>
    <row r="955" hidden="1" x14ac:dyDescent="0.3"/>
    <row r="956" hidden="1" x14ac:dyDescent="0.3"/>
    <row r="957" hidden="1" x14ac:dyDescent="0.3"/>
    <row r="958" hidden="1" x14ac:dyDescent="0.3"/>
    <row r="959" hidden="1" x14ac:dyDescent="0.3"/>
    <row r="960" hidden="1" x14ac:dyDescent="0.3"/>
    <row r="961" hidden="1" x14ac:dyDescent="0.3"/>
    <row r="962" hidden="1" x14ac:dyDescent="0.3"/>
    <row r="963" hidden="1" x14ac:dyDescent="0.3"/>
    <row r="964" hidden="1" x14ac:dyDescent="0.3"/>
    <row r="965" hidden="1" x14ac:dyDescent="0.3"/>
    <row r="966" hidden="1" x14ac:dyDescent="0.3"/>
    <row r="967" hidden="1" x14ac:dyDescent="0.3"/>
    <row r="968" hidden="1" x14ac:dyDescent="0.3"/>
    <row r="969" hidden="1" x14ac:dyDescent="0.3"/>
    <row r="970" hidden="1" x14ac:dyDescent="0.3"/>
    <row r="971" hidden="1" x14ac:dyDescent="0.3"/>
    <row r="972" hidden="1" x14ac:dyDescent="0.3"/>
    <row r="973" hidden="1" x14ac:dyDescent="0.3"/>
    <row r="974" hidden="1" x14ac:dyDescent="0.3"/>
    <row r="975" hidden="1" x14ac:dyDescent="0.3"/>
    <row r="976" hidden="1" x14ac:dyDescent="0.3"/>
    <row r="977" hidden="1" x14ac:dyDescent="0.3"/>
    <row r="978" hidden="1" x14ac:dyDescent="0.3"/>
    <row r="979" hidden="1" x14ac:dyDescent="0.3"/>
    <row r="980" hidden="1" x14ac:dyDescent="0.3"/>
    <row r="981" hidden="1" x14ac:dyDescent="0.3"/>
    <row r="982" hidden="1" x14ac:dyDescent="0.3"/>
    <row r="983" hidden="1" x14ac:dyDescent="0.3"/>
    <row r="984" hidden="1" x14ac:dyDescent="0.3"/>
    <row r="985" hidden="1" x14ac:dyDescent="0.3"/>
    <row r="986" hidden="1" x14ac:dyDescent="0.3"/>
    <row r="987" hidden="1" x14ac:dyDescent="0.3"/>
    <row r="988" hidden="1" x14ac:dyDescent="0.3"/>
    <row r="989" hidden="1" x14ac:dyDescent="0.3"/>
    <row r="990" hidden="1" x14ac:dyDescent="0.3"/>
    <row r="991" hidden="1" x14ac:dyDescent="0.3"/>
    <row r="992" hidden="1" x14ac:dyDescent="0.3"/>
    <row r="993" hidden="1" x14ac:dyDescent="0.3"/>
    <row r="994" hidden="1" x14ac:dyDescent="0.3"/>
    <row r="995" hidden="1" x14ac:dyDescent="0.3"/>
    <row r="996" hidden="1" x14ac:dyDescent="0.3"/>
    <row r="997" hidden="1" x14ac:dyDescent="0.3"/>
    <row r="998" hidden="1" x14ac:dyDescent="0.3"/>
    <row r="999" hidden="1" x14ac:dyDescent="0.3"/>
    <row r="1000" hidden="1" x14ac:dyDescent="0.3"/>
    <row r="1001" hidden="1" x14ac:dyDescent="0.3"/>
    <row r="1002" hidden="1" x14ac:dyDescent="0.3"/>
    <row r="1003" hidden="1" x14ac:dyDescent="0.3"/>
    <row r="1004" hidden="1" x14ac:dyDescent="0.3"/>
    <row r="1005" hidden="1" x14ac:dyDescent="0.3"/>
    <row r="1006" hidden="1" x14ac:dyDescent="0.3"/>
    <row r="1007" hidden="1" x14ac:dyDescent="0.3"/>
    <row r="1008" hidden="1" x14ac:dyDescent="0.3"/>
    <row r="1009" hidden="1" x14ac:dyDescent="0.3"/>
    <row r="1010" hidden="1" x14ac:dyDescent="0.3"/>
    <row r="1011" hidden="1" x14ac:dyDescent="0.3"/>
    <row r="1012" hidden="1" x14ac:dyDescent="0.3"/>
    <row r="1013" hidden="1" x14ac:dyDescent="0.3"/>
    <row r="1014" hidden="1" x14ac:dyDescent="0.3"/>
    <row r="1015" hidden="1" x14ac:dyDescent="0.3"/>
    <row r="1016" hidden="1" x14ac:dyDescent="0.3"/>
    <row r="1017" hidden="1" x14ac:dyDescent="0.3"/>
    <row r="1018" hidden="1" x14ac:dyDescent="0.3"/>
    <row r="1019" hidden="1" x14ac:dyDescent="0.3"/>
    <row r="1020" hidden="1" x14ac:dyDescent="0.3"/>
    <row r="1021" hidden="1" x14ac:dyDescent="0.3"/>
    <row r="1022" hidden="1" x14ac:dyDescent="0.3"/>
    <row r="1023" hidden="1" x14ac:dyDescent="0.3"/>
    <row r="1024" hidden="1" x14ac:dyDescent="0.3"/>
    <row r="1025" hidden="1" x14ac:dyDescent="0.3"/>
    <row r="1026" hidden="1" x14ac:dyDescent="0.3"/>
    <row r="1027" hidden="1" x14ac:dyDescent="0.3"/>
    <row r="1028" hidden="1" x14ac:dyDescent="0.3"/>
    <row r="1029" hidden="1" x14ac:dyDescent="0.3"/>
    <row r="1030" hidden="1" x14ac:dyDescent="0.3"/>
    <row r="1031" hidden="1" x14ac:dyDescent="0.3"/>
    <row r="1032" hidden="1" x14ac:dyDescent="0.3"/>
    <row r="1033" hidden="1" x14ac:dyDescent="0.3"/>
    <row r="1034" hidden="1" x14ac:dyDescent="0.3"/>
    <row r="1035" hidden="1" x14ac:dyDescent="0.3"/>
    <row r="1036" hidden="1" x14ac:dyDescent="0.3"/>
    <row r="1037" hidden="1" x14ac:dyDescent="0.3"/>
    <row r="1038" hidden="1" x14ac:dyDescent="0.3"/>
    <row r="1039" hidden="1" x14ac:dyDescent="0.3"/>
    <row r="1040" hidden="1" x14ac:dyDescent="0.3"/>
    <row r="1041" hidden="1" x14ac:dyDescent="0.3"/>
    <row r="1042" hidden="1" x14ac:dyDescent="0.3"/>
    <row r="1043" hidden="1" x14ac:dyDescent="0.3"/>
    <row r="1044" hidden="1" x14ac:dyDescent="0.3"/>
    <row r="1045" hidden="1" x14ac:dyDescent="0.3"/>
    <row r="1046" hidden="1" x14ac:dyDescent="0.3"/>
    <row r="1047" hidden="1" x14ac:dyDescent="0.3"/>
    <row r="1048" hidden="1" x14ac:dyDescent="0.3"/>
    <row r="1049" hidden="1" x14ac:dyDescent="0.3"/>
    <row r="1050" hidden="1" x14ac:dyDescent="0.3"/>
    <row r="1051" hidden="1" x14ac:dyDescent="0.3"/>
    <row r="1052" hidden="1" x14ac:dyDescent="0.3"/>
    <row r="1053" hidden="1" x14ac:dyDescent="0.3"/>
    <row r="1054" hidden="1" x14ac:dyDescent="0.3"/>
    <row r="1055" hidden="1" x14ac:dyDescent="0.3"/>
    <row r="1056" hidden="1" x14ac:dyDescent="0.3"/>
    <row r="1057" hidden="1" x14ac:dyDescent="0.3"/>
    <row r="1058" hidden="1" x14ac:dyDescent="0.3"/>
    <row r="1059" hidden="1" x14ac:dyDescent="0.3"/>
    <row r="1060" hidden="1" x14ac:dyDescent="0.3"/>
    <row r="1061" hidden="1" x14ac:dyDescent="0.3"/>
    <row r="1062" hidden="1" x14ac:dyDescent="0.3"/>
    <row r="1063" hidden="1" x14ac:dyDescent="0.3"/>
    <row r="1064" hidden="1" x14ac:dyDescent="0.3"/>
    <row r="1065" hidden="1" x14ac:dyDescent="0.3"/>
    <row r="1066" hidden="1" x14ac:dyDescent="0.3"/>
    <row r="1067" hidden="1" x14ac:dyDescent="0.3"/>
    <row r="1068" hidden="1" x14ac:dyDescent="0.3"/>
    <row r="1069" hidden="1" x14ac:dyDescent="0.3"/>
    <row r="1070" hidden="1" x14ac:dyDescent="0.3"/>
    <row r="1071" hidden="1" x14ac:dyDescent="0.3"/>
    <row r="1072" hidden="1" x14ac:dyDescent="0.3"/>
    <row r="1073" hidden="1" x14ac:dyDescent="0.3"/>
    <row r="1074" hidden="1" x14ac:dyDescent="0.3"/>
    <row r="1075" hidden="1" x14ac:dyDescent="0.3"/>
    <row r="1076" hidden="1" x14ac:dyDescent="0.3"/>
    <row r="1077" hidden="1" x14ac:dyDescent="0.3"/>
    <row r="1078" hidden="1" x14ac:dyDescent="0.3"/>
    <row r="1079" hidden="1" x14ac:dyDescent="0.3"/>
    <row r="1080" hidden="1" x14ac:dyDescent="0.3"/>
    <row r="1081" hidden="1" x14ac:dyDescent="0.3"/>
    <row r="1082" hidden="1" x14ac:dyDescent="0.3"/>
    <row r="1083" hidden="1" x14ac:dyDescent="0.3"/>
    <row r="1084" hidden="1" x14ac:dyDescent="0.3"/>
    <row r="1085" hidden="1" x14ac:dyDescent="0.3"/>
    <row r="1086" hidden="1" x14ac:dyDescent="0.3"/>
    <row r="1087" hidden="1" x14ac:dyDescent="0.3"/>
    <row r="1088" hidden="1" x14ac:dyDescent="0.3"/>
    <row r="1089" hidden="1" x14ac:dyDescent="0.3"/>
    <row r="1090" hidden="1" x14ac:dyDescent="0.3"/>
    <row r="1091" hidden="1" x14ac:dyDescent="0.3"/>
    <row r="1092" hidden="1" x14ac:dyDescent="0.3"/>
    <row r="1093" hidden="1" x14ac:dyDescent="0.3"/>
    <row r="1094" hidden="1" x14ac:dyDescent="0.3"/>
    <row r="1095" hidden="1" x14ac:dyDescent="0.3"/>
    <row r="1096" hidden="1" x14ac:dyDescent="0.3"/>
    <row r="1097" hidden="1" x14ac:dyDescent="0.3"/>
    <row r="1098" hidden="1" x14ac:dyDescent="0.3"/>
    <row r="1099" hidden="1" x14ac:dyDescent="0.3"/>
    <row r="1100" hidden="1" x14ac:dyDescent="0.3"/>
    <row r="1101" hidden="1" x14ac:dyDescent="0.3"/>
    <row r="1102" hidden="1" x14ac:dyDescent="0.3"/>
    <row r="1103" hidden="1" x14ac:dyDescent="0.3"/>
    <row r="1104" hidden="1" x14ac:dyDescent="0.3"/>
    <row r="1105" hidden="1" x14ac:dyDescent="0.3"/>
    <row r="1106" hidden="1" x14ac:dyDescent="0.3"/>
    <row r="1107" hidden="1" x14ac:dyDescent="0.3"/>
    <row r="1108" hidden="1" x14ac:dyDescent="0.3"/>
    <row r="1109" hidden="1" x14ac:dyDescent="0.3"/>
    <row r="1110" hidden="1" x14ac:dyDescent="0.3"/>
    <row r="1111" hidden="1" x14ac:dyDescent="0.3"/>
    <row r="1112" hidden="1" x14ac:dyDescent="0.3"/>
    <row r="1113" hidden="1" x14ac:dyDescent="0.3"/>
    <row r="1114" hidden="1" x14ac:dyDescent="0.3"/>
    <row r="1115" hidden="1" x14ac:dyDescent="0.3"/>
    <row r="1116" hidden="1" x14ac:dyDescent="0.3"/>
    <row r="1117" hidden="1" x14ac:dyDescent="0.3"/>
    <row r="1118" hidden="1" x14ac:dyDescent="0.3"/>
    <row r="1119" hidden="1" x14ac:dyDescent="0.3"/>
  </sheetData>
  <sheetProtection algorithmName="SHA-512" hashValue="7C1OBNd3jenu4fZd6mNIYfV2mlXkVpRhyvRKlpNB3n2nRK5V4tXqfWfu8J5tBzmmAsiqlYWiPCeC2HCHpMOYKw==" saltValue="SQdnNDJmeZzL2VWFImYubQ==" spinCount="100000" sheet="1" selectLockedCells="1"/>
  <dataConsolidate/>
  <mergeCells count="36">
    <mergeCell ref="B8:C8"/>
    <mergeCell ref="B12:C12"/>
    <mergeCell ref="B14:C14"/>
    <mergeCell ref="B49:C49"/>
    <mergeCell ref="B16:C16"/>
    <mergeCell ref="B18:C18"/>
    <mergeCell ref="B28:C28"/>
    <mergeCell ref="B30:C30"/>
    <mergeCell ref="B15:C15"/>
    <mergeCell ref="A1:C1"/>
    <mergeCell ref="E1:G1"/>
    <mergeCell ref="B43:C43"/>
    <mergeCell ref="B24:C24"/>
    <mergeCell ref="B26:C26"/>
    <mergeCell ref="B35:C35"/>
    <mergeCell ref="B37:C37"/>
    <mergeCell ref="B39:C39"/>
    <mergeCell ref="B41:C41"/>
    <mergeCell ref="B20:C20"/>
    <mergeCell ref="B3:C3"/>
    <mergeCell ref="B7:C7"/>
    <mergeCell ref="B10:C10"/>
    <mergeCell ref="A2:C2"/>
    <mergeCell ref="B5:C5"/>
    <mergeCell ref="B9:C9"/>
    <mergeCell ref="E60:G60"/>
    <mergeCell ref="B64:C64"/>
    <mergeCell ref="B66:C66"/>
    <mergeCell ref="B50:C50"/>
    <mergeCell ref="B62:C62"/>
    <mergeCell ref="B54:C54"/>
    <mergeCell ref="B56:C56"/>
    <mergeCell ref="B52:C52"/>
    <mergeCell ref="B60:C60"/>
    <mergeCell ref="B58:C58"/>
    <mergeCell ref="B57:C57"/>
  </mergeCells>
  <dataValidations count="10">
    <dataValidation type="list" allowBlank="1" showInputMessage="1" showErrorMessage="1" sqref="B18:C18 B20:C20">
      <formula1>$I$18:$I$19</formula1>
    </dataValidation>
    <dataValidation type="whole" allowBlank="1" showInputMessage="1" showErrorMessage="1" sqref="B10:C10">
      <formula1>60</formula1>
      <formula2>420</formula2>
    </dataValidation>
    <dataValidation type="custom" allowBlank="1" showInputMessage="1" showErrorMessage="1" sqref="B11:C11">
      <formula1>"&lt;=420"</formula1>
    </dataValidation>
    <dataValidation type="list" allowBlank="1" showInputMessage="1" showErrorMessage="1" sqref="G43:G46 G39 G41 G49 G52 G54 G56:G58">
      <formula1>meghit</formula1>
    </dataValidation>
    <dataValidation type="custom" allowBlank="1" showInputMessage="1" showErrorMessage="1" sqref="B25:C25 B17:C17">
      <formula1>"&lt;=36"</formula1>
    </dataValidation>
    <dataValidation type="whole" allowBlank="1" showInputMessage="1" showErrorMessage="1" sqref="B24">
      <formula1>1</formula1>
      <formula2>4</formula2>
    </dataValidation>
    <dataValidation type="list" allowBlank="1" showInputMessage="1" showErrorMessage="1" sqref="B12:C12 B15:C15">
      <formula1>igennem</formula1>
    </dataValidation>
    <dataValidation type="list" allowBlank="1" showInputMessage="1" showErrorMessage="1" sqref="B49:C49">
      <formula1>számlacsomagok</formula1>
    </dataValidation>
    <dataValidation allowBlank="1" showInputMessage="1" showErrorMessage="1" error="Az igényelt hitelösszeg 1.000.000 Ft és 15.000.000 Ft között lehet!" sqref="B7:C7"/>
    <dataValidation type="list" allowBlank="1" showInputMessage="1" showErrorMessage="1" sqref="B66:C66">
      <formula1>$B$309:$B$312</formula1>
    </dataValidation>
  </dataValidations>
  <pageMargins left="0.7" right="0.7" top="0.75" bottom="0.75" header="0.3" footer="0.3"/>
  <pageSetup paperSize="9" scale="59" orientation="landscape" r:id="rId1"/>
  <headerFooter>
    <oddHeader>&amp;L&amp;G</oddHeader>
  </headerFooter>
  <rowBreaks count="1" manualBreakCount="1">
    <brk id="70" max="16383" man="1"/>
  </rowBreaks>
  <ignoredErrors>
    <ignoredError sqref="B14" unlockedFormula="1"/>
  </ignoredErrors>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paraméterek!$B$354:$B$355</xm:f>
          </x14:formula1>
          <xm:sqref>B52:C52</xm:sqref>
        </x14:dataValidation>
        <x14:dataValidation type="list" allowBlank="1" showInputMessage="1" showErrorMessage="1">
          <x14:formula1>
            <xm:f>paraméterek!$B$342:$B$345</xm:f>
          </x14:formula1>
          <xm:sqref>B30:C30</xm:sqref>
        </x14:dataValidation>
        <x14:dataValidation type="list" allowBlank="1" showInputMessage="1" showErrorMessage="1">
          <x14:formula1>
            <xm:f>paraméterek!$A$177:$A$181</xm:f>
          </x14:formula1>
          <xm:sqref>B8:C8</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34"/>
  <sheetViews>
    <sheetView workbookViewId="0">
      <selection activeCell="B33" sqref="B33"/>
    </sheetView>
  </sheetViews>
  <sheetFormatPr defaultColWidth="9.33203125" defaultRowHeight="14.4" x14ac:dyDescent="0.3"/>
  <cols>
    <col min="1" max="1" width="70.6640625" style="297" bestFit="1" customWidth="1"/>
    <col min="2" max="2" width="14.33203125" style="297" customWidth="1"/>
    <col min="3" max="16384" width="9.33203125" style="297"/>
  </cols>
  <sheetData>
    <row r="1" spans="1:2" x14ac:dyDescent="0.3">
      <c r="A1" s="297" t="s">
        <v>903</v>
      </c>
    </row>
    <row r="2" spans="1:2" ht="15" thickBot="1" x14ac:dyDescent="0.35"/>
    <row r="3" spans="1:2" x14ac:dyDescent="0.3">
      <c r="A3" s="456"/>
      <c r="B3" s="456"/>
    </row>
    <row r="4" spans="1:2" x14ac:dyDescent="0.3">
      <c r="A4" s="457" t="s">
        <v>904</v>
      </c>
      <c r="B4" s="457"/>
    </row>
    <row r="5" spans="1:2" ht="15" thickBot="1" x14ac:dyDescent="0.35">
      <c r="A5" s="298"/>
      <c r="B5" s="298"/>
    </row>
    <row r="6" spans="1:2" ht="15" thickBot="1" x14ac:dyDescent="0.35"/>
    <row r="7" spans="1:2" x14ac:dyDescent="0.3">
      <c r="A7" s="456"/>
      <c r="B7" s="456"/>
    </row>
    <row r="8" spans="1:2" x14ac:dyDescent="0.3">
      <c r="A8" s="457" t="s">
        <v>905</v>
      </c>
      <c r="B8" s="457"/>
    </row>
    <row r="9" spans="1:2" ht="15" thickBot="1" x14ac:dyDescent="0.35">
      <c r="A9" s="298"/>
      <c r="B9" s="298"/>
    </row>
    <row r="10" spans="1:2" ht="15" thickBot="1" x14ac:dyDescent="0.35"/>
    <row r="11" spans="1:2" x14ac:dyDescent="0.3">
      <c r="A11" s="456"/>
      <c r="B11" s="456"/>
    </row>
    <row r="12" spans="1:2" x14ac:dyDescent="0.3">
      <c r="A12" s="457" t="s">
        <v>990</v>
      </c>
      <c r="B12" s="457"/>
    </row>
    <row r="13" spans="1:2" ht="15" thickBot="1" x14ac:dyDescent="0.35">
      <c r="A13" s="298"/>
      <c r="B13" s="298"/>
    </row>
    <row r="14" spans="1:2" ht="15" thickBot="1" x14ac:dyDescent="0.35"/>
    <row r="15" spans="1:2" x14ac:dyDescent="0.3">
      <c r="A15" s="456"/>
      <c r="B15" s="456"/>
    </row>
    <row r="16" spans="1:2" x14ac:dyDescent="0.3">
      <c r="A16" s="457" t="s">
        <v>906</v>
      </c>
      <c r="B16" s="457"/>
    </row>
    <row r="17" spans="1:2" ht="15" thickBot="1" x14ac:dyDescent="0.35">
      <c r="A17" s="298"/>
      <c r="B17" s="298"/>
    </row>
    <row r="18" spans="1:2" ht="15" thickBot="1" x14ac:dyDescent="0.35"/>
    <row r="19" spans="1:2" x14ac:dyDescent="0.3">
      <c r="A19" s="456"/>
      <c r="B19" s="456"/>
    </row>
    <row r="20" spans="1:2" x14ac:dyDescent="0.3">
      <c r="A20" s="457" t="s">
        <v>907</v>
      </c>
      <c r="B20" s="458"/>
    </row>
    <row r="21" spans="1:2" ht="15" thickBot="1" x14ac:dyDescent="0.35">
      <c r="A21" s="298"/>
      <c r="B21" s="298"/>
    </row>
    <row r="22" spans="1:2" hidden="1" x14ac:dyDescent="0.3"/>
    <row r="23" spans="1:2" ht="15" thickBot="1" x14ac:dyDescent="0.35"/>
    <row r="24" spans="1:2" x14ac:dyDescent="0.3">
      <c r="A24" s="456"/>
      <c r="B24" s="456"/>
    </row>
    <row r="25" spans="1:2" x14ac:dyDescent="0.3">
      <c r="A25" s="457" t="s">
        <v>908</v>
      </c>
      <c r="B25" s="457"/>
    </row>
    <row r="26" spans="1:2" ht="15" thickBot="1" x14ac:dyDescent="0.35">
      <c r="A26" s="298"/>
      <c r="B26" s="298"/>
    </row>
    <row r="27" spans="1:2" ht="15" thickBot="1" x14ac:dyDescent="0.35"/>
    <row r="28" spans="1:2" x14ac:dyDescent="0.3">
      <c r="A28" s="456"/>
      <c r="B28" s="456"/>
    </row>
    <row r="29" spans="1:2" x14ac:dyDescent="0.3">
      <c r="A29" s="457" t="s">
        <v>1165</v>
      </c>
      <c r="B29" s="457"/>
    </row>
    <row r="30" spans="1:2" ht="15" thickBot="1" x14ac:dyDescent="0.35">
      <c r="A30" s="298"/>
      <c r="B30" s="298"/>
    </row>
    <row r="31" spans="1:2" ht="15" thickBot="1" x14ac:dyDescent="0.35"/>
    <row r="32" spans="1:2" x14ac:dyDescent="0.3">
      <c r="A32" s="456"/>
      <c r="B32" s="456"/>
    </row>
    <row r="33" spans="1:2" x14ac:dyDescent="0.3">
      <c r="A33" s="457" t="s">
        <v>1229</v>
      </c>
      <c r="B33" s="457"/>
    </row>
    <row r="34" spans="1:2" ht="15" thickBot="1" x14ac:dyDescent="0.35">
      <c r="A34" s="298"/>
      <c r="B34" s="298"/>
    </row>
  </sheetData>
  <sheetProtection password="960C" sheet="1" objects="1" scenarios="1" selectLockedCells="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7" dvAspect="DVASPECT_ICON" shapeId="14339" r:id="rId4">
          <objectPr defaultSize="0" r:id="rId5">
            <anchor moveWithCells="1">
              <from>
                <xdr:col>1</xdr:col>
                <xdr:colOff>0</xdr:colOff>
                <xdr:row>23</xdr:row>
                <xdr:rowOff>0</xdr:rowOff>
              </from>
              <to>
                <xdr:col>1</xdr:col>
                <xdr:colOff>914400</xdr:colOff>
                <xdr:row>26</xdr:row>
                <xdr:rowOff>106680</xdr:rowOff>
              </to>
            </anchor>
          </objectPr>
        </oleObject>
      </mc:Choice>
      <mc:Fallback>
        <oleObject progId="AcroExch.Document.7" dvAspect="DVASPECT_ICON" shapeId="14339" r:id="rId4"/>
      </mc:Fallback>
    </mc:AlternateContent>
    <mc:AlternateContent xmlns:mc="http://schemas.openxmlformats.org/markup-compatibility/2006">
      <mc:Choice Requires="x14">
        <oleObject progId="AcroExch.Document.7" dvAspect="DVASPECT_ICON" shapeId="14340" r:id="rId6">
          <objectPr defaultSize="0" r:id="rId7">
            <anchor moveWithCells="1">
              <from>
                <xdr:col>1</xdr:col>
                <xdr:colOff>38100</xdr:colOff>
                <xdr:row>5</xdr:row>
                <xdr:rowOff>182880</xdr:rowOff>
              </from>
              <to>
                <xdr:col>2</xdr:col>
                <xdr:colOff>0</xdr:colOff>
                <xdr:row>9</xdr:row>
                <xdr:rowOff>99060</xdr:rowOff>
              </to>
            </anchor>
          </objectPr>
        </oleObject>
      </mc:Choice>
      <mc:Fallback>
        <oleObject progId="AcroExch.Document.7" dvAspect="DVASPECT_ICON" shapeId="14340" r:id="rId6"/>
      </mc:Fallback>
    </mc:AlternateContent>
    <mc:AlternateContent xmlns:mc="http://schemas.openxmlformats.org/markup-compatibility/2006">
      <mc:Choice Requires="x14">
        <oleObject progId="Acrobat Document" dvAspect="DVASPECT_ICON" shapeId="14353" r:id="rId8">
          <objectPr defaultSize="0" r:id="rId9">
            <anchor moveWithCells="1">
              <from>
                <xdr:col>1</xdr:col>
                <xdr:colOff>0</xdr:colOff>
                <xdr:row>1</xdr:row>
                <xdr:rowOff>68580</xdr:rowOff>
              </from>
              <to>
                <xdr:col>1</xdr:col>
                <xdr:colOff>914400</xdr:colOff>
                <xdr:row>4</xdr:row>
                <xdr:rowOff>175260</xdr:rowOff>
              </to>
            </anchor>
          </objectPr>
        </oleObject>
      </mc:Choice>
      <mc:Fallback>
        <oleObject progId="Acrobat Document" dvAspect="DVASPECT_ICON" shapeId="14353" r:id="rId8"/>
      </mc:Fallback>
    </mc:AlternateContent>
    <mc:AlternateContent xmlns:mc="http://schemas.openxmlformats.org/markup-compatibility/2006">
      <mc:Choice Requires="x14">
        <oleObject progId="Acrobat Document" dvAspect="DVASPECT_ICON" shapeId="14354" r:id="rId10">
          <objectPr defaultSize="0" r:id="rId11">
            <anchor moveWithCells="1">
              <from>
                <xdr:col>1</xdr:col>
                <xdr:colOff>22860</xdr:colOff>
                <xdr:row>9</xdr:row>
                <xdr:rowOff>76200</xdr:rowOff>
              </from>
              <to>
                <xdr:col>1</xdr:col>
                <xdr:colOff>937260</xdr:colOff>
                <xdr:row>12</xdr:row>
                <xdr:rowOff>182880</xdr:rowOff>
              </to>
            </anchor>
          </objectPr>
        </oleObject>
      </mc:Choice>
      <mc:Fallback>
        <oleObject progId="Acrobat Document" dvAspect="DVASPECT_ICON" shapeId="14354" r:id="rId10"/>
      </mc:Fallback>
    </mc:AlternateContent>
    <mc:AlternateContent xmlns:mc="http://schemas.openxmlformats.org/markup-compatibility/2006">
      <mc:Choice Requires="x14">
        <oleObject progId="Acrobat Document" dvAspect="DVASPECT_ICON" shapeId="14355" r:id="rId12">
          <objectPr defaultSize="0" r:id="rId13">
            <anchor moveWithCells="1">
              <from>
                <xdr:col>1</xdr:col>
                <xdr:colOff>30480</xdr:colOff>
                <xdr:row>13</xdr:row>
                <xdr:rowOff>99060</xdr:rowOff>
              </from>
              <to>
                <xdr:col>1</xdr:col>
                <xdr:colOff>944880</xdr:colOff>
                <xdr:row>17</xdr:row>
                <xdr:rowOff>0</xdr:rowOff>
              </to>
            </anchor>
          </objectPr>
        </oleObject>
      </mc:Choice>
      <mc:Fallback>
        <oleObject progId="Acrobat Document" dvAspect="DVASPECT_ICON" shapeId="14355" r:id="rId12"/>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1038"/>
  <sheetViews>
    <sheetView showGridLines="0" showWhiteSpace="0" topLeftCell="A16" zoomScale="90" zoomScaleNormal="90" zoomScaleSheetLayoutView="90" workbookViewId="0">
      <selection activeCell="G1" sqref="G1:H1"/>
    </sheetView>
  </sheetViews>
  <sheetFormatPr defaultColWidth="9.33203125" defaultRowHeight="10.199999999999999" outlineLevelRow="4" outlineLevelCol="2" x14ac:dyDescent="0.2"/>
  <cols>
    <col min="1" max="1" width="7.44140625" style="21" customWidth="1"/>
    <col min="2" max="2" width="3.5546875" style="15" hidden="1" customWidth="1" outlineLevel="1"/>
    <col min="3" max="3" width="24.33203125" style="15" hidden="1" customWidth="1" outlineLevel="2"/>
    <col min="4" max="4" width="32.33203125" style="15" customWidth="1" collapsed="1"/>
    <col min="5" max="5" width="26.44140625" style="18" customWidth="1"/>
    <col min="6" max="6" width="8.33203125" style="17" hidden="1" customWidth="1"/>
    <col min="7" max="7" width="13.44140625" style="15" customWidth="1"/>
    <col min="8" max="8" width="27.33203125" style="15" customWidth="1"/>
    <col min="9" max="9" width="8.5546875" style="17" hidden="1" customWidth="1"/>
    <col min="10" max="10" width="4.6640625" style="15" customWidth="1"/>
    <col min="11" max="11" width="47.5546875" style="15" bestFit="1" customWidth="1"/>
    <col min="12" max="12" width="14.33203125" style="17" hidden="1" customWidth="1"/>
    <col min="13" max="13" width="16.6640625" style="15" customWidth="1"/>
    <col min="14" max="14" width="25.6640625" style="15" customWidth="1"/>
    <col min="15" max="15" width="17" style="17" hidden="1" customWidth="1"/>
    <col min="16" max="17" width="9.33203125" style="15" hidden="1" customWidth="1"/>
    <col min="18" max="18" width="17.33203125" style="15" hidden="1" customWidth="1"/>
    <col min="19" max="19" width="13.6640625" style="15" hidden="1" customWidth="1"/>
    <col min="20" max="21" width="15.6640625" style="15" hidden="1" customWidth="1"/>
    <col min="22" max="22" width="15" style="15" hidden="1" customWidth="1"/>
    <col min="23" max="23" width="16.6640625" style="15" hidden="1" customWidth="1"/>
    <col min="24" max="26" width="9.33203125" style="15" hidden="1" customWidth="1"/>
    <col min="27" max="33" width="17.44140625" style="15" hidden="1" customWidth="1"/>
    <col min="34" max="34" width="9.33203125" style="15" hidden="1" customWidth="1"/>
    <col min="35" max="35" width="17.6640625" style="15" hidden="1" customWidth="1"/>
    <col min="36" max="36" width="9.33203125" style="15" hidden="1" customWidth="1"/>
    <col min="37" max="37" width="12.44140625" style="15" hidden="1" customWidth="1"/>
    <col min="38" max="38" width="9.33203125" style="15" hidden="1" customWidth="1"/>
    <col min="39" max="39" width="14.33203125" style="15" hidden="1" customWidth="1"/>
    <col min="40" max="40" width="14.6640625" style="15" hidden="1" customWidth="1"/>
    <col min="41" max="134" width="9.33203125" style="15" hidden="1" customWidth="1"/>
    <col min="135" max="144" width="9.33203125" style="15" customWidth="1"/>
    <col min="145" max="16384" width="9.33203125" style="15"/>
  </cols>
  <sheetData>
    <row r="1" spans="1:16" ht="13.8" x14ac:dyDescent="0.25">
      <c r="D1" s="1627" t="s">
        <v>117</v>
      </c>
      <c r="E1" s="1628"/>
      <c r="F1" s="16"/>
      <c r="G1" s="1629">
        <v>45170</v>
      </c>
      <c r="H1" s="1630"/>
    </row>
    <row r="2" spans="1:16" ht="13.2" x14ac:dyDescent="0.25">
      <c r="D2" s="1585" t="s">
        <v>118</v>
      </c>
      <c r="E2" s="1585"/>
      <c r="F2" s="1585"/>
      <c r="G2" s="1585"/>
      <c r="H2" s="1585"/>
      <c r="I2" s="1585"/>
      <c r="J2" s="1585"/>
      <c r="K2" s="1585"/>
      <c r="L2" s="1585"/>
      <c r="M2" s="1585"/>
      <c r="N2" s="1585"/>
    </row>
    <row r="3" spans="1:16" ht="10.8" thickBot="1" x14ac:dyDescent="0.25">
      <c r="A3" s="1580" t="s">
        <v>991</v>
      </c>
    </row>
    <row r="4" spans="1:16" ht="20.25" customHeight="1" x14ac:dyDescent="0.2">
      <c r="A4" s="1580"/>
      <c r="B4" s="1631" t="s">
        <v>119</v>
      </c>
      <c r="C4" s="1634" t="s">
        <v>120</v>
      </c>
      <c r="D4" s="19" t="s">
        <v>121</v>
      </c>
      <c r="E4" s="513" t="s">
        <v>81</v>
      </c>
      <c r="H4" s="19" t="s">
        <v>122</v>
      </c>
      <c r="K4" s="402">
        <v>12000000</v>
      </c>
      <c r="N4" s="475" t="str">
        <f>+IF(K4&gt;15000000,"NEM HITELEZHETŐ, a hitel max. 15 M Ft lehet","")</f>
        <v/>
      </c>
    </row>
    <row r="5" spans="1:16" ht="19.5" customHeight="1" x14ac:dyDescent="0.2">
      <c r="A5" s="1580"/>
      <c r="B5" s="1632"/>
      <c r="C5" s="1634"/>
      <c r="D5" s="19" t="s">
        <v>123</v>
      </c>
      <c r="E5" s="401" t="s">
        <v>600</v>
      </c>
      <c r="H5" s="19" t="s">
        <v>124</v>
      </c>
      <c r="K5" s="401">
        <v>240</v>
      </c>
      <c r="N5" s="475" t="str">
        <f>+IF(K5&gt;300,"NEM HITELEZHETŐ, a futamidő max. 300 hó lehet","")</f>
        <v/>
      </c>
    </row>
    <row r="6" spans="1:16" x14ac:dyDescent="0.2">
      <c r="A6" s="1580"/>
      <c r="B6" s="1632"/>
      <c r="C6" s="1634"/>
      <c r="D6" s="19" t="s">
        <v>1096</v>
      </c>
      <c r="E6" s="514" t="s">
        <v>1097</v>
      </c>
      <c r="H6" s="19" t="s">
        <v>1843</v>
      </c>
      <c r="K6" s="401" t="s">
        <v>87</v>
      </c>
    </row>
    <row r="7" spans="1:16" ht="3" hidden="1" customHeight="1" x14ac:dyDescent="0.2">
      <c r="A7" s="1580"/>
      <c r="B7" s="1632"/>
      <c r="C7" s="1634"/>
      <c r="D7" s="40" t="s">
        <v>1131</v>
      </c>
      <c r="E7" s="15"/>
      <c r="H7" s="401" t="s">
        <v>85</v>
      </c>
      <c r="K7" s="386"/>
    </row>
    <row r="8" spans="1:16" ht="10.5" customHeight="1" x14ac:dyDescent="0.2">
      <c r="A8" s="1580"/>
      <c r="B8" s="1632"/>
      <c r="C8" s="1634"/>
      <c r="D8" s="40" t="s">
        <v>1140</v>
      </c>
      <c r="E8" s="40"/>
      <c r="H8" s="19" t="str">
        <f>+IF((N108+N187)&gt;=250000,"igen","nem")</f>
        <v>igen</v>
      </c>
      <c r="K8" s="386"/>
    </row>
    <row r="9" spans="1:16" s="20" customFormat="1" ht="12" customHeight="1" x14ac:dyDescent="0.2">
      <c r="A9" s="1580"/>
      <c r="B9" s="1632"/>
      <c r="C9" s="1634"/>
      <c r="D9" s="337" t="s">
        <v>125</v>
      </c>
      <c r="E9" s="387" t="s">
        <v>126</v>
      </c>
      <c r="F9" s="337"/>
      <c r="G9" s="337"/>
      <c r="H9" s="338" t="s">
        <v>127</v>
      </c>
      <c r="I9" s="337"/>
      <c r="J9" s="337"/>
      <c r="K9" s="388"/>
      <c r="L9" s="22"/>
      <c r="O9" s="22"/>
    </row>
    <row r="10" spans="1:16" x14ac:dyDescent="0.2">
      <c r="A10" s="1580"/>
      <c r="B10" s="1632"/>
      <c r="C10" s="1634"/>
      <c r="D10" s="19" t="s">
        <v>128</v>
      </c>
      <c r="E10" s="401">
        <v>1</v>
      </c>
      <c r="H10" s="20" t="s">
        <v>129</v>
      </c>
      <c r="J10" s="21"/>
      <c r="K10" s="479"/>
      <c r="L10" s="22"/>
      <c r="M10" s="23">
        <v>0</v>
      </c>
    </row>
    <row r="11" spans="1:16" ht="12.75" customHeight="1" x14ac:dyDescent="0.2">
      <c r="A11" s="1580"/>
      <c r="B11" s="1632"/>
      <c r="D11" s="19" t="s">
        <v>1408</v>
      </c>
      <c r="E11" s="401"/>
      <c r="F11" s="427"/>
      <c r="G11" s="21"/>
      <c r="H11" s="20" t="s">
        <v>130</v>
      </c>
      <c r="I11" s="22"/>
      <c r="J11" s="20"/>
      <c r="K11" s="24">
        <f>K4*M10</f>
        <v>0</v>
      </c>
      <c r="L11" s="427"/>
      <c r="M11" s="21"/>
      <c r="N11" s="21"/>
    </row>
    <row r="12" spans="1:16" ht="10.5" customHeight="1" x14ac:dyDescent="0.2">
      <c r="A12" s="1580"/>
      <c r="B12" s="1632"/>
      <c r="D12" s="19" t="s">
        <v>84</v>
      </c>
      <c r="E12" s="401" t="s">
        <v>85</v>
      </c>
      <c r="F12" s="427"/>
      <c r="G12" s="21"/>
      <c r="H12" s="337" t="s">
        <v>88</v>
      </c>
      <c r="I12" s="337"/>
      <c r="J12" s="337"/>
      <c r="K12" s="389" t="s">
        <v>87</v>
      </c>
      <c r="L12" s="427"/>
      <c r="M12" s="21"/>
      <c r="N12" s="21"/>
      <c r="P12" s="20" t="s">
        <v>85</v>
      </c>
    </row>
    <row r="13" spans="1:16" ht="10.5" customHeight="1" x14ac:dyDescent="0.2">
      <c r="A13" s="1580"/>
      <c r="B13" s="1632"/>
      <c r="D13" s="19" t="s">
        <v>1778</v>
      </c>
      <c r="E13" s="28">
        <f>+IF(E5=paraméterek!A181,Hirdetmény!AI8,0)</f>
        <v>0</v>
      </c>
      <c r="F13" s="427"/>
      <c r="G13" s="21"/>
      <c r="H13" s="21"/>
      <c r="I13" s="427"/>
      <c r="J13" s="21"/>
      <c r="K13" s="428"/>
      <c r="L13" s="427"/>
      <c r="M13" s="21"/>
      <c r="N13" s="21"/>
      <c r="P13" s="20" t="s">
        <v>87</v>
      </c>
    </row>
    <row r="14" spans="1:16" ht="10.5" customHeight="1" x14ac:dyDescent="0.2">
      <c r="A14" s="1580"/>
      <c r="B14" s="1632"/>
      <c r="D14" s="19" t="s">
        <v>1781</v>
      </c>
      <c r="E14" s="28">
        <f>+IF(E5="Új lakás építés",2*Hirdetmény!AA29,IF(E5=paraméterek!A181,2*Hirdetmény!AM8,0))</f>
        <v>0</v>
      </c>
      <c r="F14" s="427"/>
      <c r="G14" s="21"/>
      <c r="H14" s="21"/>
      <c r="I14" s="427"/>
      <c r="J14" s="21"/>
      <c r="K14" s="428"/>
      <c r="L14" s="427"/>
      <c r="M14" s="21"/>
      <c r="N14" s="21"/>
    </row>
    <row r="15" spans="1:16" x14ac:dyDescent="0.2">
      <c r="A15" s="1580"/>
      <c r="B15" s="1632"/>
      <c r="C15" s="1634" t="s">
        <v>131</v>
      </c>
      <c r="D15" s="19" t="s">
        <v>101</v>
      </c>
      <c r="E15" s="25">
        <f>IF(OR(E5=paraméterek!A180,E5=paraméterek!A181),'komplex kalkulátor'!E10*Hirdetmény!AK8,E10*fedezetertekelesidij-IF(E12="igen",fedezetertekelesidij,0))</f>
        <v>0</v>
      </c>
      <c r="F15" s="15"/>
      <c r="H15" s="19" t="s">
        <v>102</v>
      </c>
      <c r="K15" s="26" t="s">
        <v>132</v>
      </c>
      <c r="L15" s="27"/>
      <c r="M15" s="19"/>
      <c r="N15" s="28">
        <f>SUM(E15:E20)</f>
        <v>35100</v>
      </c>
    </row>
    <row r="16" spans="1:16" ht="11.25" customHeight="1" x14ac:dyDescent="0.25">
      <c r="A16" s="1580"/>
      <c r="B16" s="1632"/>
      <c r="C16" s="1634"/>
      <c r="D16" s="19" t="s">
        <v>103</v>
      </c>
      <c r="E16" s="25">
        <f>IF(E12="igen",0,IF(H16="Ügyfél fizeti",+MIN(K4*folyjut,200000),+MIN(K4*folyjut/0.99,200000)))</f>
        <v>0</v>
      </c>
      <c r="F16" s="15"/>
      <c r="H16" s="403" t="s">
        <v>133</v>
      </c>
      <c r="I16" s="29"/>
      <c r="J16" s="13"/>
      <c r="K16" s="400"/>
      <c r="L16" s="27"/>
      <c r="M16" s="19"/>
      <c r="N16" s="19"/>
    </row>
    <row r="17" spans="1:14" ht="12" customHeight="1" x14ac:dyDescent="0.25">
      <c r="A17" s="1580"/>
      <c r="B17" s="1632"/>
      <c r="C17" s="1634"/>
      <c r="D17" s="19" t="s">
        <v>104</v>
      </c>
      <c r="E17" s="25">
        <f>+E10*fedezetbejegyzesidij</f>
        <v>12600</v>
      </c>
      <c r="F17" s="15"/>
      <c r="H17" s="19" t="s">
        <v>102</v>
      </c>
      <c r="I17" s="30"/>
      <c r="J17" s="13"/>
      <c r="K17" s="1635" t="s">
        <v>134</v>
      </c>
      <c r="L17" s="27"/>
      <c r="M17" s="19"/>
      <c r="N17" s="19"/>
    </row>
    <row r="18" spans="1:14" x14ac:dyDescent="0.2">
      <c r="A18" s="1580"/>
      <c r="B18" s="1632"/>
      <c r="C18" s="1634"/>
      <c r="D18" s="19" t="s">
        <v>105</v>
      </c>
      <c r="E18" s="25">
        <f>IF(OR(E5=paraméterek!A180,'komplex kalkulátor'!E5=paraméterek!A181),'komplex kalkulátor'!E10*Hirdetmény!AL8,+E10*tullapktg)</f>
        <v>3000</v>
      </c>
      <c r="F18" s="15"/>
      <c r="H18" s="19" t="s">
        <v>102</v>
      </c>
      <c r="K18" s="1636"/>
      <c r="L18" s="27"/>
      <c r="M18" s="19"/>
      <c r="N18" s="31">
        <f>K4+SUMIF(H15:H20,"Bank meghitelezi",E15:E20)</f>
        <v>12000000</v>
      </c>
    </row>
    <row r="19" spans="1:14" x14ac:dyDescent="0.2">
      <c r="A19" s="1580"/>
      <c r="B19" s="1632"/>
      <c r="C19" s="1634"/>
      <c r="D19" s="20" t="s">
        <v>106</v>
      </c>
      <c r="E19" s="340">
        <f>IF(K12="igen",E10*admindij,0)</f>
        <v>0</v>
      </c>
      <c r="F19" s="20"/>
      <c r="G19" s="20"/>
      <c r="H19" s="20" t="s">
        <v>102</v>
      </c>
      <c r="K19" s="19" t="s">
        <v>135</v>
      </c>
      <c r="L19" s="27"/>
      <c r="M19" s="19"/>
      <c r="N19" s="28">
        <f>N18-K4</f>
        <v>0</v>
      </c>
    </row>
    <row r="20" spans="1:14" x14ac:dyDescent="0.2">
      <c r="A20" s="1580"/>
      <c r="B20" s="1632"/>
      <c r="C20" s="1634"/>
      <c r="D20" s="19" t="s">
        <v>107</v>
      </c>
      <c r="E20" s="25">
        <f>IF(OR(E5=paraméterek!A181,'komplex kalkulátor'!E5=paraméterek!A180),paraméterek!B286,paraméterek!B286)</f>
        <v>19500</v>
      </c>
      <c r="F20" s="15"/>
      <c r="H20" s="19" t="s">
        <v>102</v>
      </c>
      <c r="K20" s="26"/>
      <c r="L20" s="27"/>
      <c r="M20" s="19"/>
      <c r="N20" s="19"/>
    </row>
    <row r="21" spans="1:14" ht="32.25" customHeight="1" x14ac:dyDescent="0.2">
      <c r="A21" s="1580"/>
      <c r="B21" s="1632"/>
      <c r="C21" s="430"/>
      <c r="D21" s="1637" t="str">
        <f>IF(OR(E5=paraméterek!A180,E5=paraméterek!A181),"",+IF(E12="igen","A fenti összegek az Akció keretében visszatérített egyszeri díjak (42.000 Ft Fedezet értékelési díj egy ingatlan vonatkozásában, továbbá a Közjegyzői díj, max. 40.000 Ft értékben) figyelembevételével kerültek meghatározásra!",""))</f>
        <v>A fenti összegek az Akció keretében visszatérített egyszeri díjak (42.000 Ft Fedezet értékelési díj egy ingatlan vonatkozásában, továbbá a Közjegyzői díj, max. 40.000 Ft értékben) figyelembevételével kerültek meghatározásra!</v>
      </c>
      <c r="E21" s="1637"/>
      <c r="F21" s="15"/>
      <c r="H21" s="19"/>
      <c r="K21" s="26"/>
      <c r="L21" s="27"/>
      <c r="M21" s="19"/>
      <c r="N21" s="19"/>
    </row>
    <row r="22" spans="1:14" x14ac:dyDescent="0.2">
      <c r="A22" s="1580"/>
      <c r="B22" s="1632"/>
      <c r="C22" s="430"/>
      <c r="D22" s="19"/>
      <c r="E22" s="25"/>
      <c r="F22" s="15"/>
      <c r="H22" s="19"/>
      <c r="K22" s="26"/>
      <c r="L22" s="27"/>
      <c r="M22" s="19"/>
      <c r="N22" s="19"/>
    </row>
    <row r="23" spans="1:14" x14ac:dyDescent="0.2">
      <c r="A23" s="1580"/>
      <c r="B23" s="1632"/>
      <c r="C23" s="32"/>
      <c r="D23" s="19" t="s">
        <v>1000</v>
      </c>
      <c r="E23" s="401" t="s">
        <v>1004</v>
      </c>
      <c r="F23" s="15"/>
      <c r="H23" s="19" t="s">
        <v>1393</v>
      </c>
      <c r="K23" s="402">
        <v>0</v>
      </c>
    </row>
    <row r="24" spans="1:14" ht="1.95" customHeight="1" x14ac:dyDescent="0.2">
      <c r="A24" s="1580"/>
      <c r="B24" s="1632"/>
      <c r="C24" s="32"/>
      <c r="D24" s="19"/>
      <c r="E24" s="440"/>
      <c r="F24" s="15"/>
      <c r="H24" s="19"/>
      <c r="K24" s="483"/>
    </row>
    <row r="25" spans="1:14" ht="9.75" customHeight="1" thickBot="1" x14ac:dyDescent="0.25">
      <c r="A25" s="1580"/>
      <c r="B25" s="1633"/>
      <c r="C25" s="32"/>
      <c r="D25" s="19" t="s">
        <v>136</v>
      </c>
      <c r="E25" s="25">
        <f>+VLOOKUP(E23,paraméterek!$A$289:$C$315,2,FALSE)</f>
        <v>0</v>
      </c>
      <c r="F25" s="25"/>
      <c r="H25" s="19" t="s">
        <v>1394</v>
      </c>
      <c r="K25" s="484" t="s">
        <v>1299</v>
      </c>
    </row>
    <row r="26" spans="1:14" ht="3" customHeight="1" x14ac:dyDescent="0.2">
      <c r="A26" s="431"/>
      <c r="B26" s="438"/>
      <c r="C26" s="32"/>
      <c r="D26" s="19"/>
      <c r="E26" s="25"/>
      <c r="F26" s="25"/>
      <c r="H26" s="33"/>
    </row>
    <row r="27" spans="1:14" ht="9" customHeight="1" x14ac:dyDescent="0.2">
      <c r="A27" s="431"/>
      <c r="B27" s="438"/>
      <c r="C27" s="32"/>
      <c r="D27" s="19" t="s">
        <v>1852</v>
      </c>
      <c r="E27" s="439">
        <f>+VLOOKUP(E23,paraméterek!$A$289:$C$315,3,FALSE)</f>
        <v>0</v>
      </c>
      <c r="F27" s="439"/>
      <c r="H27" s="19" t="s">
        <v>1395</v>
      </c>
      <c r="K27" s="484" t="s">
        <v>1382</v>
      </c>
      <c r="N27" s="28">
        <f>+IF(K27="Postán",250,0)</f>
        <v>0</v>
      </c>
    </row>
    <row r="28" spans="1:14" ht="9" customHeight="1" x14ac:dyDescent="0.2">
      <c r="A28" s="431"/>
      <c r="B28" s="438"/>
      <c r="C28" s="32"/>
      <c r="D28" s="19" t="str">
        <f>IF(K6="nem","","Törlesztőrészlet a türelmi idő alatt (Ft)")</f>
        <v/>
      </c>
      <c r="E28" s="602" t="str">
        <f>IFERROR(paraméterek!J306,"")</f>
        <v/>
      </c>
      <c r="F28" s="439"/>
      <c r="H28" s="19"/>
      <c r="K28" s="612"/>
      <c r="N28" s="28"/>
    </row>
    <row r="29" spans="1:14" ht="9" customHeight="1" x14ac:dyDescent="0.2">
      <c r="A29" s="431"/>
      <c r="B29" s="438"/>
      <c r="C29" s="32"/>
      <c r="D29" s="19" t="str">
        <f>IF(K6="nem","Törlesztések díja (Ft)","Törlesztések díja a türelmi idő után (Ft)")</f>
        <v>Törlesztések díja (Ft)</v>
      </c>
      <c r="E29" s="602">
        <f>E27*E292</f>
        <v>0</v>
      </c>
      <c r="F29" s="439"/>
      <c r="H29" s="19"/>
      <c r="N29" s="28"/>
    </row>
    <row r="30" spans="1:14" ht="6.75" customHeight="1" x14ac:dyDescent="0.2"/>
    <row r="31" spans="1:14" ht="12.75" customHeight="1" outlineLevel="1" thickBot="1" x14ac:dyDescent="0.3">
      <c r="A31" s="1583" t="s">
        <v>957</v>
      </c>
      <c r="B31" s="34" t="s">
        <v>137</v>
      </c>
      <c r="D31" s="35" t="s">
        <v>138</v>
      </c>
      <c r="E31" s="1615"/>
      <c r="F31" s="1615"/>
      <c r="G31" s="1615"/>
      <c r="H31" s="1615"/>
      <c r="I31" s="1615"/>
      <c r="J31" s="1615"/>
      <c r="K31" s="1615"/>
      <c r="L31" s="1615"/>
      <c r="M31" s="1615"/>
      <c r="N31" s="1615"/>
    </row>
    <row r="32" spans="1:14" ht="13.5" customHeight="1" thickBot="1" x14ac:dyDescent="0.3">
      <c r="A32" s="1583"/>
      <c r="B32" s="1621" t="s">
        <v>139</v>
      </c>
      <c r="D32" s="1585" t="s">
        <v>958</v>
      </c>
      <c r="E32" s="1585"/>
      <c r="F32" s="1585"/>
      <c r="G32" s="1585"/>
      <c r="H32" s="1585"/>
      <c r="I32" s="1585"/>
      <c r="J32" s="1585"/>
      <c r="K32" s="1585"/>
      <c r="L32" s="1585"/>
      <c r="M32" s="1585"/>
      <c r="N32" s="1585"/>
    </row>
    <row r="33" spans="1:15" x14ac:dyDescent="0.2">
      <c r="A33" s="1583"/>
      <c r="B33" s="1622"/>
      <c r="D33" s="26"/>
      <c r="E33" s="36" t="s">
        <v>141</v>
      </c>
      <c r="F33" s="27"/>
      <c r="G33" s="37"/>
      <c r="H33" s="36" t="s">
        <v>142</v>
      </c>
      <c r="I33" s="27"/>
      <c r="J33" s="19"/>
      <c r="K33" s="36" t="s">
        <v>143</v>
      </c>
      <c r="L33" s="27"/>
      <c r="M33" s="19"/>
      <c r="N33" s="36" t="s">
        <v>144</v>
      </c>
    </row>
    <row r="34" spans="1:15" x14ac:dyDescent="0.2">
      <c r="A34" s="1583"/>
      <c r="B34" s="1622"/>
      <c r="D34" s="19" t="s">
        <v>145</v>
      </c>
      <c r="E34" s="404" t="s">
        <v>915</v>
      </c>
      <c r="F34" s="27"/>
      <c r="G34" s="19"/>
      <c r="H34" s="404"/>
      <c r="I34" s="27"/>
      <c r="J34" s="19"/>
      <c r="K34" s="404"/>
      <c r="L34" s="27"/>
      <c r="M34" s="19"/>
      <c r="N34" s="404"/>
    </row>
    <row r="35" spans="1:15" ht="10.5" hidden="1" customHeight="1" outlineLevel="1" x14ac:dyDescent="0.2">
      <c r="A35" s="1583"/>
      <c r="B35" s="1622"/>
      <c r="D35" s="19" t="s">
        <v>147</v>
      </c>
      <c r="E35" s="405"/>
      <c r="F35" s="27"/>
      <c r="G35" s="19"/>
      <c r="H35" s="407" t="s">
        <v>148</v>
      </c>
      <c r="I35" s="27"/>
      <c r="J35" s="19"/>
      <c r="K35" s="407"/>
      <c r="L35" s="27"/>
      <c r="M35" s="19"/>
      <c r="N35" s="407"/>
    </row>
    <row r="36" spans="1:15" ht="10.8" collapsed="1" thickBot="1" x14ac:dyDescent="0.25">
      <c r="A36" s="1583"/>
      <c r="B36" s="1622"/>
      <c r="D36" s="19" t="s">
        <v>149</v>
      </c>
      <c r="E36" s="406">
        <v>28591</v>
      </c>
      <c r="F36" s="27"/>
      <c r="G36" s="19"/>
      <c r="H36" s="406"/>
      <c r="I36" s="27"/>
      <c r="J36" s="19"/>
      <c r="K36" s="406"/>
      <c r="L36" s="27"/>
      <c r="M36" s="19"/>
      <c r="N36" s="406"/>
    </row>
    <row r="37" spans="1:15" ht="11.25" customHeight="1" outlineLevel="1" x14ac:dyDescent="0.2">
      <c r="A37" s="1583"/>
      <c r="B37" s="1622"/>
      <c r="C37" s="1624" t="s">
        <v>150</v>
      </c>
      <c r="D37" s="19" t="s">
        <v>151</v>
      </c>
      <c r="E37" s="38">
        <f>+($G$1-E36)/365</f>
        <v>45.421917808219177</v>
      </c>
      <c r="F37" s="27">
        <f>IF(LEN(E36)&gt;0,+VLOOKUP(E37,paraméterek!$A$58:$E$81,5,TRUE),0)</f>
        <v>0.94899999999999995</v>
      </c>
      <c r="G37" s="19"/>
      <c r="H37" s="38">
        <f>+($G$1-H36)/365</f>
        <v>123.75342465753425</v>
      </c>
      <c r="I37" s="27">
        <f>IF(LEN(H36)&gt;0,+VLOOKUP(H37,paraméterek!$A$58:$E$81,5,TRUE),0)</f>
        <v>0</v>
      </c>
      <c r="J37" s="19"/>
      <c r="K37" s="38">
        <f>+($G$1-K36)/365</f>
        <v>123.75342465753425</v>
      </c>
      <c r="L37" s="27">
        <f>IF(LEN(K36)&gt;0,+VLOOKUP(K37,paraméterek!$A$58:$E$81,5,TRUE),0)</f>
        <v>0</v>
      </c>
      <c r="M37" s="19"/>
      <c r="N37" s="38">
        <f>+($G$1-N36)/365</f>
        <v>123.75342465753425</v>
      </c>
      <c r="O37" s="27">
        <f>IF(LEN(N36)&gt;0,+VLOOKUP(N37,paraméterek!$A$58:$E$81,5,TRUE),0)</f>
        <v>0</v>
      </c>
    </row>
    <row r="38" spans="1:15" x14ac:dyDescent="0.2">
      <c r="A38" s="1583"/>
      <c r="B38" s="1622"/>
      <c r="C38" s="1625"/>
      <c r="D38" s="19" t="s">
        <v>152</v>
      </c>
      <c r="E38" s="404" t="s">
        <v>153</v>
      </c>
      <c r="F38" s="27">
        <f>IF(LEN(E38)&gt;0,+VLOOKUP(E38,paraméterek!$A$11:$B$18,2,FALSE),0)</f>
        <v>1.04</v>
      </c>
      <c r="G38" s="19"/>
      <c r="H38" s="404"/>
      <c r="I38" s="27">
        <f>IF(LEN(H38)&gt;0,+VLOOKUP(H38,paraméterek!$A$11:$B$18,2,FALSE),0)</f>
        <v>0</v>
      </c>
      <c r="J38" s="19"/>
      <c r="K38" s="404"/>
      <c r="L38" s="27">
        <f>IF(LEN(K38)&gt;0,+VLOOKUP(K38,paraméterek!$A$11:$B$18,2,FALSE),0)</f>
        <v>0</v>
      </c>
      <c r="M38" s="19"/>
      <c r="N38" s="404"/>
      <c r="O38" s="27">
        <f>IF(LEN(N38)&gt;0,+VLOOKUP(N38,paraméterek!$A$11:$B$18,2,FALSE),0)</f>
        <v>0</v>
      </c>
    </row>
    <row r="39" spans="1:15" x14ac:dyDescent="0.2">
      <c r="A39" s="1583"/>
      <c r="B39" s="1622"/>
      <c r="C39" s="1625"/>
      <c r="D39" s="19" t="s">
        <v>154</v>
      </c>
      <c r="E39" s="404" t="s">
        <v>229</v>
      </c>
      <c r="F39" s="27">
        <f>IF(LEN(E39)&gt;0,+VLOOKUP(E39,paraméterek!$A$22:$B$32,2,FALSE),0)</f>
        <v>1.03</v>
      </c>
      <c r="G39" s="19"/>
      <c r="H39" s="404"/>
      <c r="I39" s="27">
        <f>IF(LEN(H39)&gt;0,+VLOOKUP(H39,paraméterek!$A$22:$B$32,2,FALSE),0)</f>
        <v>0</v>
      </c>
      <c r="J39" s="19"/>
      <c r="K39" s="404"/>
      <c r="L39" s="27">
        <f>IF(LEN(K39)&gt;0,+VLOOKUP(K39,paraméterek!$A$22:$B$32,2,FALSE),0)</f>
        <v>0</v>
      </c>
      <c r="M39" s="19"/>
      <c r="N39" s="404"/>
      <c r="O39" s="27">
        <f>IF(LEN(N39)&gt;0,+VLOOKUP(N39,paraméterek!$A$22:$B$32,2,FALSE),0)</f>
        <v>0</v>
      </c>
    </row>
    <row r="40" spans="1:15" x14ac:dyDescent="0.2">
      <c r="A40" s="1583"/>
      <c r="B40" s="1622"/>
      <c r="C40" s="1625"/>
      <c r="D40" s="19" t="s">
        <v>156</v>
      </c>
      <c r="E40" s="404" t="s">
        <v>230</v>
      </c>
      <c r="F40" s="27">
        <f>IF(LEN(E40)&gt;0,+VLOOKUP(E40,paraméterek!$A$36:$B$38,2,FALSE),0)</f>
        <v>1.04</v>
      </c>
      <c r="G40" s="19"/>
      <c r="H40" s="404" t="s">
        <v>230</v>
      </c>
      <c r="I40" s="27">
        <f>IF(LEN(H40)&gt;0,+VLOOKUP(H40,paraméterek!$A$36:$B$38,2,FALSE),0)</f>
        <v>1.04</v>
      </c>
      <c r="J40" s="19"/>
      <c r="K40" s="404"/>
      <c r="L40" s="27">
        <f>IF(LEN(K40)&gt;0,+VLOOKUP(K40,paraméterek!$A$36:$B$38,2,FALSE),0)</f>
        <v>0</v>
      </c>
      <c r="M40" s="19"/>
      <c r="N40" s="404"/>
      <c r="O40" s="27">
        <f>IF(LEN(N40)&gt;0,+VLOOKUP(N40,paraméterek!$A$36:$B$38,2,FALSE),0)</f>
        <v>0</v>
      </c>
    </row>
    <row r="41" spans="1:15" x14ac:dyDescent="0.2">
      <c r="A41" s="1583"/>
      <c r="B41" s="1622"/>
      <c r="C41" s="1625"/>
      <c r="D41" s="19" t="s">
        <v>158</v>
      </c>
      <c r="E41" s="404" t="s">
        <v>231</v>
      </c>
      <c r="F41" s="27">
        <f>IF(LEN(E41)&gt;0,+VLOOKUP(E41,paraméterek!$A$42:$B$44,2,FALSE),0)</f>
        <v>1.04</v>
      </c>
      <c r="G41" s="19"/>
      <c r="H41" s="404" t="s">
        <v>231</v>
      </c>
      <c r="I41" s="27">
        <f>IF(LEN(H41)&gt;0,+VLOOKUP(H41,paraméterek!$A$42:$B$44,2,FALSE),0)</f>
        <v>1.04</v>
      </c>
      <c r="J41" s="19"/>
      <c r="K41" s="404"/>
      <c r="L41" s="27">
        <f>IF(LEN(K41)&gt;0,+VLOOKUP(K41,paraméterek!$A$42:$B$44,2,FALSE),0)</f>
        <v>0</v>
      </c>
      <c r="M41" s="19"/>
      <c r="N41" s="404"/>
      <c r="O41" s="27">
        <f>IF(LEN(N41)&gt;0,+VLOOKUP(N41,paraméterek!$A$42:$B$44,2,FALSE),0)</f>
        <v>0</v>
      </c>
    </row>
    <row r="42" spans="1:15" x14ac:dyDescent="0.2">
      <c r="A42" s="1583"/>
      <c r="B42" s="1622"/>
      <c r="C42" s="1625"/>
      <c r="D42" s="19" t="s">
        <v>160</v>
      </c>
      <c r="E42" s="404">
        <v>2</v>
      </c>
      <c r="F42" s="27">
        <f>IF(LEN(E42)&gt;0,+VLOOKUP(E42,paraméterek!$A$47:$B$50,2,FALSE),0)</f>
        <v>1.02</v>
      </c>
      <c r="G42" s="19"/>
      <c r="H42" s="404">
        <v>1</v>
      </c>
      <c r="I42" s="27">
        <f>IF(LEN(H42)&gt;0,+VLOOKUP(H42,paraméterek!$A$47:$B$50,2,FALSE),0)</f>
        <v>1</v>
      </c>
      <c r="J42" s="19"/>
      <c r="K42" s="404"/>
      <c r="L42" s="27">
        <f>IF(LEN(K42)&gt;0,+VLOOKUP(K42,paraméterek!$A$47:$B$50,2,FALSE),0)</f>
        <v>0</v>
      </c>
      <c r="M42" s="19"/>
      <c r="N42" s="404"/>
      <c r="O42" s="27">
        <f>IF(LEN(N42)&gt;0,+VLOOKUP(N42,paraméterek!$A$47:$B$50,2,FALSE),0)</f>
        <v>0</v>
      </c>
    </row>
    <row r="43" spans="1:15" x14ac:dyDescent="0.2">
      <c r="A43" s="1583"/>
      <c r="B43" s="1622"/>
      <c r="C43" s="1625"/>
      <c r="D43" s="19" t="s">
        <v>161</v>
      </c>
      <c r="E43" s="404" t="s">
        <v>232</v>
      </c>
      <c r="F43" s="27">
        <f>IF(LEN(E43)&gt;0,+VLOOKUP(E43,paraméterek!$A$53:$B$54,2,FALSE),0)</f>
        <v>1.03</v>
      </c>
      <c r="G43" s="19"/>
      <c r="H43" s="404" t="s">
        <v>162</v>
      </c>
      <c r="I43" s="27">
        <f>IF(LEN(H43)&gt;0,+VLOOKUP(H43,paraméterek!$A$53:$B$54,2,FALSE),0)</f>
        <v>1</v>
      </c>
      <c r="J43" s="19"/>
      <c r="K43" s="404"/>
      <c r="L43" s="27">
        <f>IF(LEN(K43)&gt;0,+VLOOKUP(K43,paraméterek!$A$53:$B$54,2,FALSE),0)</f>
        <v>0</v>
      </c>
      <c r="M43" s="19"/>
      <c r="N43" s="404"/>
      <c r="O43" s="27">
        <f>IF(LEN(N43)&gt;0,+VLOOKUP(N43,paraméterek!$A$53:$B$54,2,FALSE),0)</f>
        <v>0</v>
      </c>
    </row>
    <row r="44" spans="1:15" ht="3.75" customHeight="1" x14ac:dyDescent="0.2">
      <c r="A44" s="1583"/>
      <c r="B44" s="1622"/>
      <c r="C44" s="1625"/>
      <c r="D44" s="19"/>
      <c r="E44" s="39"/>
      <c r="F44" s="40"/>
      <c r="G44" s="40"/>
      <c r="H44" s="39"/>
      <c r="I44" s="40"/>
      <c r="J44" s="40"/>
      <c r="K44" s="39"/>
      <c r="L44" s="40"/>
      <c r="M44" s="40"/>
      <c r="N44" s="39"/>
    </row>
    <row r="45" spans="1:15" ht="15" customHeight="1" x14ac:dyDescent="0.25">
      <c r="A45" s="1583"/>
      <c r="B45" s="1622"/>
      <c r="C45" s="1625"/>
      <c r="D45" s="41" t="s">
        <v>163</v>
      </c>
      <c r="E45" s="42" t="str">
        <f>+VLOOKUP(PRODUCT(F37:F43),paraméterek!$A$2:$D$6,4,TRUE)</f>
        <v>B</v>
      </c>
      <c r="F45" s="43">
        <f>+PRODUCT(F37:F43)</f>
        <v>1.155156567272448</v>
      </c>
      <c r="G45" s="43"/>
      <c r="H45" s="42" t="str">
        <f>+VLOOKUP(PRODUCT(I37:I43),paraméterek!$A$2:$D$6,4,TRUE)</f>
        <v>E</v>
      </c>
      <c r="I45" s="43">
        <f>+PRODUCT(I37:I43)</f>
        <v>0</v>
      </c>
      <c r="J45" s="43"/>
      <c r="K45" s="42" t="str">
        <f>+VLOOKUP(PRODUCT(L37:L43),paraméterek!$A$2:$D$6,4,TRUE)</f>
        <v>E</v>
      </c>
      <c r="L45" s="43">
        <f>+PRODUCT(L37:L43)</f>
        <v>0</v>
      </c>
      <c r="M45" s="43"/>
      <c r="N45" s="42" t="str">
        <f>+VLOOKUP(PRODUCT(O37:O43),paraméterek!$A$2:$D$6,4,TRUE)</f>
        <v>E</v>
      </c>
      <c r="O45" s="17">
        <f>+PRODUCT(O37:O43)</f>
        <v>0</v>
      </c>
    </row>
    <row r="46" spans="1:15" ht="4.5" customHeight="1" x14ac:dyDescent="0.2">
      <c r="A46" s="1583"/>
      <c r="B46" s="1622"/>
      <c r="C46" s="1625"/>
      <c r="E46" s="44"/>
      <c r="H46" s="44"/>
      <c r="K46" s="44"/>
      <c r="N46" s="44"/>
    </row>
    <row r="47" spans="1:15" ht="10.8" thickBot="1" x14ac:dyDescent="0.25">
      <c r="A47" s="1583"/>
      <c r="B47" s="1622"/>
      <c r="C47" s="1626"/>
      <c r="D47" s="19" t="s">
        <v>164</v>
      </c>
      <c r="E47" s="404" t="s">
        <v>165</v>
      </c>
      <c r="F47" s="450"/>
      <c r="G47" s="451"/>
      <c r="H47" s="404" t="s">
        <v>165</v>
      </c>
      <c r="I47" s="450"/>
      <c r="J47" s="451"/>
      <c r="K47" s="404"/>
      <c r="L47" s="450"/>
      <c r="M47" s="451"/>
      <c r="N47" s="404"/>
    </row>
    <row r="48" spans="1:15" ht="3" customHeight="1" x14ac:dyDescent="0.2">
      <c r="A48" s="1583"/>
      <c r="B48" s="1622"/>
      <c r="E48" s="45"/>
      <c r="H48" s="45"/>
      <c r="K48" s="45"/>
      <c r="N48" s="45"/>
    </row>
    <row r="49" spans="1:14" ht="11.25" hidden="1" customHeight="1" outlineLevel="2" x14ac:dyDescent="0.2">
      <c r="A49" s="1583"/>
      <c r="B49" s="1622"/>
      <c r="C49" s="1624" t="s">
        <v>166</v>
      </c>
      <c r="D49" s="15" t="s">
        <v>167</v>
      </c>
      <c r="E49" s="45" t="s">
        <v>168</v>
      </c>
      <c r="H49" s="45" t="s">
        <v>168</v>
      </c>
      <c r="K49" s="45" t="s">
        <v>169</v>
      </c>
      <c r="N49" s="45" t="s">
        <v>169</v>
      </c>
    </row>
    <row r="50" spans="1:14" ht="10.5" hidden="1" customHeight="1" outlineLevel="1" collapsed="1" x14ac:dyDescent="0.2">
      <c r="A50" s="1583"/>
      <c r="B50" s="1622"/>
      <c r="C50" s="1625"/>
      <c r="D50" s="19" t="s">
        <v>170</v>
      </c>
      <c r="E50" s="46" t="s">
        <v>171</v>
      </c>
      <c r="H50" s="46" t="s">
        <v>172</v>
      </c>
      <c r="K50" s="46" t="s">
        <v>171</v>
      </c>
      <c r="N50" s="46" t="s">
        <v>171</v>
      </c>
    </row>
    <row r="51" spans="1:14" ht="21" hidden="1" customHeight="1" outlineLevel="1" x14ac:dyDescent="0.2">
      <c r="A51" s="1583"/>
      <c r="B51" s="1622"/>
      <c r="C51" s="1625"/>
      <c r="D51" s="399" t="s">
        <v>173</v>
      </c>
      <c r="E51" s="46" t="s">
        <v>85</v>
      </c>
      <c r="H51" s="46" t="s">
        <v>87</v>
      </c>
      <c r="K51" s="46"/>
      <c r="N51" s="46"/>
    </row>
    <row r="52" spans="1:14" ht="10.5" hidden="1" customHeight="1" outlineLevel="1" x14ac:dyDescent="0.2">
      <c r="A52" s="1583"/>
      <c r="B52" s="1622"/>
      <c r="C52" s="1625"/>
      <c r="D52" s="19" t="s">
        <v>174</v>
      </c>
      <c r="E52" s="46" t="s">
        <v>87</v>
      </c>
      <c r="H52" s="46"/>
      <c r="K52" s="46"/>
      <c r="N52" s="46"/>
    </row>
    <row r="53" spans="1:14" ht="11.25" hidden="1" customHeight="1" outlineLevel="1" x14ac:dyDescent="0.2">
      <c r="A53" s="1583"/>
      <c r="B53" s="1622"/>
      <c r="C53" s="1625"/>
      <c r="E53" s="45"/>
      <c r="H53" s="45"/>
      <c r="K53" s="45"/>
      <c r="N53" s="45"/>
    </row>
    <row r="54" spans="1:14" ht="10.5" hidden="1" customHeight="1" outlineLevel="1" x14ac:dyDescent="0.2">
      <c r="A54" s="1583"/>
      <c r="B54" s="1622"/>
      <c r="C54" s="1625"/>
      <c r="D54" s="19" t="s">
        <v>175</v>
      </c>
      <c r="E54" s="46" t="s">
        <v>176</v>
      </c>
      <c r="H54" s="46" t="s">
        <v>177</v>
      </c>
      <c r="K54" s="46" t="s">
        <v>178</v>
      </c>
      <c r="N54" s="46" t="s">
        <v>178</v>
      </c>
    </row>
    <row r="55" spans="1:14" ht="10.5" hidden="1" customHeight="1" outlineLevel="2" x14ac:dyDescent="0.2">
      <c r="A55" s="1583"/>
      <c r="B55" s="1622"/>
      <c r="C55" s="1625"/>
      <c r="D55" s="19" t="s">
        <v>179</v>
      </c>
      <c r="E55" s="46" t="s">
        <v>180</v>
      </c>
      <c r="H55" s="46" t="s">
        <v>181</v>
      </c>
      <c r="K55" s="46" t="s">
        <v>180</v>
      </c>
      <c r="N55" s="46" t="s">
        <v>180</v>
      </c>
    </row>
    <row r="56" spans="1:14" ht="10.5" hidden="1" customHeight="1" outlineLevel="2" x14ac:dyDescent="0.2">
      <c r="A56" s="1583"/>
      <c r="B56" s="1622"/>
      <c r="C56" s="1625"/>
      <c r="D56" s="19" t="s">
        <v>182</v>
      </c>
      <c r="E56" s="46" t="s">
        <v>87</v>
      </c>
      <c r="H56" s="46" t="s">
        <v>87</v>
      </c>
      <c r="K56" s="46" t="s">
        <v>87</v>
      </c>
      <c r="N56" s="46" t="s">
        <v>87</v>
      </c>
    </row>
    <row r="57" spans="1:14" ht="10.5" hidden="1" customHeight="1" outlineLevel="1" collapsed="1" x14ac:dyDescent="0.2">
      <c r="A57" s="1583"/>
      <c r="B57" s="1622"/>
      <c r="C57" s="1625"/>
      <c r="D57" s="19" t="s">
        <v>183</v>
      </c>
      <c r="E57" s="47">
        <v>38353</v>
      </c>
      <c r="H57" s="47">
        <v>34735</v>
      </c>
      <c r="K57" s="47">
        <v>34735</v>
      </c>
      <c r="N57" s="47">
        <v>34735</v>
      </c>
    </row>
    <row r="58" spans="1:14" ht="10.5" hidden="1" customHeight="1" outlineLevel="1" x14ac:dyDescent="0.2">
      <c r="A58" s="1583"/>
      <c r="B58" s="1622"/>
      <c r="C58" s="1625"/>
      <c r="D58" s="19" t="s">
        <v>184</v>
      </c>
      <c r="E58" s="46" t="s">
        <v>185</v>
      </c>
      <c r="H58" s="46" t="s">
        <v>185</v>
      </c>
      <c r="K58" s="46" t="s">
        <v>185</v>
      </c>
      <c r="N58" s="46" t="s">
        <v>185</v>
      </c>
    </row>
    <row r="59" spans="1:14" ht="10.5" hidden="1" customHeight="1" outlineLevel="2" x14ac:dyDescent="0.2">
      <c r="A59" s="1583"/>
      <c r="B59" s="1622"/>
      <c r="C59" s="1625"/>
      <c r="D59" s="19" t="s">
        <v>186</v>
      </c>
      <c r="E59" s="48">
        <v>400000</v>
      </c>
      <c r="F59" s="49"/>
      <c r="G59" s="50"/>
      <c r="H59" s="48">
        <v>0</v>
      </c>
      <c r="I59" s="49"/>
      <c r="J59" s="50"/>
      <c r="K59" s="48">
        <v>0</v>
      </c>
      <c r="L59" s="49"/>
      <c r="M59" s="50"/>
      <c r="N59" s="48">
        <v>0</v>
      </c>
    </row>
    <row r="60" spans="1:14" collapsed="1" x14ac:dyDescent="0.2">
      <c r="A60" s="1583"/>
      <c r="B60" s="1622"/>
      <c r="C60" s="1625"/>
      <c r="D60" s="19" t="s">
        <v>187</v>
      </c>
      <c r="E60" s="408">
        <v>500000</v>
      </c>
      <c r="F60" s="521"/>
      <c r="G60" s="522"/>
      <c r="H60" s="408"/>
      <c r="I60" s="521"/>
      <c r="J60" s="522"/>
      <c r="K60" s="408"/>
      <c r="L60" s="521"/>
      <c r="M60" s="522"/>
      <c r="N60" s="408">
        <v>0</v>
      </c>
    </row>
    <row r="61" spans="1:14" outlineLevel="1" x14ac:dyDescent="0.2">
      <c r="A61" s="1583"/>
      <c r="B61" s="1622"/>
      <c r="C61" s="1625"/>
      <c r="D61" s="19" t="s">
        <v>188</v>
      </c>
      <c r="E61" s="404" t="s">
        <v>189</v>
      </c>
      <c r="F61" s="450"/>
      <c r="G61" s="451"/>
      <c r="H61" s="404" t="s">
        <v>189</v>
      </c>
      <c r="I61" s="450"/>
      <c r="J61" s="451"/>
      <c r="K61" s="404"/>
      <c r="L61" s="450"/>
      <c r="M61" s="451"/>
      <c r="N61" s="404"/>
    </row>
    <row r="62" spans="1:14" ht="11.25" customHeight="1" outlineLevel="1" x14ac:dyDescent="0.2">
      <c r="A62" s="1583"/>
      <c r="B62" s="1622"/>
      <c r="C62" s="1625"/>
      <c r="E62" s="51"/>
      <c r="H62" s="51"/>
      <c r="K62" s="51"/>
      <c r="N62" s="51"/>
    </row>
    <row r="63" spans="1:14" outlineLevel="1" x14ac:dyDescent="0.2">
      <c r="A63" s="1583"/>
      <c r="B63" s="1622"/>
      <c r="C63" s="1625"/>
      <c r="D63" s="19" t="s">
        <v>190</v>
      </c>
      <c r="E63" s="408">
        <v>20000</v>
      </c>
      <c r="F63" s="521"/>
      <c r="G63" s="522"/>
      <c r="H63" s="408"/>
      <c r="I63" s="521"/>
      <c r="J63" s="522"/>
      <c r="K63" s="408"/>
      <c r="L63" s="521"/>
      <c r="M63" s="522"/>
      <c r="N63" s="408"/>
    </row>
    <row r="64" spans="1:14" outlineLevel="1" x14ac:dyDescent="0.2">
      <c r="A64" s="1583"/>
      <c r="B64" s="1622"/>
      <c r="C64" s="1625"/>
      <c r="D64" s="19" t="s">
        <v>191</v>
      </c>
      <c r="E64" s="404" t="s">
        <v>570</v>
      </c>
      <c r="F64" s="450"/>
      <c r="G64" s="451"/>
      <c r="H64" s="404" t="s">
        <v>559</v>
      </c>
      <c r="I64" s="450"/>
      <c r="J64" s="451"/>
      <c r="K64" s="404"/>
      <c r="L64" s="450"/>
      <c r="M64" s="451"/>
      <c r="N64" s="404"/>
    </row>
    <row r="65" spans="1:15" outlineLevel="1" x14ac:dyDescent="0.2">
      <c r="A65" s="1583"/>
      <c r="B65" s="1622"/>
      <c r="C65" s="1625"/>
      <c r="D65" s="19" t="s">
        <v>194</v>
      </c>
      <c r="E65" s="404" t="s">
        <v>199</v>
      </c>
      <c r="F65" s="450"/>
      <c r="G65" s="451"/>
      <c r="H65" s="404" t="s">
        <v>195</v>
      </c>
      <c r="I65" s="450"/>
      <c r="J65" s="451"/>
      <c r="K65" s="404"/>
      <c r="L65" s="450"/>
      <c r="M65" s="451"/>
      <c r="N65" s="404"/>
    </row>
    <row r="66" spans="1:15" ht="12.75" hidden="1" customHeight="1" outlineLevel="1" x14ac:dyDescent="0.25">
      <c r="A66" s="1583"/>
      <c r="B66" s="1622"/>
      <c r="C66" s="1625"/>
      <c r="D66" s="13"/>
      <c r="E66" s="52"/>
      <c r="H66" s="52"/>
      <c r="K66" s="52"/>
      <c r="N66" s="52"/>
    </row>
    <row r="67" spans="1:15" ht="10.5" hidden="1" customHeight="1" outlineLevel="3" x14ac:dyDescent="0.2">
      <c r="A67" s="1583"/>
      <c r="B67" s="1622"/>
      <c r="C67" s="1625"/>
      <c r="D67" s="53" t="s">
        <v>196</v>
      </c>
      <c r="E67" s="519">
        <v>0</v>
      </c>
      <c r="F67" s="450"/>
      <c r="G67" s="451"/>
      <c r="H67" s="519">
        <v>0</v>
      </c>
      <c r="I67" s="450"/>
      <c r="J67" s="451"/>
      <c r="K67" s="519"/>
      <c r="L67" s="450"/>
      <c r="M67" s="451"/>
      <c r="N67" s="519"/>
    </row>
    <row r="68" spans="1:15" ht="10.5" hidden="1" customHeight="1" outlineLevel="3" x14ac:dyDescent="0.2">
      <c r="A68" s="1583"/>
      <c r="B68" s="1622"/>
      <c r="C68" s="1625"/>
      <c r="D68" s="53" t="s">
        <v>191</v>
      </c>
      <c r="E68" s="520" t="s">
        <v>197</v>
      </c>
      <c r="F68" s="450"/>
      <c r="G68" s="451"/>
      <c r="H68" s="520" t="s">
        <v>197</v>
      </c>
      <c r="I68" s="450"/>
      <c r="J68" s="451"/>
      <c r="K68" s="520"/>
      <c r="L68" s="450"/>
      <c r="M68" s="451"/>
      <c r="N68" s="520"/>
    </row>
    <row r="69" spans="1:15" ht="10.5" hidden="1" customHeight="1" outlineLevel="3" x14ac:dyDescent="0.2">
      <c r="A69" s="1583"/>
      <c r="B69" s="1622"/>
      <c r="C69" s="1625"/>
      <c r="D69" s="53" t="s">
        <v>194</v>
      </c>
      <c r="E69" s="520" t="s">
        <v>195</v>
      </c>
      <c r="F69" s="450"/>
      <c r="G69" s="451"/>
      <c r="H69" s="520" t="s">
        <v>195</v>
      </c>
      <c r="I69" s="450"/>
      <c r="J69" s="451"/>
      <c r="K69" s="520"/>
      <c r="L69" s="450"/>
      <c r="M69" s="451"/>
      <c r="N69" s="520"/>
    </row>
    <row r="70" spans="1:15" ht="12.75" hidden="1" customHeight="1" outlineLevel="3" x14ac:dyDescent="0.25">
      <c r="A70" s="1583"/>
      <c r="B70" s="1622"/>
      <c r="C70" s="1625"/>
      <c r="D70" s="13"/>
      <c r="E70" s="52"/>
      <c r="H70" s="52"/>
      <c r="K70" s="52"/>
      <c r="N70" s="52"/>
    </row>
    <row r="71" spans="1:15" ht="10.5" hidden="1" customHeight="1" outlineLevel="3" x14ac:dyDescent="0.2">
      <c r="A71" s="1583"/>
      <c r="B71" s="1622"/>
      <c r="C71" s="1625"/>
      <c r="D71" s="53" t="s">
        <v>198</v>
      </c>
      <c r="E71" s="519">
        <v>0</v>
      </c>
      <c r="F71" s="450"/>
      <c r="G71" s="451"/>
      <c r="H71" s="519">
        <v>0</v>
      </c>
      <c r="I71" s="450"/>
      <c r="J71" s="451"/>
      <c r="K71" s="519"/>
      <c r="L71" s="450"/>
      <c r="M71" s="451"/>
      <c r="N71" s="519"/>
    </row>
    <row r="72" spans="1:15" ht="10.5" hidden="1" customHeight="1" outlineLevel="3" x14ac:dyDescent="0.2">
      <c r="A72" s="1583"/>
      <c r="B72" s="1622"/>
      <c r="C72" s="1625"/>
      <c r="D72" s="53" t="s">
        <v>191</v>
      </c>
      <c r="E72" s="520" t="s">
        <v>192</v>
      </c>
      <c r="F72" s="450"/>
      <c r="G72" s="451"/>
      <c r="H72" s="520" t="s">
        <v>192</v>
      </c>
      <c r="I72" s="450"/>
      <c r="J72" s="451"/>
      <c r="K72" s="520"/>
      <c r="L72" s="450"/>
      <c r="M72" s="451"/>
      <c r="N72" s="520"/>
    </row>
    <row r="73" spans="1:15" ht="11.25" hidden="1" customHeight="1" outlineLevel="3" thickBot="1" x14ac:dyDescent="0.25">
      <c r="A73" s="1583"/>
      <c r="B73" s="1622"/>
      <c r="C73" s="1626"/>
      <c r="D73" s="53" t="s">
        <v>194</v>
      </c>
      <c r="E73" s="520" t="s">
        <v>199</v>
      </c>
      <c r="F73" s="450"/>
      <c r="G73" s="451"/>
      <c r="H73" s="520" t="s">
        <v>199</v>
      </c>
      <c r="I73" s="450"/>
      <c r="J73" s="451"/>
      <c r="K73" s="520"/>
      <c r="L73" s="450"/>
      <c r="M73" s="451"/>
      <c r="N73" s="520"/>
    </row>
    <row r="74" spans="1:15" s="13" customFormat="1" ht="14.25" customHeight="1" outlineLevel="1" collapsed="1" thickBot="1" x14ac:dyDescent="0.3">
      <c r="A74" s="1583"/>
      <c r="B74" s="1622"/>
      <c r="E74" s="52"/>
      <c r="F74" s="54"/>
      <c r="H74" s="52"/>
      <c r="I74" s="54"/>
      <c r="K74" s="52"/>
      <c r="L74" s="54"/>
      <c r="N74" s="52"/>
      <c r="O74" s="54"/>
    </row>
    <row r="75" spans="1:15" ht="12" customHeight="1" x14ac:dyDescent="0.2">
      <c r="A75" s="1583"/>
      <c r="B75" s="1622"/>
      <c r="C75" s="1624" t="s">
        <v>200</v>
      </c>
      <c r="D75" s="19" t="s">
        <v>201</v>
      </c>
      <c r="E75" s="408"/>
      <c r="F75" s="49"/>
      <c r="G75" s="50"/>
      <c r="H75" s="408"/>
      <c r="I75" s="49"/>
      <c r="J75" s="50"/>
      <c r="K75" s="408"/>
      <c r="L75" s="49"/>
      <c r="M75" s="50"/>
      <c r="N75" s="408"/>
    </row>
    <row r="76" spans="1:15" ht="12" customHeight="1" outlineLevel="1" x14ac:dyDescent="0.2">
      <c r="A76" s="1583"/>
      <c r="B76" s="1622"/>
      <c r="C76" s="1625"/>
      <c r="D76" s="19" t="s">
        <v>202</v>
      </c>
      <c r="E76" s="404" t="s">
        <v>585</v>
      </c>
      <c r="H76" s="404" t="s">
        <v>204</v>
      </c>
      <c r="K76" s="404" t="s">
        <v>204</v>
      </c>
      <c r="N76" s="404" t="s">
        <v>204</v>
      </c>
    </row>
    <row r="77" spans="1:15" ht="12" customHeight="1" outlineLevel="1" x14ac:dyDescent="0.2">
      <c r="A77" s="1583"/>
      <c r="B77" s="1622"/>
      <c r="C77" s="1625"/>
      <c r="D77" s="19" t="s">
        <v>205</v>
      </c>
      <c r="E77" s="404" t="s">
        <v>87</v>
      </c>
      <c r="H77" s="404" t="s">
        <v>87</v>
      </c>
      <c r="K77" s="404"/>
      <c r="N77" s="404" t="s">
        <v>87</v>
      </c>
    </row>
    <row r="78" spans="1:15" ht="12" customHeight="1" outlineLevel="1" x14ac:dyDescent="0.2">
      <c r="A78" s="1583"/>
      <c r="B78" s="1622"/>
      <c r="C78" s="1625"/>
      <c r="D78" s="19" t="s">
        <v>206</v>
      </c>
      <c r="E78" s="404" t="s">
        <v>207</v>
      </c>
      <c r="H78" s="404" t="s">
        <v>207</v>
      </c>
      <c r="K78" s="404" t="s">
        <v>207</v>
      </c>
      <c r="N78" s="404" t="s">
        <v>207</v>
      </c>
    </row>
    <row r="79" spans="1:15" ht="11.25" customHeight="1" outlineLevel="1" x14ac:dyDescent="0.2">
      <c r="A79" s="1583"/>
      <c r="B79" s="1622"/>
      <c r="C79" s="1625"/>
      <c r="E79" s="51"/>
      <c r="H79" s="51"/>
      <c r="K79" s="51"/>
      <c r="N79" s="51"/>
    </row>
    <row r="80" spans="1:15" outlineLevel="1" x14ac:dyDescent="0.2">
      <c r="A80" s="1583"/>
      <c r="B80" s="1622"/>
      <c r="C80" s="1625"/>
      <c r="D80" s="19" t="s">
        <v>208</v>
      </c>
      <c r="E80" s="408">
        <v>0</v>
      </c>
      <c r="F80" s="49"/>
      <c r="G80" s="50"/>
      <c r="H80" s="408">
        <v>0</v>
      </c>
      <c r="I80" s="49"/>
      <c r="J80" s="50"/>
      <c r="K80" s="408">
        <v>0</v>
      </c>
      <c r="L80" s="49"/>
      <c r="M80" s="50"/>
      <c r="N80" s="408">
        <v>0</v>
      </c>
    </row>
    <row r="81" spans="1:14" outlineLevel="1" x14ac:dyDescent="0.2">
      <c r="A81" s="1583"/>
      <c r="B81" s="1622"/>
      <c r="C81" s="1625"/>
      <c r="D81" s="19" t="s">
        <v>202</v>
      </c>
      <c r="E81" s="404" t="s">
        <v>204</v>
      </c>
      <c r="H81" s="404" t="s">
        <v>209</v>
      </c>
      <c r="K81" s="404" t="s">
        <v>204</v>
      </c>
      <c r="N81" s="404" t="s">
        <v>204</v>
      </c>
    </row>
    <row r="82" spans="1:14" outlineLevel="1" x14ac:dyDescent="0.2">
      <c r="A82" s="1583"/>
      <c r="B82" s="1622"/>
      <c r="C82" s="1625"/>
      <c r="D82" s="19" t="s">
        <v>205</v>
      </c>
      <c r="E82" s="404" t="s">
        <v>87</v>
      </c>
      <c r="H82" s="404" t="s">
        <v>87</v>
      </c>
      <c r="K82" s="404" t="s">
        <v>87</v>
      </c>
      <c r="N82" s="404" t="s">
        <v>87</v>
      </c>
    </row>
    <row r="83" spans="1:14" outlineLevel="1" x14ac:dyDescent="0.2">
      <c r="A83" s="1583"/>
      <c r="B83" s="1622"/>
      <c r="C83" s="1625"/>
      <c r="D83" s="19" t="s">
        <v>206</v>
      </c>
      <c r="E83" s="404" t="s">
        <v>207</v>
      </c>
      <c r="H83" s="404" t="s">
        <v>207</v>
      </c>
      <c r="K83" s="404" t="s">
        <v>207</v>
      </c>
      <c r="N83" s="404" t="s">
        <v>207</v>
      </c>
    </row>
    <row r="84" spans="1:14" ht="12" customHeight="1" outlineLevel="1" x14ac:dyDescent="0.2">
      <c r="A84" s="1583"/>
      <c r="B84" s="1622"/>
      <c r="C84" s="1625"/>
      <c r="E84" s="51"/>
      <c r="H84" s="55"/>
      <c r="K84" s="51"/>
      <c r="N84" s="51"/>
    </row>
    <row r="85" spans="1:14" ht="11.25" hidden="1" customHeight="1" outlineLevel="2" x14ac:dyDescent="0.2">
      <c r="A85" s="1583"/>
      <c r="B85" s="1622"/>
      <c r="C85" s="1625"/>
      <c r="D85" s="15" t="s">
        <v>210</v>
      </c>
      <c r="E85" s="56">
        <v>0</v>
      </c>
      <c r="H85" s="56">
        <v>0</v>
      </c>
      <c r="K85" s="56">
        <v>0</v>
      </c>
      <c r="N85" s="56">
        <v>0</v>
      </c>
    </row>
    <row r="86" spans="1:14" ht="11.25" hidden="1" customHeight="1" outlineLevel="2" x14ac:dyDescent="0.2">
      <c r="A86" s="1583"/>
      <c r="B86" s="1622"/>
      <c r="C86" s="1625"/>
      <c r="D86" s="15" t="s">
        <v>202</v>
      </c>
      <c r="E86" s="51" t="s">
        <v>204</v>
      </c>
      <c r="H86" s="51" t="s">
        <v>204</v>
      </c>
      <c r="K86" s="51" t="s">
        <v>204</v>
      </c>
      <c r="N86" s="51" t="s">
        <v>204</v>
      </c>
    </row>
    <row r="87" spans="1:14" ht="11.25" hidden="1" customHeight="1" outlineLevel="2" x14ac:dyDescent="0.2">
      <c r="A87" s="1583"/>
      <c r="B87" s="1622"/>
      <c r="C87" s="1625"/>
      <c r="D87" s="15" t="s">
        <v>205</v>
      </c>
      <c r="E87" s="51" t="s">
        <v>87</v>
      </c>
      <c r="H87" s="51" t="s">
        <v>87</v>
      </c>
      <c r="K87" s="51" t="s">
        <v>87</v>
      </c>
      <c r="N87" s="51" t="s">
        <v>87</v>
      </c>
    </row>
    <row r="88" spans="1:14" ht="11.25" hidden="1" customHeight="1" outlineLevel="2" x14ac:dyDescent="0.2">
      <c r="A88" s="1583"/>
      <c r="B88" s="1622"/>
      <c r="C88" s="1625"/>
      <c r="D88" s="15" t="s">
        <v>206</v>
      </c>
      <c r="E88" s="51" t="s">
        <v>207</v>
      </c>
      <c r="H88" s="51" t="s">
        <v>207</v>
      </c>
      <c r="K88" s="51" t="s">
        <v>207</v>
      </c>
      <c r="N88" s="51" t="s">
        <v>207</v>
      </c>
    </row>
    <row r="89" spans="1:14" ht="13.5" hidden="1" customHeight="1" outlineLevel="2" x14ac:dyDescent="0.2">
      <c r="A89" s="1583"/>
      <c r="B89" s="1622"/>
      <c r="C89" s="1625"/>
      <c r="E89" s="51"/>
      <c r="H89" s="51"/>
      <c r="K89" s="51"/>
      <c r="N89" s="51"/>
    </row>
    <row r="90" spans="1:14" ht="11.25" hidden="1" customHeight="1" outlineLevel="2" x14ac:dyDescent="0.2">
      <c r="A90" s="1583"/>
      <c r="B90" s="1622"/>
      <c r="C90" s="1625"/>
      <c r="D90" s="15" t="s">
        <v>211</v>
      </c>
      <c r="E90" s="56">
        <v>0</v>
      </c>
      <c r="H90" s="56">
        <v>0</v>
      </c>
      <c r="K90" s="56">
        <v>0</v>
      </c>
      <c r="N90" s="56">
        <v>0</v>
      </c>
    </row>
    <row r="91" spans="1:14" ht="11.25" hidden="1" customHeight="1" outlineLevel="2" x14ac:dyDescent="0.2">
      <c r="A91" s="1583"/>
      <c r="B91" s="1622"/>
      <c r="C91" s="1625"/>
      <c r="D91" s="15" t="s">
        <v>202</v>
      </c>
      <c r="E91" s="51" t="s">
        <v>203</v>
      </c>
      <c r="H91" s="51" t="s">
        <v>203</v>
      </c>
      <c r="K91" s="51" t="s">
        <v>204</v>
      </c>
      <c r="N91" s="51" t="s">
        <v>204</v>
      </c>
    </row>
    <row r="92" spans="1:14" ht="11.25" hidden="1" customHeight="1" outlineLevel="2" x14ac:dyDescent="0.2">
      <c r="A92" s="1583"/>
      <c r="B92" s="1622"/>
      <c r="C92" s="1625"/>
      <c r="D92" s="15" t="s">
        <v>205</v>
      </c>
      <c r="E92" s="51" t="s">
        <v>87</v>
      </c>
      <c r="H92" s="51" t="s">
        <v>87</v>
      </c>
      <c r="K92" s="51" t="s">
        <v>87</v>
      </c>
      <c r="N92" s="51" t="s">
        <v>87</v>
      </c>
    </row>
    <row r="93" spans="1:14" ht="12" hidden="1" customHeight="1" outlineLevel="2" x14ac:dyDescent="0.2">
      <c r="A93" s="1583"/>
      <c r="B93" s="1622"/>
      <c r="C93" s="1625"/>
      <c r="D93" s="15" t="s">
        <v>206</v>
      </c>
      <c r="E93" s="51" t="s">
        <v>212</v>
      </c>
      <c r="H93" s="51" t="s">
        <v>207</v>
      </c>
      <c r="K93" s="51" t="s">
        <v>207</v>
      </c>
      <c r="N93" s="51" t="s">
        <v>207</v>
      </c>
    </row>
    <row r="94" spans="1:14" ht="10.5" hidden="1" customHeight="1" outlineLevel="2" x14ac:dyDescent="0.2">
      <c r="A94" s="1583"/>
      <c r="B94" s="1622"/>
      <c r="C94" s="57"/>
      <c r="E94" s="51"/>
      <c r="H94" s="51"/>
      <c r="K94" s="51"/>
      <c r="N94" s="51"/>
    </row>
    <row r="95" spans="1:14" ht="10.5" hidden="1" customHeight="1" outlineLevel="2" x14ac:dyDescent="0.2">
      <c r="A95" s="1583"/>
      <c r="B95" s="1622"/>
      <c r="C95" s="57"/>
      <c r="D95" s="15" t="s">
        <v>213</v>
      </c>
      <c r="E95" s="51">
        <f>+VLOOKUP(E45,paraméterek!$G$2:$H$6,2,FALSE)</f>
        <v>1.05</v>
      </c>
      <c r="H95" s="51">
        <f>+VLOOKUP(H45,paraméterek!$G$2:$H$6,2,FALSE)</f>
        <v>0.9</v>
      </c>
      <c r="K95" s="51">
        <f>+VLOOKUP(K45,paraméterek!$G$2:$H$6,2,FALSE)</f>
        <v>0.9</v>
      </c>
      <c r="N95" s="51">
        <f>+VLOOKUP(N45,paraméterek!$G$2:$H$6,2,FALSE)</f>
        <v>0.9</v>
      </c>
    </row>
    <row r="96" spans="1:14" ht="13.2" outlineLevel="1" collapsed="1" x14ac:dyDescent="0.25">
      <c r="A96" s="1583"/>
      <c r="B96" s="1622"/>
      <c r="C96" s="57"/>
      <c r="D96" s="43" t="s">
        <v>214</v>
      </c>
      <c r="E96" s="58">
        <f>+(IF(E56="nem",E60,paraméterek!$A$163*'komplex kalkulátor'!E60)+IF(E69="hivatalos igazolás",E67,E67*paraméterek!$A$161)+IF(E65="hivatalos igazolás",E63,E63*paraméterek!$A$161)+IF(E73="hivatalos igazolás",E71,E71*paraméterek!$A$161))*E95</f>
        <v>546000</v>
      </c>
      <c r="F96" s="43"/>
      <c r="G96" s="43"/>
      <c r="H96" s="58">
        <f>+(IF(H56="nem",H60,paraméterek!$A$163*'komplex kalkulátor'!H60)+IF(H69="hivatalos igazolás",H67,H67*paraméterek!$A$161)+IF(H65="hivatalos igazolás",H63,H63*paraméterek!$A$161)+IF(H73="hivatalos igazolás",H71,H71*paraméterek!$A$161))*H95</f>
        <v>0</v>
      </c>
      <c r="I96" s="43"/>
      <c r="J96" s="43"/>
      <c r="K96" s="58">
        <f>+(IF(K56="nem",K60,paraméterek!$A$163*'komplex kalkulátor'!K60)+IF(K69="hivatalos igazolás",K67,K67*paraméterek!$A$161)+IF(K65="hivatalos igazolás",K63,K63*paraméterek!$A$161)+IF(K73="hivatalos igazolás",K71,K71*paraméterek!$A$161))*K95</f>
        <v>0</v>
      </c>
      <c r="L96" s="43"/>
      <c r="M96" s="43"/>
      <c r="N96" s="58">
        <f>+(IF(N56="nem",N60,paraméterek!$A$163*'komplex kalkulátor'!N60)+IF(N69="hivatalos igazolás",N67,N67*paraméterek!$A$161)+IF(N65="hivatalos igazolás",N63,N63*paraméterek!$A$161)+IF(N73="hivatalos igazolás",N71,N71*paraméterek!$A$161))*N95</f>
        <v>0</v>
      </c>
    </row>
    <row r="97" spans="1:15" ht="13.8" outlineLevel="1" thickBot="1" x14ac:dyDescent="0.3">
      <c r="A97" s="1583"/>
      <c r="B97" s="1622"/>
      <c r="D97" s="43" t="s">
        <v>215</v>
      </c>
      <c r="E97" s="59">
        <f>+IF(E77="nem",E75,0)+IF(E82="nem",E80,0)+IF(E87="nem",E85,0)+IF(E92="nem",E90,0)</f>
        <v>0</v>
      </c>
      <c r="F97" s="43"/>
      <c r="G97" s="43"/>
      <c r="H97" s="59">
        <f>+IF(H77="nem",H75,0)+IF(H82="nem",H80,0)+IF(H87="nem",H85,0)+IF(H92="nem",H90,0)</f>
        <v>0</v>
      </c>
      <c r="I97" s="43"/>
      <c r="J97" s="43"/>
      <c r="K97" s="59">
        <f>+IF(K77="nem",K75,0)+IF(K82="nem",K80,0)+IF(K87="nem",K85,0)+IF(K92="nem",K90,0)</f>
        <v>0</v>
      </c>
      <c r="L97" s="43"/>
      <c r="M97" s="43"/>
      <c r="N97" s="59">
        <f>+IF(N77="nem",N75,0)+IF(N82="nem",N80,0)+IF(N87="nem",N85,0)+IF(N92="nem",N90,0)</f>
        <v>0</v>
      </c>
    </row>
    <row r="98" spans="1:15" ht="13.2" outlineLevel="1" x14ac:dyDescent="0.25">
      <c r="A98" s="1583"/>
      <c r="B98" s="1622"/>
      <c r="D98" s="1585" t="str">
        <f>+"h á z t a r t á s i     a d a t o k" &amp; "   -   "&amp; E31</f>
        <v xml:space="preserve">h á z t a r t á s i     a d a t o k   -   </v>
      </c>
      <c r="E98" s="1585"/>
      <c r="F98" s="1585"/>
      <c r="G98" s="1585"/>
      <c r="H98" s="1585"/>
      <c r="I98" s="1585"/>
      <c r="J98" s="1585"/>
      <c r="K98" s="1585"/>
      <c r="L98" s="1585"/>
      <c r="M98" s="1585"/>
      <c r="N98" s="1585"/>
    </row>
    <row r="99" spans="1:15" x14ac:dyDescent="0.2">
      <c r="A99" s="1583"/>
      <c r="B99" s="1622"/>
      <c r="D99" s="19" t="s">
        <v>216</v>
      </c>
    </row>
    <row r="100" spans="1:15" x14ac:dyDescent="0.2">
      <c r="A100" s="1583"/>
      <c r="B100" s="1622"/>
      <c r="D100" s="19" t="s">
        <v>217</v>
      </c>
      <c r="E100" s="401">
        <v>1</v>
      </c>
      <c r="F100" s="17">
        <f>+VLOOKUP(E100,paraméterek!$K$7:$L$24,2,FALSE)</f>
        <v>1</v>
      </c>
    </row>
    <row r="101" spans="1:15" x14ac:dyDescent="0.2">
      <c r="A101" s="1583"/>
      <c r="B101" s="1622"/>
      <c r="D101" s="19" t="s">
        <v>218</v>
      </c>
      <c r="E101" s="401">
        <v>0</v>
      </c>
      <c r="F101" s="17">
        <f>+VLOOKUP(E101,paraméterek!$N$7:$O$24,2,FALSE)</f>
        <v>0</v>
      </c>
    </row>
    <row r="102" spans="1:15" x14ac:dyDescent="0.2">
      <c r="A102" s="1583"/>
      <c r="B102" s="1622"/>
      <c r="D102" s="19" t="s">
        <v>219</v>
      </c>
      <c r="E102" s="401">
        <v>0</v>
      </c>
      <c r="F102" s="17">
        <f>+VLOOKUP(E102,paraméterek!$Q$7:$R$24,2,FALSE)</f>
        <v>0</v>
      </c>
    </row>
    <row r="103" spans="1:15" ht="3.75" customHeight="1" x14ac:dyDescent="0.2">
      <c r="A103" s="1583"/>
      <c r="B103" s="1622"/>
      <c r="E103" s="60"/>
    </row>
    <row r="104" spans="1:15" ht="23.25" customHeight="1" x14ac:dyDescent="0.2">
      <c r="A104" s="1583"/>
      <c r="B104" s="1622"/>
      <c r="D104" s="1617" t="s">
        <v>220</v>
      </c>
      <c r="E104" s="1617"/>
      <c r="F104" s="1617"/>
      <c r="G104" s="1617"/>
      <c r="H104" s="1617"/>
      <c r="I104" s="19"/>
      <c r="J104" s="19"/>
      <c r="K104" s="401" t="s">
        <v>87</v>
      </c>
      <c r="L104" s="19"/>
      <c r="O104" s="61">
        <f>+VLOOKUP(K104,paraméterek!$E$166:$F$167,2,FALSE)</f>
        <v>1</v>
      </c>
    </row>
    <row r="105" spans="1:15" ht="22.5" customHeight="1" x14ac:dyDescent="0.2">
      <c r="A105" s="1583"/>
      <c r="B105" s="1622"/>
      <c r="D105" s="1617" t="s">
        <v>221</v>
      </c>
      <c r="E105" s="1617"/>
      <c r="F105" s="1617"/>
      <c r="G105" s="1617"/>
      <c r="H105" s="1617"/>
      <c r="I105" s="19"/>
      <c r="J105" s="19"/>
      <c r="K105" s="401" t="s">
        <v>87</v>
      </c>
      <c r="L105" s="19"/>
      <c r="O105" s="61">
        <f>+VLOOKUP(K105,paraméterek!$E$168:$F$169,2,FALSE)</f>
        <v>1</v>
      </c>
    </row>
    <row r="106" spans="1:15" ht="4.5" customHeight="1" x14ac:dyDescent="0.2">
      <c r="A106" s="1583"/>
      <c r="B106" s="1622"/>
    </row>
    <row r="107" spans="1:15" ht="13.2" outlineLevel="1" x14ac:dyDescent="0.25">
      <c r="A107" s="1583"/>
      <c r="B107" s="1622"/>
      <c r="D107" s="1593" t="s">
        <v>222</v>
      </c>
      <c r="E107" s="1593"/>
      <c r="F107" s="43"/>
      <c r="G107" s="43"/>
      <c r="H107" s="62">
        <f>+F100*létmin+F101*létmin+F102*létmin</f>
        <v>158869</v>
      </c>
      <c r="I107" s="43"/>
      <c r="J107" s="43"/>
      <c r="K107" s="43"/>
      <c r="L107" s="43"/>
      <c r="M107" s="43"/>
      <c r="N107" s="43"/>
    </row>
    <row r="108" spans="1:15" ht="13.2" outlineLevel="1" x14ac:dyDescent="0.25">
      <c r="A108" s="1583"/>
      <c r="B108" s="1622"/>
      <c r="D108" s="1593" t="s">
        <v>223</v>
      </c>
      <c r="E108" s="1593"/>
      <c r="F108" s="43"/>
      <c r="G108" s="43"/>
      <c r="H108" s="63">
        <f>(E96+H96+K96+N96)*O104*O105</f>
        <v>546000</v>
      </c>
      <c r="I108" s="43"/>
      <c r="J108" s="43"/>
      <c r="K108" s="1593" t="s">
        <v>1099</v>
      </c>
      <c r="L108" s="1593"/>
      <c r="N108" s="63">
        <f>+E60+E63+H60+H63+K60+K63+N60+N63+E67+H67+K67+N67+E71+H71+K71+N71</f>
        <v>520000</v>
      </c>
    </row>
    <row r="109" spans="1:15" ht="13.2" outlineLevel="1" x14ac:dyDescent="0.25">
      <c r="A109" s="1583"/>
      <c r="B109" s="1622"/>
      <c r="D109" s="1593" t="s">
        <v>224</v>
      </c>
      <c r="E109" s="1593"/>
      <c r="F109" s="43"/>
      <c r="G109" s="43"/>
      <c r="H109" s="63">
        <f>+E97+H97+K97+N97</f>
        <v>0</v>
      </c>
      <c r="I109" s="43"/>
      <c r="J109" s="43"/>
      <c r="K109" s="1593"/>
      <c r="L109" s="1593"/>
      <c r="M109" s="43"/>
      <c r="N109" s="43"/>
    </row>
    <row r="110" spans="1:15" ht="13.2" outlineLevel="1" x14ac:dyDescent="0.25">
      <c r="A110" s="1583"/>
      <c r="B110" s="1622"/>
      <c r="D110" s="1593" t="s">
        <v>225</v>
      </c>
      <c r="E110" s="1593"/>
      <c r="F110" s="43"/>
      <c r="G110" s="43"/>
      <c r="H110" s="64">
        <f>+(H108-H107-H109)</f>
        <v>387131</v>
      </c>
      <c r="I110" s="43"/>
      <c r="J110" s="43"/>
      <c r="K110" s="43"/>
      <c r="L110" s="43"/>
      <c r="M110" s="43"/>
      <c r="N110" s="43"/>
    </row>
    <row r="111" spans="1:15" ht="10.8" outlineLevel="1" thickBot="1" x14ac:dyDescent="0.25">
      <c r="B111" s="1623"/>
    </row>
    <row r="112" spans="1:15" ht="12.75" customHeight="1" outlineLevel="1" x14ac:dyDescent="0.25">
      <c r="A112" s="1582" t="s">
        <v>959</v>
      </c>
      <c r="B112" s="1612" t="s">
        <v>226</v>
      </c>
      <c r="D112" s="35" t="s">
        <v>227</v>
      </c>
      <c r="E112" s="1615"/>
      <c r="F112" s="1615"/>
      <c r="G112" s="1615"/>
      <c r="H112" s="1615"/>
      <c r="I112" s="1615"/>
      <c r="J112" s="1615"/>
      <c r="K112" s="1615"/>
      <c r="L112" s="1615"/>
      <c r="M112" s="1615"/>
      <c r="N112" s="1615"/>
    </row>
    <row r="113" spans="1:15" ht="13.5" customHeight="1" outlineLevel="2" thickBot="1" x14ac:dyDescent="0.3">
      <c r="A113" s="1582"/>
      <c r="B113" s="1613"/>
      <c r="D113" s="1585" t="s">
        <v>140</v>
      </c>
      <c r="E113" s="1585"/>
      <c r="F113" s="1585"/>
      <c r="G113" s="1585"/>
      <c r="H113" s="1585"/>
      <c r="I113" s="1585"/>
      <c r="J113" s="1585"/>
      <c r="K113" s="1585"/>
      <c r="L113" s="1585"/>
      <c r="M113" s="1585"/>
      <c r="N113" s="1585"/>
    </row>
    <row r="114" spans="1:15" ht="10.8" outlineLevel="2" thickBot="1" x14ac:dyDescent="0.25">
      <c r="A114" s="1582"/>
      <c r="B114" s="1613"/>
      <c r="D114" s="65"/>
      <c r="E114" s="36" t="s">
        <v>141</v>
      </c>
      <c r="F114" s="27"/>
      <c r="G114" s="37"/>
      <c r="H114" s="36" t="s">
        <v>142</v>
      </c>
      <c r="I114" s="27"/>
      <c r="J114" s="19"/>
      <c r="K114" s="36" t="s">
        <v>143</v>
      </c>
      <c r="L114" s="27"/>
      <c r="M114" s="19"/>
      <c r="N114" s="36" t="s">
        <v>144</v>
      </c>
    </row>
    <row r="115" spans="1:15" outlineLevel="2" x14ac:dyDescent="0.2">
      <c r="A115" s="1582"/>
      <c r="B115" s="1613"/>
      <c r="D115" s="19" t="s">
        <v>145</v>
      </c>
      <c r="E115" s="409"/>
      <c r="H115" s="409"/>
      <c r="I115" s="370"/>
      <c r="J115" s="376"/>
      <c r="K115" s="409"/>
      <c r="L115" s="370"/>
      <c r="M115" s="376"/>
      <c r="N115" s="409"/>
    </row>
    <row r="116" spans="1:15" ht="10.5" hidden="1" customHeight="1" outlineLevel="2" x14ac:dyDescent="0.2">
      <c r="A116" s="1582"/>
      <c r="B116" s="1613"/>
      <c r="D116" s="19" t="s">
        <v>147</v>
      </c>
      <c r="E116" s="390" t="s">
        <v>148</v>
      </c>
      <c r="H116" s="390" t="s">
        <v>148</v>
      </c>
      <c r="I116" s="391"/>
      <c r="J116" s="392"/>
      <c r="K116" s="390" t="s">
        <v>148</v>
      </c>
      <c r="L116" s="391"/>
      <c r="M116" s="392"/>
      <c r="N116" s="390" t="s">
        <v>148</v>
      </c>
    </row>
    <row r="117" spans="1:15" outlineLevel="2" x14ac:dyDescent="0.2">
      <c r="A117" s="1582"/>
      <c r="B117" s="1613"/>
      <c r="D117" s="19" t="s">
        <v>149</v>
      </c>
      <c r="E117" s="406"/>
      <c r="H117" s="406"/>
      <c r="I117" s="393"/>
      <c r="J117" s="394"/>
      <c r="K117" s="406"/>
      <c r="L117" s="395"/>
      <c r="M117" s="394"/>
      <c r="N117" s="406"/>
    </row>
    <row r="118" spans="1:15" ht="11.25" customHeight="1" outlineLevel="2" x14ac:dyDescent="0.2">
      <c r="A118" s="1582"/>
      <c r="B118" s="1613"/>
      <c r="C118" s="1616" t="s">
        <v>150</v>
      </c>
      <c r="D118" s="19" t="s">
        <v>151</v>
      </c>
      <c r="E118" s="371">
        <f>+($G$1-E117)/365</f>
        <v>123.75342465753425</v>
      </c>
      <c r="F118" s="27">
        <f>IF(LEN(E117)&gt;0,+VLOOKUP(E118,paraméterek!$A$58:$E$81,5,TRUE),0)</f>
        <v>0</v>
      </c>
      <c r="H118" s="371">
        <f>+($G$1-H117)/365</f>
        <v>123.75342465753425</v>
      </c>
      <c r="I118" s="27">
        <f>IF(LEN(H117)&gt;0,+VLOOKUP(H118,paraméterek!$A$58:$E$81,5,TRUE),0)</f>
        <v>0</v>
      </c>
      <c r="J118" s="38"/>
      <c r="K118" s="371">
        <f>+($G$1-K117)/365</f>
        <v>123.75342465753425</v>
      </c>
      <c r="L118" s="27">
        <f>IF(LEN(K117)&gt;0,+VLOOKUP(K118,paraméterek!$A$58:$E$81,5,TRUE),0)</f>
        <v>0</v>
      </c>
      <c r="M118" s="38"/>
      <c r="N118" s="371">
        <f>+($G$1-N117)/365</f>
        <v>123.75342465753425</v>
      </c>
      <c r="O118" s="27">
        <f>IF(LEN(N117)&gt;0,+VLOOKUP(N118,paraméterek!$A$58:$E$81,5,TRUE),0)</f>
        <v>0</v>
      </c>
    </row>
    <row r="119" spans="1:15" outlineLevel="2" x14ac:dyDescent="0.2">
      <c r="A119" s="1582"/>
      <c r="B119" s="1613"/>
      <c r="C119" s="1616"/>
      <c r="D119" s="19" t="s">
        <v>152</v>
      </c>
      <c r="E119" s="404" t="s">
        <v>153</v>
      </c>
      <c r="F119" s="27">
        <f>IF(LEN(E119)&gt;0,+VLOOKUP(E119,paraméterek!$A$11:$B$18,2,FALSE),0)</f>
        <v>1.04</v>
      </c>
      <c r="H119" s="404"/>
      <c r="I119" s="27">
        <f>IF(LEN(H119)&gt;0,+VLOOKUP(H119,paraméterek!$A$11:$B$18,2,FALSE),0)</f>
        <v>0</v>
      </c>
      <c r="J119" s="376"/>
      <c r="K119" s="404"/>
      <c r="L119" s="27">
        <f>IF(LEN(K119)&gt;0,+VLOOKUP(K119,paraméterek!$A$11:$B$18,2,FALSE),0)</f>
        <v>0</v>
      </c>
      <c r="M119" s="376"/>
      <c r="N119" s="404"/>
      <c r="O119" s="27">
        <f>IF(LEN(N119)&gt;0,+VLOOKUP(N119,paraméterek!$A$11:$B$18,2,FALSE),0)</f>
        <v>0</v>
      </c>
    </row>
    <row r="120" spans="1:15" outlineLevel="2" x14ac:dyDescent="0.2">
      <c r="A120" s="1582"/>
      <c r="B120" s="1613"/>
      <c r="C120" s="1616"/>
      <c r="D120" s="19" t="s">
        <v>154</v>
      </c>
      <c r="E120" s="404" t="s">
        <v>155</v>
      </c>
      <c r="F120" s="27">
        <f>IF(LEN(E120)&gt;0,+VLOOKUP(E120,paraméterek!$A$22:$B$32,2,FALSE),0)</f>
        <v>1.01</v>
      </c>
      <c r="H120" s="404"/>
      <c r="I120" s="27">
        <f>IF(LEN(H120)&gt;0,+VLOOKUP(H120,paraméterek!$A$22:$B$32,2,FALSE),0)</f>
        <v>0</v>
      </c>
      <c r="J120" s="376"/>
      <c r="K120" s="404"/>
      <c r="L120" s="27">
        <f>IF(LEN(K120)&gt;0,+VLOOKUP(K120,paraméterek!$A$22:$B$32,2,FALSE),0)</f>
        <v>0</v>
      </c>
      <c r="M120" s="376"/>
      <c r="N120" s="404"/>
      <c r="O120" s="27">
        <f>IF(LEN(N120)&gt;0,+VLOOKUP(N120,paraméterek!$A$22:$B$32,2,FALSE),0)</f>
        <v>0</v>
      </c>
    </row>
    <row r="121" spans="1:15" outlineLevel="2" x14ac:dyDescent="0.2">
      <c r="A121" s="1582"/>
      <c r="B121" s="1613"/>
      <c r="C121" s="1616"/>
      <c r="D121" s="19" t="s">
        <v>156</v>
      </c>
      <c r="E121" s="404" t="s">
        <v>230</v>
      </c>
      <c r="F121" s="27">
        <f>IF(LEN(E121)&gt;0,+VLOOKUP(E121,paraméterek!$A$36:$B$38,2,FALSE),0)</f>
        <v>1.04</v>
      </c>
      <c r="H121" s="404"/>
      <c r="I121" s="27">
        <f>IF(LEN(H121)&gt;0,+VLOOKUP(H121,paraméterek!$A$36:$B$38,2,FALSE),0)</f>
        <v>0</v>
      </c>
      <c r="J121" s="376"/>
      <c r="K121" s="404"/>
      <c r="L121" s="27">
        <f>IF(LEN(K121)&gt;0,+VLOOKUP(K121,paraméterek!$A$36:$B$38,2,FALSE),0)</f>
        <v>0</v>
      </c>
      <c r="M121" s="376"/>
      <c r="N121" s="404"/>
      <c r="O121" s="27">
        <f>IF(LEN(N121)&gt;0,+VLOOKUP(N121,paraméterek!$A$36:$B$38,2,FALSE),0)</f>
        <v>0</v>
      </c>
    </row>
    <row r="122" spans="1:15" outlineLevel="2" x14ac:dyDescent="0.2">
      <c r="A122" s="1582"/>
      <c r="B122" s="1613"/>
      <c r="C122" s="1616"/>
      <c r="D122" s="19" t="s">
        <v>158</v>
      </c>
      <c r="E122" s="404" t="s">
        <v>231</v>
      </c>
      <c r="F122" s="27">
        <f>IF(LEN(E122)&gt;0,+VLOOKUP(E122,paraméterek!$A$42:$B$44,2,FALSE),0)</f>
        <v>1.04</v>
      </c>
      <c r="H122" s="404"/>
      <c r="I122" s="27">
        <f>IF(LEN(H122)&gt;0,+VLOOKUP(H122,paraméterek!$A$42:$B$44,2,FALSE),0)</f>
        <v>0</v>
      </c>
      <c r="J122" s="376"/>
      <c r="K122" s="404"/>
      <c r="L122" s="27">
        <f>IF(LEN(K122)&gt;0,+VLOOKUP(K122,paraméterek!$A$42:$B$44,2,FALSE),0)</f>
        <v>0</v>
      </c>
      <c r="M122" s="376"/>
      <c r="N122" s="404"/>
      <c r="O122" s="27">
        <f>IF(LEN(N122)&gt;0,+VLOOKUP(N122,paraméterek!$A$42:$B$44,2,FALSE),0)</f>
        <v>0</v>
      </c>
    </row>
    <row r="123" spans="1:15" outlineLevel="2" x14ac:dyDescent="0.2">
      <c r="A123" s="1582"/>
      <c r="B123" s="1613"/>
      <c r="C123" s="1616"/>
      <c r="D123" s="19" t="s">
        <v>160</v>
      </c>
      <c r="E123" s="404">
        <v>0</v>
      </c>
      <c r="F123" s="27">
        <f>IF(LEN(E123)&gt;0,+VLOOKUP(E123,paraméterek!$A$47:$B$50,2,FALSE),0)</f>
        <v>0.98</v>
      </c>
      <c r="H123" s="404"/>
      <c r="I123" s="27">
        <f>IF(LEN(H123)&gt;0,+VLOOKUP(H123,paraméterek!$A$47:$B$50,2,FALSE),0)</f>
        <v>0</v>
      </c>
      <c r="J123" s="376"/>
      <c r="K123" s="404"/>
      <c r="L123" s="27">
        <f>IF(LEN(K123)&gt;0,+VLOOKUP(K123,paraméterek!$A$47:$B$50,2,FALSE),0)</f>
        <v>0</v>
      </c>
      <c r="M123" s="376"/>
      <c r="N123" s="404"/>
      <c r="O123" s="27">
        <f>IF(LEN(N123)&gt;0,+VLOOKUP(N123,paraméterek!$A$47:$B$50,2,FALSE),0)</f>
        <v>0</v>
      </c>
    </row>
    <row r="124" spans="1:15" outlineLevel="2" x14ac:dyDescent="0.2">
      <c r="A124" s="1582"/>
      <c r="B124" s="1613"/>
      <c r="C124" s="1616"/>
      <c r="D124" s="19" t="s">
        <v>161</v>
      </c>
      <c r="E124" s="404" t="s">
        <v>162</v>
      </c>
      <c r="F124" s="27">
        <f>IF(LEN(E124)&gt;0,+VLOOKUP(E124,paraméterek!$A$53:$B$54,2,FALSE),0)</f>
        <v>1</v>
      </c>
      <c r="H124" s="404"/>
      <c r="I124" s="27">
        <f>IF(LEN(H124)&gt;0,+VLOOKUP(H124,paraméterek!$A$53:$B$54,2,FALSE),0)</f>
        <v>0</v>
      </c>
      <c r="J124" s="376"/>
      <c r="K124" s="404"/>
      <c r="L124" s="27">
        <f>IF(LEN(K124)&gt;0,+VLOOKUP(K124,paraméterek!$A$53:$B$54,2,FALSE),0)</f>
        <v>0</v>
      </c>
      <c r="M124" s="376"/>
      <c r="N124" s="404"/>
      <c r="O124" s="27">
        <f>IF(LEN(N124)&gt;0,+VLOOKUP(N124,paraméterek!$A$53:$B$54,2,FALSE),0)</f>
        <v>0</v>
      </c>
    </row>
    <row r="125" spans="1:15" ht="5.25" customHeight="1" outlineLevel="2" x14ac:dyDescent="0.2">
      <c r="A125" s="1582"/>
      <c r="B125" s="1613"/>
      <c r="C125" s="1616"/>
      <c r="D125" s="19"/>
      <c r="E125" s="396"/>
      <c r="H125" s="396"/>
      <c r="I125" s="397"/>
      <c r="J125" s="397"/>
      <c r="K125" s="396"/>
      <c r="L125" s="397"/>
      <c r="M125" s="397"/>
      <c r="N125" s="396"/>
    </row>
    <row r="126" spans="1:15" ht="13.2" outlineLevel="2" x14ac:dyDescent="0.25">
      <c r="A126" s="1582"/>
      <c r="B126" s="1613"/>
      <c r="C126" s="1616"/>
      <c r="D126" s="41" t="s">
        <v>163</v>
      </c>
      <c r="E126" s="42" t="str">
        <f>+VLOOKUP(PRODUCT(F117:F123),paraméterek!$A$2:$D$6,4,TRUE)</f>
        <v>E</v>
      </c>
      <c r="F126" s="43">
        <f>+PRODUCT(F117:F123)</f>
        <v>0</v>
      </c>
      <c r="G126" s="43"/>
      <c r="H126" s="42" t="str">
        <f>+VLOOKUP(PRODUCT(I117:I123),paraméterek!$A$2:$D$6,4,TRUE)</f>
        <v>E</v>
      </c>
      <c r="I126" s="43">
        <f>+PRODUCT(I117:I123)</f>
        <v>0</v>
      </c>
      <c r="J126" s="43"/>
      <c r="K126" s="42" t="str">
        <f>+VLOOKUP(PRODUCT(L117:L123),paraméterek!$A$2:$D$6,4,TRUE)</f>
        <v>E</v>
      </c>
      <c r="L126" s="43">
        <f>+PRODUCT(L117:L123)</f>
        <v>0</v>
      </c>
      <c r="M126" s="43"/>
      <c r="N126" s="42" t="str">
        <f>+VLOOKUP(PRODUCT(O117:O123),paraméterek!$A$2:$D$6,4,TRUE)</f>
        <v>E</v>
      </c>
      <c r="O126" s="17">
        <f>+PRODUCT(O118:O124)</f>
        <v>0</v>
      </c>
    </row>
    <row r="127" spans="1:15" ht="4.5" customHeight="1" outlineLevel="2" x14ac:dyDescent="0.2">
      <c r="A127" s="1582"/>
      <c r="B127" s="1613"/>
      <c r="C127" s="1616"/>
      <c r="E127" s="44"/>
      <c r="H127" s="44"/>
      <c r="K127" s="44"/>
      <c r="N127" s="44"/>
    </row>
    <row r="128" spans="1:15" outlineLevel="2" x14ac:dyDescent="0.2">
      <c r="A128" s="1582"/>
      <c r="B128" s="1613"/>
      <c r="C128" s="1616"/>
      <c r="D128" s="19" t="s">
        <v>164</v>
      </c>
      <c r="E128" s="404" t="s">
        <v>165</v>
      </c>
      <c r="F128" s="450"/>
      <c r="G128" s="451"/>
      <c r="H128" s="404" t="s">
        <v>165</v>
      </c>
      <c r="I128" s="450"/>
      <c r="J128" s="451"/>
      <c r="K128" s="404" t="s">
        <v>165</v>
      </c>
      <c r="L128" s="515"/>
      <c r="M128" s="516"/>
      <c r="N128" s="404" t="s">
        <v>165</v>
      </c>
    </row>
    <row r="129" spans="1:14" ht="3" customHeight="1" outlineLevel="2" x14ac:dyDescent="0.2">
      <c r="A129" s="1582"/>
      <c r="B129" s="1613"/>
      <c r="E129" s="45"/>
      <c r="H129" s="45"/>
      <c r="K129" s="45"/>
      <c r="N129" s="45"/>
    </row>
    <row r="130" spans="1:14" ht="11.25" hidden="1" customHeight="1" outlineLevel="2" x14ac:dyDescent="0.2">
      <c r="A130" s="1582"/>
      <c r="B130" s="1613"/>
      <c r="C130" s="1618" t="s">
        <v>166</v>
      </c>
      <c r="D130" s="15" t="s">
        <v>167</v>
      </c>
      <c r="E130" s="45" t="s">
        <v>169</v>
      </c>
      <c r="H130" s="45" t="s">
        <v>169</v>
      </c>
      <c r="K130" s="45" t="s">
        <v>169</v>
      </c>
      <c r="N130" s="45" t="s">
        <v>169</v>
      </c>
    </row>
    <row r="131" spans="1:14" ht="10.5" hidden="1" customHeight="1" outlineLevel="2" x14ac:dyDescent="0.2">
      <c r="A131" s="1582"/>
      <c r="B131" s="1613"/>
      <c r="C131" s="1618"/>
      <c r="D131" s="15" t="s">
        <v>170</v>
      </c>
      <c r="E131" s="45" t="s">
        <v>171</v>
      </c>
      <c r="H131" s="45" t="s">
        <v>171</v>
      </c>
      <c r="K131" s="45" t="s">
        <v>171</v>
      </c>
      <c r="N131" s="45" t="s">
        <v>171</v>
      </c>
    </row>
    <row r="132" spans="1:14" ht="4.5" hidden="1" customHeight="1" outlineLevel="2" x14ac:dyDescent="0.2">
      <c r="A132" s="1582"/>
      <c r="B132" s="1613"/>
      <c r="C132" s="1618"/>
      <c r="E132" s="45"/>
      <c r="H132" s="45"/>
      <c r="K132" s="45"/>
      <c r="N132" s="45"/>
    </row>
    <row r="133" spans="1:14" ht="10.5" hidden="1" customHeight="1" outlineLevel="2" x14ac:dyDescent="0.2">
      <c r="A133" s="1582"/>
      <c r="B133" s="1613"/>
      <c r="C133" s="1618"/>
      <c r="D133" s="66" t="s">
        <v>175</v>
      </c>
      <c r="E133" s="372" t="s">
        <v>178</v>
      </c>
      <c r="H133" s="372" t="s">
        <v>178</v>
      </c>
      <c r="K133" s="372" t="s">
        <v>178</v>
      </c>
      <c r="N133" s="372" t="s">
        <v>178</v>
      </c>
    </row>
    <row r="134" spans="1:14" ht="10.5" hidden="1" customHeight="1" outlineLevel="2" x14ac:dyDescent="0.2">
      <c r="A134" s="1582"/>
      <c r="B134" s="1613"/>
      <c r="C134" s="1618"/>
      <c r="D134" s="66" t="s">
        <v>179</v>
      </c>
      <c r="E134" s="373" t="s">
        <v>180</v>
      </c>
      <c r="H134" s="373" t="s">
        <v>180</v>
      </c>
      <c r="K134" s="373" t="s">
        <v>180</v>
      </c>
      <c r="N134" s="373" t="s">
        <v>180</v>
      </c>
    </row>
    <row r="135" spans="1:14" ht="10.5" hidden="1" customHeight="1" outlineLevel="2" x14ac:dyDescent="0.2">
      <c r="A135" s="1582"/>
      <c r="B135" s="1613"/>
      <c r="C135" s="1618"/>
      <c r="D135" s="66" t="s">
        <v>182</v>
      </c>
      <c r="E135" s="373" t="s">
        <v>87</v>
      </c>
      <c r="H135" s="373" t="s">
        <v>85</v>
      </c>
      <c r="K135" s="373" t="s">
        <v>85</v>
      </c>
      <c r="N135" s="373" t="s">
        <v>85</v>
      </c>
    </row>
    <row r="136" spans="1:14" ht="10.5" hidden="1" customHeight="1" outlineLevel="2" x14ac:dyDescent="0.2">
      <c r="A136" s="1582"/>
      <c r="B136" s="1613"/>
      <c r="C136" s="1618"/>
      <c r="D136" s="66" t="s">
        <v>183</v>
      </c>
      <c r="E136" s="374">
        <v>34735</v>
      </c>
      <c r="H136" s="374">
        <v>34735</v>
      </c>
      <c r="K136" s="374">
        <v>34735</v>
      </c>
      <c r="N136" s="374">
        <v>34735</v>
      </c>
    </row>
    <row r="137" spans="1:14" ht="10.5" hidden="1" customHeight="1" outlineLevel="2" x14ac:dyDescent="0.2">
      <c r="A137" s="1582"/>
      <c r="B137" s="1613"/>
      <c r="C137" s="1618"/>
      <c r="D137" s="66" t="s">
        <v>184</v>
      </c>
      <c r="E137" s="373" t="s">
        <v>185</v>
      </c>
      <c r="H137" s="373" t="s">
        <v>185</v>
      </c>
      <c r="K137" s="373" t="s">
        <v>185</v>
      </c>
      <c r="N137" s="373" t="s">
        <v>185</v>
      </c>
    </row>
    <row r="138" spans="1:14" ht="10.5" hidden="1" customHeight="1" outlineLevel="2" x14ac:dyDescent="0.2">
      <c r="A138" s="1582"/>
      <c r="B138" s="1613"/>
      <c r="C138" s="1618"/>
      <c r="D138" s="66" t="s">
        <v>186</v>
      </c>
      <c r="E138" s="375">
        <v>0</v>
      </c>
      <c r="H138" s="375">
        <v>0</v>
      </c>
      <c r="K138" s="375">
        <v>0</v>
      </c>
      <c r="N138" s="375">
        <v>0</v>
      </c>
    </row>
    <row r="139" spans="1:14" outlineLevel="2" x14ac:dyDescent="0.2">
      <c r="A139" s="1582"/>
      <c r="B139" s="1613"/>
      <c r="C139" s="1618"/>
      <c r="D139" s="19" t="s">
        <v>187</v>
      </c>
      <c r="E139" s="408"/>
      <c r="F139" s="450"/>
      <c r="G139" s="451"/>
      <c r="H139" s="408">
        <v>0</v>
      </c>
      <c r="I139" s="450"/>
      <c r="J139" s="451"/>
      <c r="K139" s="408">
        <v>0</v>
      </c>
      <c r="L139" s="517"/>
      <c r="M139" s="518"/>
      <c r="N139" s="408">
        <v>0</v>
      </c>
    </row>
    <row r="140" spans="1:14" outlineLevel="2" x14ac:dyDescent="0.2">
      <c r="A140" s="1582"/>
      <c r="B140" s="1613"/>
      <c r="C140" s="1618"/>
      <c r="D140" s="19" t="s">
        <v>188</v>
      </c>
      <c r="E140" s="404" t="s">
        <v>189</v>
      </c>
      <c r="F140" s="515"/>
      <c r="G140" s="516"/>
      <c r="H140" s="404" t="s">
        <v>189</v>
      </c>
      <c r="I140" s="515"/>
      <c r="J140" s="516"/>
      <c r="K140" s="404" t="s">
        <v>189</v>
      </c>
      <c r="L140" s="515"/>
      <c r="M140" s="516"/>
      <c r="N140" s="404" t="s">
        <v>189</v>
      </c>
    </row>
    <row r="141" spans="1:14" ht="6.75" customHeight="1" outlineLevel="2" x14ac:dyDescent="0.2">
      <c r="A141" s="1582"/>
      <c r="B141" s="1613"/>
      <c r="C141" s="1618"/>
      <c r="E141" s="51"/>
      <c r="H141" s="51"/>
      <c r="K141" s="51"/>
      <c r="N141" s="51"/>
    </row>
    <row r="142" spans="1:14" outlineLevel="2" x14ac:dyDescent="0.2">
      <c r="A142" s="1582"/>
      <c r="B142" s="1613"/>
      <c r="C142" s="1618"/>
      <c r="D142" s="19" t="s">
        <v>190</v>
      </c>
      <c r="E142" s="408"/>
      <c r="F142" s="450"/>
      <c r="G142" s="451"/>
      <c r="H142" s="408">
        <v>0</v>
      </c>
      <c r="I142" s="517"/>
      <c r="J142" s="518"/>
      <c r="K142" s="408">
        <v>0</v>
      </c>
      <c r="L142" s="517"/>
      <c r="M142" s="518"/>
      <c r="N142" s="408">
        <v>0</v>
      </c>
    </row>
    <row r="143" spans="1:14" outlineLevel="2" x14ac:dyDescent="0.2">
      <c r="A143" s="1582"/>
      <c r="B143" s="1613"/>
      <c r="C143" s="1618"/>
      <c r="D143" s="19" t="s">
        <v>191</v>
      </c>
      <c r="E143" s="404" t="s">
        <v>197</v>
      </c>
      <c r="F143" s="450"/>
      <c r="G143" s="451"/>
      <c r="H143" s="404" t="s">
        <v>193</v>
      </c>
      <c r="I143" s="515"/>
      <c r="J143" s="516"/>
      <c r="K143" s="404" t="s">
        <v>193</v>
      </c>
      <c r="L143" s="515"/>
      <c r="M143" s="516"/>
      <c r="N143" s="404" t="s">
        <v>193</v>
      </c>
    </row>
    <row r="144" spans="1:14" outlineLevel="2" x14ac:dyDescent="0.2">
      <c r="A144" s="1582"/>
      <c r="B144" s="1613"/>
      <c r="C144" s="1618"/>
      <c r="D144" s="19" t="s">
        <v>194</v>
      </c>
      <c r="E144" s="404" t="s">
        <v>195</v>
      </c>
      <c r="F144" s="450"/>
      <c r="G144" s="451"/>
      <c r="H144" s="404" t="s">
        <v>195</v>
      </c>
      <c r="I144" s="515"/>
      <c r="J144" s="516"/>
      <c r="K144" s="404" t="s">
        <v>195</v>
      </c>
      <c r="L144" s="515"/>
      <c r="M144" s="516"/>
      <c r="N144" s="404" t="s">
        <v>195</v>
      </c>
    </row>
    <row r="145" spans="1:15" ht="9.75" hidden="1" customHeight="1" outlineLevel="2" x14ac:dyDescent="0.25">
      <c r="A145" s="1582"/>
      <c r="B145" s="1613"/>
      <c r="C145" s="1618"/>
      <c r="D145" s="13"/>
      <c r="E145" s="52"/>
      <c r="H145" s="52"/>
      <c r="K145" s="52"/>
      <c r="N145" s="52"/>
    </row>
    <row r="146" spans="1:15" ht="10.5" hidden="1" customHeight="1" outlineLevel="2" x14ac:dyDescent="0.2">
      <c r="A146" s="1582"/>
      <c r="B146" s="1613"/>
      <c r="C146" s="1618"/>
      <c r="D146" s="53" t="s">
        <v>196</v>
      </c>
      <c r="E146" s="519">
        <v>0</v>
      </c>
      <c r="F146" s="450"/>
      <c r="G146" s="451"/>
      <c r="H146" s="519">
        <v>0</v>
      </c>
      <c r="I146" s="450"/>
      <c r="J146" s="451"/>
      <c r="K146" s="519">
        <v>0</v>
      </c>
      <c r="L146" s="450"/>
      <c r="M146" s="451"/>
      <c r="N146" s="519">
        <v>0</v>
      </c>
    </row>
    <row r="147" spans="1:15" ht="10.5" hidden="1" customHeight="1" outlineLevel="2" x14ac:dyDescent="0.2">
      <c r="A147" s="1582"/>
      <c r="B147" s="1613"/>
      <c r="C147" s="1618"/>
      <c r="D147" s="53" t="s">
        <v>191</v>
      </c>
      <c r="E147" s="520" t="s">
        <v>197</v>
      </c>
      <c r="F147" s="450"/>
      <c r="G147" s="451"/>
      <c r="H147" s="520" t="s">
        <v>197</v>
      </c>
      <c r="I147" s="450"/>
      <c r="J147" s="451"/>
      <c r="K147" s="520" t="s">
        <v>197</v>
      </c>
      <c r="L147" s="450"/>
      <c r="M147" s="451"/>
      <c r="N147" s="520" t="s">
        <v>197</v>
      </c>
    </row>
    <row r="148" spans="1:15" ht="10.5" hidden="1" customHeight="1" outlineLevel="2" x14ac:dyDescent="0.2">
      <c r="A148" s="1582"/>
      <c r="B148" s="1613"/>
      <c r="C148" s="1618"/>
      <c r="D148" s="53" t="s">
        <v>194</v>
      </c>
      <c r="E148" s="520" t="s">
        <v>195</v>
      </c>
      <c r="F148" s="450"/>
      <c r="G148" s="451"/>
      <c r="H148" s="520" t="s">
        <v>195</v>
      </c>
      <c r="I148" s="450"/>
      <c r="J148" s="451"/>
      <c r="K148" s="520" t="s">
        <v>195</v>
      </c>
      <c r="L148" s="450"/>
      <c r="M148" s="451"/>
      <c r="N148" s="520" t="s">
        <v>195</v>
      </c>
    </row>
    <row r="149" spans="1:15" ht="12.75" hidden="1" customHeight="1" outlineLevel="2" x14ac:dyDescent="0.25">
      <c r="A149" s="1582"/>
      <c r="B149" s="1613"/>
      <c r="C149" s="1618"/>
      <c r="D149" s="13"/>
      <c r="E149" s="52"/>
      <c r="H149" s="52"/>
      <c r="K149" s="52"/>
      <c r="N149" s="52"/>
    </row>
    <row r="150" spans="1:15" ht="10.5" hidden="1" customHeight="1" outlineLevel="2" x14ac:dyDescent="0.2">
      <c r="A150" s="1582"/>
      <c r="B150" s="1613"/>
      <c r="C150" s="1618"/>
      <c r="D150" s="53" t="s">
        <v>198</v>
      </c>
      <c r="E150" s="519">
        <v>0</v>
      </c>
      <c r="F150" s="450"/>
      <c r="G150" s="451"/>
      <c r="H150" s="519">
        <v>0</v>
      </c>
      <c r="I150" s="450"/>
      <c r="J150" s="451"/>
      <c r="K150" s="519">
        <v>0</v>
      </c>
      <c r="L150" s="450"/>
      <c r="M150" s="451"/>
      <c r="N150" s="519">
        <v>0</v>
      </c>
    </row>
    <row r="151" spans="1:15" ht="10.5" hidden="1" customHeight="1" outlineLevel="2" x14ac:dyDescent="0.2">
      <c r="A151" s="1582"/>
      <c r="B151" s="1613"/>
      <c r="C151" s="1618"/>
      <c r="D151" s="53" t="s">
        <v>191</v>
      </c>
      <c r="E151" s="520" t="s">
        <v>192</v>
      </c>
      <c r="F151" s="450"/>
      <c r="G151" s="451"/>
      <c r="H151" s="520" t="s">
        <v>192</v>
      </c>
      <c r="I151" s="450"/>
      <c r="J151" s="451"/>
      <c r="K151" s="520" t="s">
        <v>192</v>
      </c>
      <c r="L151" s="450"/>
      <c r="M151" s="451"/>
      <c r="N151" s="520" t="s">
        <v>192</v>
      </c>
    </row>
    <row r="152" spans="1:15" ht="10.5" hidden="1" customHeight="1" outlineLevel="2" x14ac:dyDescent="0.2">
      <c r="A152" s="1582"/>
      <c r="B152" s="1613"/>
      <c r="C152" s="1618"/>
      <c r="D152" s="53" t="s">
        <v>194</v>
      </c>
      <c r="E152" s="520" t="s">
        <v>199</v>
      </c>
      <c r="F152" s="450"/>
      <c r="G152" s="451"/>
      <c r="H152" s="520" t="s">
        <v>199</v>
      </c>
      <c r="I152" s="450"/>
      <c r="J152" s="451"/>
      <c r="K152" s="520" t="s">
        <v>199</v>
      </c>
      <c r="L152" s="450"/>
      <c r="M152" s="451"/>
      <c r="N152" s="520" t="s">
        <v>199</v>
      </c>
    </row>
    <row r="153" spans="1:15" s="13" customFormat="1" ht="14.25" customHeight="1" outlineLevel="2" x14ac:dyDescent="0.25">
      <c r="A153" s="1582"/>
      <c r="B153" s="1613"/>
      <c r="E153" s="52"/>
      <c r="F153" s="54"/>
      <c r="H153" s="52"/>
      <c r="I153" s="54"/>
      <c r="K153" s="52"/>
      <c r="L153" s="54"/>
      <c r="N153" s="52"/>
      <c r="O153" s="54"/>
    </row>
    <row r="154" spans="1:15" ht="10.5" customHeight="1" outlineLevel="2" x14ac:dyDescent="0.2">
      <c r="A154" s="1582"/>
      <c r="B154" s="1613"/>
      <c r="C154" s="1619" t="s">
        <v>233</v>
      </c>
      <c r="D154" s="19" t="s">
        <v>234</v>
      </c>
      <c r="E154" s="408">
        <v>0</v>
      </c>
      <c r="F154" s="377"/>
      <c r="G154" s="378"/>
      <c r="H154" s="408">
        <v>0</v>
      </c>
      <c r="I154" s="377"/>
      <c r="J154" s="378"/>
      <c r="K154" s="408">
        <v>0</v>
      </c>
      <c r="L154" s="377"/>
      <c r="M154" s="378"/>
      <c r="N154" s="408">
        <v>0</v>
      </c>
    </row>
    <row r="155" spans="1:15" ht="10.5" customHeight="1" outlineLevel="2" x14ac:dyDescent="0.2">
      <c r="A155" s="1582"/>
      <c r="B155" s="1613"/>
      <c r="C155" s="1619"/>
      <c r="D155" s="19" t="s">
        <v>202</v>
      </c>
      <c r="E155" s="404" t="s">
        <v>203</v>
      </c>
      <c r="F155" s="370"/>
      <c r="G155" s="376"/>
      <c r="H155" s="404" t="s">
        <v>204</v>
      </c>
      <c r="I155" s="370"/>
      <c r="J155" s="376"/>
      <c r="K155" s="404" t="s">
        <v>204</v>
      </c>
      <c r="L155" s="370"/>
      <c r="M155" s="376"/>
      <c r="N155" s="404" t="s">
        <v>204</v>
      </c>
    </row>
    <row r="156" spans="1:15" ht="10.5" customHeight="1" outlineLevel="2" x14ac:dyDescent="0.2">
      <c r="A156" s="1582"/>
      <c r="B156" s="1613"/>
      <c r="C156" s="1619"/>
      <c r="D156" s="19" t="s">
        <v>205</v>
      </c>
      <c r="E156" s="404" t="s">
        <v>87</v>
      </c>
      <c r="F156" s="370"/>
      <c r="G156" s="376"/>
      <c r="H156" s="404" t="s">
        <v>87</v>
      </c>
      <c r="I156" s="370"/>
      <c r="J156" s="376"/>
      <c r="K156" s="404" t="s">
        <v>87</v>
      </c>
      <c r="L156" s="370"/>
      <c r="M156" s="376"/>
      <c r="N156" s="404" t="s">
        <v>87</v>
      </c>
    </row>
    <row r="157" spans="1:15" ht="10.5" customHeight="1" outlineLevel="2" x14ac:dyDescent="0.2">
      <c r="A157" s="1582"/>
      <c r="B157" s="1613"/>
      <c r="C157" s="1619"/>
      <c r="D157" s="19" t="s">
        <v>206</v>
      </c>
      <c r="E157" s="404" t="s">
        <v>207</v>
      </c>
      <c r="F157" s="370"/>
      <c r="G157" s="376"/>
      <c r="H157" s="404" t="s">
        <v>207</v>
      </c>
      <c r="I157" s="370"/>
      <c r="J157" s="376"/>
      <c r="K157" s="404" t="s">
        <v>207</v>
      </c>
      <c r="L157" s="370"/>
      <c r="M157" s="376"/>
      <c r="N157" s="404" t="s">
        <v>207</v>
      </c>
    </row>
    <row r="158" spans="1:15" ht="11.25" customHeight="1" outlineLevel="2" x14ac:dyDescent="0.2">
      <c r="A158" s="1582"/>
      <c r="B158" s="1613"/>
      <c r="C158" s="1619"/>
      <c r="E158" s="51"/>
      <c r="H158" s="51"/>
      <c r="K158" s="51"/>
      <c r="N158" s="51"/>
    </row>
    <row r="159" spans="1:15" outlineLevel="2" x14ac:dyDescent="0.2">
      <c r="A159" s="1582"/>
      <c r="B159" s="1613"/>
      <c r="C159" s="1619"/>
      <c r="D159" s="19" t="s">
        <v>208</v>
      </c>
      <c r="E159" s="408">
        <v>0</v>
      </c>
      <c r="F159" s="377"/>
      <c r="G159" s="378"/>
      <c r="H159" s="408">
        <v>0</v>
      </c>
      <c r="I159" s="377"/>
      <c r="J159" s="378"/>
      <c r="K159" s="408">
        <v>0</v>
      </c>
      <c r="L159" s="377"/>
      <c r="M159" s="378"/>
      <c r="N159" s="408">
        <v>0</v>
      </c>
    </row>
    <row r="160" spans="1:15" outlineLevel="2" x14ac:dyDescent="0.2">
      <c r="A160" s="1582"/>
      <c r="B160" s="1613"/>
      <c r="C160" s="1619"/>
      <c r="D160" s="19" t="s">
        <v>202</v>
      </c>
      <c r="E160" s="404" t="s">
        <v>204</v>
      </c>
      <c r="F160" s="370"/>
      <c r="G160" s="376"/>
      <c r="H160" s="404" t="s">
        <v>204</v>
      </c>
      <c r="I160" s="370"/>
      <c r="J160" s="376"/>
      <c r="K160" s="404" t="s">
        <v>204</v>
      </c>
      <c r="L160" s="370"/>
      <c r="M160" s="376"/>
      <c r="N160" s="404" t="s">
        <v>204</v>
      </c>
    </row>
    <row r="161" spans="1:14" outlineLevel="2" x14ac:dyDescent="0.2">
      <c r="A161" s="1582"/>
      <c r="B161" s="1613"/>
      <c r="C161" s="1619"/>
      <c r="D161" s="19" t="s">
        <v>205</v>
      </c>
      <c r="E161" s="404" t="s">
        <v>87</v>
      </c>
      <c r="F161" s="370"/>
      <c r="G161" s="376"/>
      <c r="H161" s="404" t="s">
        <v>87</v>
      </c>
      <c r="I161" s="370"/>
      <c r="J161" s="376"/>
      <c r="K161" s="404" t="s">
        <v>87</v>
      </c>
      <c r="L161" s="370"/>
      <c r="M161" s="376"/>
      <c r="N161" s="404" t="s">
        <v>87</v>
      </c>
    </row>
    <row r="162" spans="1:14" ht="10.8" outlineLevel="2" thickBot="1" x14ac:dyDescent="0.25">
      <c r="A162" s="1582"/>
      <c r="B162" s="1613"/>
      <c r="C162" s="1619"/>
      <c r="D162" s="19" t="s">
        <v>206</v>
      </c>
      <c r="E162" s="410" t="s">
        <v>207</v>
      </c>
      <c r="F162" s="370"/>
      <c r="G162" s="376"/>
      <c r="H162" s="410" t="s">
        <v>207</v>
      </c>
      <c r="I162" s="370"/>
      <c r="J162" s="376"/>
      <c r="K162" s="410" t="s">
        <v>207</v>
      </c>
      <c r="L162" s="370"/>
      <c r="M162" s="376"/>
      <c r="N162" s="410" t="s">
        <v>207</v>
      </c>
    </row>
    <row r="163" spans="1:14" ht="12" customHeight="1" outlineLevel="2" x14ac:dyDescent="0.2">
      <c r="A163" s="1582"/>
      <c r="B163" s="1613"/>
      <c r="C163" s="1619"/>
      <c r="E163" s="60"/>
      <c r="H163" s="60"/>
      <c r="K163" s="60"/>
      <c r="N163" s="60"/>
    </row>
    <row r="164" spans="1:14" ht="10.5" hidden="1" customHeight="1" outlineLevel="2" x14ac:dyDescent="0.2">
      <c r="A164" s="1582"/>
      <c r="B164" s="1613"/>
      <c r="C164" s="1619"/>
      <c r="D164" s="15" t="s">
        <v>210</v>
      </c>
      <c r="E164" s="67">
        <v>0</v>
      </c>
      <c r="H164" s="67">
        <v>0</v>
      </c>
      <c r="K164" s="67">
        <v>0</v>
      </c>
      <c r="N164" s="67">
        <v>0</v>
      </c>
    </row>
    <row r="165" spans="1:14" ht="10.5" hidden="1" customHeight="1" outlineLevel="2" x14ac:dyDescent="0.2">
      <c r="A165" s="1582"/>
      <c r="B165" s="1613"/>
      <c r="C165" s="1619"/>
      <c r="D165" s="15" t="s">
        <v>202</v>
      </c>
      <c r="E165" s="60" t="s">
        <v>204</v>
      </c>
      <c r="H165" s="60" t="s">
        <v>204</v>
      </c>
      <c r="K165" s="60" t="s">
        <v>204</v>
      </c>
      <c r="N165" s="60" t="s">
        <v>204</v>
      </c>
    </row>
    <row r="166" spans="1:14" ht="10.5" hidden="1" customHeight="1" outlineLevel="2" x14ac:dyDescent="0.2">
      <c r="A166" s="1582"/>
      <c r="B166" s="1613"/>
      <c r="C166" s="1619"/>
      <c r="D166" s="15" t="s">
        <v>205</v>
      </c>
      <c r="E166" s="60" t="s">
        <v>87</v>
      </c>
      <c r="H166" s="60" t="s">
        <v>87</v>
      </c>
      <c r="K166" s="60" t="s">
        <v>87</v>
      </c>
      <c r="N166" s="60" t="s">
        <v>87</v>
      </c>
    </row>
    <row r="167" spans="1:14" ht="10.5" hidden="1" customHeight="1" outlineLevel="2" x14ac:dyDescent="0.2">
      <c r="A167" s="1582"/>
      <c r="B167" s="1613"/>
      <c r="C167" s="1619"/>
      <c r="D167" s="15" t="s">
        <v>206</v>
      </c>
      <c r="E167" s="60" t="s">
        <v>207</v>
      </c>
      <c r="H167" s="60" t="s">
        <v>207</v>
      </c>
      <c r="K167" s="60" t="s">
        <v>207</v>
      </c>
      <c r="N167" s="60" t="s">
        <v>207</v>
      </c>
    </row>
    <row r="168" spans="1:14" ht="13.5" hidden="1" customHeight="1" outlineLevel="2" x14ac:dyDescent="0.2">
      <c r="A168" s="1582"/>
      <c r="B168" s="1613"/>
      <c r="C168" s="1619"/>
      <c r="E168" s="60"/>
      <c r="H168" s="60"/>
      <c r="K168" s="60"/>
      <c r="N168" s="60"/>
    </row>
    <row r="169" spans="1:14" ht="10.5" hidden="1" customHeight="1" outlineLevel="2" x14ac:dyDescent="0.2">
      <c r="A169" s="1582"/>
      <c r="B169" s="1613"/>
      <c r="C169" s="1619"/>
      <c r="D169" s="15" t="s">
        <v>211</v>
      </c>
      <c r="E169" s="67">
        <v>0</v>
      </c>
      <c r="H169" s="67">
        <v>0</v>
      </c>
      <c r="K169" s="67">
        <v>0</v>
      </c>
      <c r="N169" s="67">
        <v>0</v>
      </c>
    </row>
    <row r="170" spans="1:14" ht="10.5" hidden="1" customHeight="1" outlineLevel="2" x14ac:dyDescent="0.2">
      <c r="A170" s="1582"/>
      <c r="B170" s="1613"/>
      <c r="C170" s="1619"/>
      <c r="D170" s="15" t="s">
        <v>202</v>
      </c>
      <c r="E170" s="60" t="s">
        <v>204</v>
      </c>
      <c r="H170" s="60" t="s">
        <v>204</v>
      </c>
      <c r="K170" s="60" t="s">
        <v>204</v>
      </c>
      <c r="N170" s="60" t="s">
        <v>204</v>
      </c>
    </row>
    <row r="171" spans="1:14" ht="10.5" hidden="1" customHeight="1" outlineLevel="2" x14ac:dyDescent="0.2">
      <c r="A171" s="1582"/>
      <c r="B171" s="1613"/>
      <c r="C171" s="1619"/>
      <c r="D171" s="15" t="s">
        <v>205</v>
      </c>
      <c r="E171" s="60" t="s">
        <v>87</v>
      </c>
      <c r="H171" s="60" t="s">
        <v>87</v>
      </c>
      <c r="K171" s="60" t="s">
        <v>87</v>
      </c>
      <c r="N171" s="60" t="s">
        <v>87</v>
      </c>
    </row>
    <row r="172" spans="1:14" ht="10.5" hidden="1" customHeight="1" outlineLevel="2" x14ac:dyDescent="0.2">
      <c r="A172" s="1582"/>
      <c r="B172" s="1613"/>
      <c r="C172" s="1619"/>
      <c r="D172" s="15" t="s">
        <v>206</v>
      </c>
      <c r="E172" s="60" t="s">
        <v>207</v>
      </c>
      <c r="H172" s="60" t="s">
        <v>207</v>
      </c>
      <c r="K172" s="60" t="s">
        <v>207</v>
      </c>
      <c r="N172" s="60" t="s">
        <v>207</v>
      </c>
    </row>
    <row r="173" spans="1:14" ht="10.5" hidden="1" customHeight="1" outlineLevel="2" x14ac:dyDescent="0.2">
      <c r="A173" s="1582"/>
      <c r="B173" s="1613"/>
      <c r="C173" s="57"/>
      <c r="E173" s="60"/>
      <c r="H173" s="60"/>
      <c r="K173" s="60"/>
      <c r="N173" s="60"/>
    </row>
    <row r="174" spans="1:14" ht="10.5" hidden="1" customHeight="1" outlineLevel="2" x14ac:dyDescent="0.2">
      <c r="A174" s="1582"/>
      <c r="B174" s="1613"/>
      <c r="C174" s="57"/>
      <c r="D174" s="15" t="s">
        <v>213</v>
      </c>
      <c r="E174" s="60">
        <f>+VLOOKUP(E126,paraméterek!$G$2:$H$6,2,FALSE)</f>
        <v>0.9</v>
      </c>
      <c r="H174" s="60">
        <f>+VLOOKUP(H126,paraméterek!$G$2:$H$6,2,FALSE)</f>
        <v>0.9</v>
      </c>
      <c r="K174" s="60">
        <f>+VLOOKUP(K126,paraméterek!$G$2:$H$6,2,FALSE)</f>
        <v>0.9</v>
      </c>
      <c r="N174" s="60">
        <f>+VLOOKUP(N126,paraméterek!$G$2:$H$6,2,FALSE)</f>
        <v>0.9</v>
      </c>
    </row>
    <row r="175" spans="1:14" ht="10.5" customHeight="1" outlineLevel="2" x14ac:dyDescent="0.25">
      <c r="A175" s="1582"/>
      <c r="B175" s="1613"/>
      <c r="C175" s="57"/>
      <c r="D175" s="43" t="s">
        <v>214</v>
      </c>
      <c r="E175" s="58">
        <f>+(IF(E135="nem",E139,paraméterek!$A$163*'komplex kalkulátor'!E139)+IF(E148="hivatalos igazolás",E146,E146*paraméterek!$A$161)+IF(E144="hivatalos igazolás",E142,E142*paraméterek!$A$161)+IF(E152="hivatalos igazolás",E150,E150*paraméterek!$A$161))*E174</f>
        <v>0</v>
      </c>
      <c r="F175" s="43"/>
      <c r="G175" s="43"/>
      <c r="H175" s="58">
        <f>+(IF(H135="nem",H139,paraméterek!$A$163*'komplex kalkulátor'!H139)+IF(H148="hivatalos igazolás",H146,H146*paraméterek!$A$161)+IF(H144="hivatalos igazolás",H142,H142*paraméterek!$A$161)+IF(H152="hivatalos igazolás",H150,H150*paraméterek!$A$161))*H174</f>
        <v>0</v>
      </c>
      <c r="I175" s="43"/>
      <c r="J175" s="43"/>
      <c r="K175" s="58">
        <f>+(IF(K135="nem",K139,paraméterek!$A$163*'komplex kalkulátor'!K139)+IF(K148="hivatalos igazolás",K146,K146*paraméterek!$A$161)+IF(K144="hivatalos igazolás",K142,K142*paraméterek!$A$161)+IF(K152="hivatalos igazolás",K150,K150*paraméterek!$A$161))*K174</f>
        <v>0</v>
      </c>
      <c r="L175" s="43"/>
      <c r="M175" s="43"/>
      <c r="N175" s="58">
        <f>+(IF(N135="nem",N139,paraméterek!$A$163*'komplex kalkulátor'!N139)+IF(N148="hivatalos igazolás",N146,N146*paraméterek!$A$161)+IF(N144="hivatalos igazolás",N142,N142*paraméterek!$A$161)+IF(N152="hivatalos igazolás",N150,N150*paraméterek!$A$161))*N174</f>
        <v>0</v>
      </c>
    </row>
    <row r="176" spans="1:14" ht="10.5" customHeight="1" outlineLevel="2" thickBot="1" x14ac:dyDescent="0.3">
      <c r="A176" s="1582"/>
      <c r="B176" s="1613"/>
      <c r="D176" s="43" t="s">
        <v>215</v>
      </c>
      <c r="E176" s="59">
        <f>+IF(E156="nem",E154,0)+IF(E161="nem",E159,0)+IF(E166="nem",E164,0)+IF(E171="nem",E169,0)</f>
        <v>0</v>
      </c>
      <c r="F176" s="43"/>
      <c r="G176" s="43"/>
      <c r="H176" s="59">
        <f>+IF(H156="nem",H154,0)+IF(H161="nem",H159,0)+IF(H166="nem",H164,0)+IF(H171="nem",H169,0)</f>
        <v>0</v>
      </c>
      <c r="I176" s="43"/>
      <c r="J176" s="43"/>
      <c r="K176" s="59">
        <v>0</v>
      </c>
      <c r="L176" s="43"/>
      <c r="M176" s="43"/>
      <c r="N176" s="59">
        <v>0</v>
      </c>
    </row>
    <row r="177" spans="1:15" ht="13.2" outlineLevel="2" x14ac:dyDescent="0.25">
      <c r="A177" s="1582"/>
      <c r="B177" s="1613"/>
      <c r="D177" s="1585" t="str">
        <f>+"h á z t a r t á s i     a d a t o k" &amp; "   -   "&amp; E112</f>
        <v xml:space="preserve">h á z t a r t á s i     a d a t o k   -   </v>
      </c>
      <c r="E177" s="1585"/>
      <c r="F177" s="1585"/>
      <c r="G177" s="1585"/>
      <c r="H177" s="1585"/>
      <c r="I177" s="1585"/>
      <c r="J177" s="1585"/>
      <c r="K177" s="1585"/>
      <c r="L177" s="1585"/>
      <c r="M177" s="1585"/>
      <c r="N177" s="1585"/>
    </row>
    <row r="178" spans="1:15" outlineLevel="2" x14ac:dyDescent="0.2">
      <c r="A178" s="1582"/>
      <c r="B178" s="1613"/>
      <c r="D178" s="19" t="s">
        <v>216</v>
      </c>
    </row>
    <row r="179" spans="1:15" outlineLevel="2" x14ac:dyDescent="0.2">
      <c r="A179" s="1582"/>
      <c r="B179" s="1613"/>
      <c r="D179" s="19" t="s">
        <v>217</v>
      </c>
      <c r="E179" s="401">
        <v>0</v>
      </c>
      <c r="F179" s="17">
        <f>+VLOOKUP(E179,paraméterek!$K$7:$L$24,2,FALSE)</f>
        <v>0</v>
      </c>
    </row>
    <row r="180" spans="1:15" outlineLevel="2" x14ac:dyDescent="0.2">
      <c r="A180" s="1582"/>
      <c r="B180" s="1613"/>
      <c r="D180" s="19" t="s">
        <v>218</v>
      </c>
      <c r="E180" s="401">
        <v>0</v>
      </c>
      <c r="F180" s="17">
        <f>+VLOOKUP(E180,paraméterek!$N$7:$O$24,2,FALSE)</f>
        <v>0</v>
      </c>
    </row>
    <row r="181" spans="1:15" outlineLevel="2" x14ac:dyDescent="0.2">
      <c r="A181" s="1582"/>
      <c r="B181" s="1613"/>
      <c r="D181" s="19" t="s">
        <v>219</v>
      </c>
      <c r="E181" s="401">
        <v>0</v>
      </c>
      <c r="F181" s="17">
        <f>+VLOOKUP(E181,paraméterek!$Q$7:$R$24,2,FALSE)</f>
        <v>0</v>
      </c>
    </row>
    <row r="182" spans="1:15" ht="3.75" customHeight="1" outlineLevel="2" x14ac:dyDescent="0.2">
      <c r="A182" s="1582"/>
      <c r="B182" s="1613"/>
      <c r="E182" s="60"/>
    </row>
    <row r="183" spans="1:15" ht="10.5" customHeight="1" outlineLevel="2" x14ac:dyDescent="0.2">
      <c r="A183" s="1582"/>
      <c r="B183" s="1613"/>
      <c r="D183" s="1617" t="s">
        <v>220</v>
      </c>
      <c r="E183" s="1617"/>
      <c r="F183" s="1617"/>
      <c r="G183" s="1617"/>
      <c r="H183" s="1617"/>
      <c r="I183" s="78"/>
      <c r="J183" s="78"/>
      <c r="K183" s="401" t="s">
        <v>87</v>
      </c>
      <c r="L183" s="78"/>
      <c r="N183" s="18"/>
      <c r="O183" s="61">
        <f>+VLOOKUP(K183,paraméterek!$E$166:$F$167,2,FALSE)</f>
        <v>1</v>
      </c>
    </row>
    <row r="184" spans="1:15" ht="25.5" customHeight="1" outlineLevel="2" x14ac:dyDescent="0.2">
      <c r="A184" s="1582"/>
      <c r="B184" s="1613"/>
      <c r="D184" s="1617" t="s">
        <v>221</v>
      </c>
      <c r="E184" s="1617"/>
      <c r="F184" s="1617"/>
      <c r="G184" s="1617"/>
      <c r="H184" s="1617"/>
      <c r="I184" s="78"/>
      <c r="J184" s="78"/>
      <c r="K184" s="401" t="s">
        <v>87</v>
      </c>
      <c r="L184" s="78"/>
      <c r="N184" s="18"/>
      <c r="O184" s="61">
        <f>+VLOOKUP(K184,paraméterek!$E$168:$F$169,2,FALSE)</f>
        <v>1</v>
      </c>
    </row>
    <row r="185" spans="1:15" ht="6" customHeight="1" outlineLevel="2" x14ac:dyDescent="0.2">
      <c r="A185" s="1582"/>
      <c r="B185" s="1613"/>
    </row>
    <row r="186" spans="1:15" ht="13.2" outlineLevel="2" x14ac:dyDescent="0.25">
      <c r="A186" s="1582"/>
      <c r="B186" s="1613"/>
      <c r="D186" s="1593" t="s">
        <v>222</v>
      </c>
      <c r="E186" s="1593"/>
      <c r="F186" s="43"/>
      <c r="G186" s="43"/>
      <c r="H186" s="62">
        <f>+F179*létmin+F180*létmin+F181*létmin</f>
        <v>0</v>
      </c>
    </row>
    <row r="187" spans="1:15" ht="13.2" outlineLevel="2" x14ac:dyDescent="0.25">
      <c r="A187" s="1582"/>
      <c r="B187" s="1613"/>
      <c r="D187" s="1593" t="s">
        <v>223</v>
      </c>
      <c r="E187" s="1593"/>
      <c r="F187" s="43"/>
      <c r="G187" s="43"/>
      <c r="H187" s="63">
        <f>(E175+H175+K175+N175)*O183*O184</f>
        <v>0</v>
      </c>
      <c r="K187" s="1593" t="s">
        <v>1099</v>
      </c>
      <c r="L187" s="1593"/>
      <c r="N187" s="63">
        <f>+E139+E142+H139+H142+K139+K142+N139+N142</f>
        <v>0</v>
      </c>
    </row>
    <row r="188" spans="1:15" ht="13.2" outlineLevel="2" x14ac:dyDescent="0.25">
      <c r="A188" s="1582"/>
      <c r="B188" s="1613"/>
      <c r="D188" s="1593" t="s">
        <v>224</v>
      </c>
      <c r="E188" s="1593"/>
      <c r="F188" s="43"/>
      <c r="G188" s="43"/>
      <c r="H188" s="63">
        <f>+E176+H176+K176+N176</f>
        <v>0</v>
      </c>
    </row>
    <row r="189" spans="1:15" ht="13.8" outlineLevel="2" thickBot="1" x14ac:dyDescent="0.3">
      <c r="A189" s="1582"/>
      <c r="B189" s="1614"/>
      <c r="D189" s="1593" t="s">
        <v>225</v>
      </c>
      <c r="E189" s="1593"/>
      <c r="F189" s="43"/>
      <c r="G189" s="43"/>
      <c r="H189" s="64">
        <f>+(H187-H186-H188)</f>
        <v>0</v>
      </c>
    </row>
    <row r="190" spans="1:15" outlineLevel="2" x14ac:dyDescent="0.2">
      <c r="A190" s="384"/>
    </row>
    <row r="191" spans="1:15" ht="13.8" thickBot="1" x14ac:dyDescent="0.3">
      <c r="A191" s="384"/>
      <c r="D191" s="1585" t="s">
        <v>237</v>
      </c>
      <c r="E191" s="1585"/>
      <c r="F191" s="1585"/>
      <c r="G191" s="1585"/>
      <c r="H191" s="1585"/>
      <c r="I191" s="1585"/>
      <c r="J191" s="1585"/>
      <c r="K191" s="1585"/>
      <c r="L191" s="1585"/>
      <c r="M191" s="1585"/>
      <c r="N191" s="1585"/>
    </row>
    <row r="192" spans="1:15" x14ac:dyDescent="0.2">
      <c r="B192" s="1586" t="s">
        <v>238</v>
      </c>
      <c r="E192" s="68" t="s">
        <v>239</v>
      </c>
      <c r="F192" s="69"/>
      <c r="G192" s="26"/>
      <c r="H192" s="68" t="s">
        <v>240</v>
      </c>
      <c r="I192" s="69"/>
      <c r="J192" s="26"/>
      <c r="K192" s="68" t="s">
        <v>241</v>
      </c>
      <c r="L192" s="69"/>
      <c r="M192" s="26"/>
      <c r="N192" s="68" t="s">
        <v>242</v>
      </c>
    </row>
    <row r="193" spans="2:14" outlineLevel="1" x14ac:dyDescent="0.2">
      <c r="B193" s="1587"/>
      <c r="D193" s="19" t="s">
        <v>243</v>
      </c>
      <c r="E193" s="401" t="s">
        <v>244</v>
      </c>
      <c r="H193" s="401" t="s">
        <v>245</v>
      </c>
      <c r="K193" s="401" t="s">
        <v>245</v>
      </c>
      <c r="N193" s="401" t="s">
        <v>245</v>
      </c>
    </row>
    <row r="194" spans="2:14" outlineLevel="1" x14ac:dyDescent="0.2">
      <c r="B194" s="1587"/>
      <c r="D194" s="19" t="s">
        <v>246</v>
      </c>
      <c r="E194" s="401" t="s">
        <v>247</v>
      </c>
      <c r="H194" s="401" t="s">
        <v>247</v>
      </c>
      <c r="K194" s="401" t="s">
        <v>247</v>
      </c>
      <c r="N194" s="401" t="s">
        <v>247</v>
      </c>
    </row>
    <row r="195" spans="2:14" x14ac:dyDescent="0.2">
      <c r="B195" s="1587"/>
      <c r="D195" s="19" t="s">
        <v>248</v>
      </c>
      <c r="E195" s="401" t="s">
        <v>249</v>
      </c>
      <c r="F195" s="450"/>
      <c r="G195" s="451"/>
      <c r="H195" s="401"/>
      <c r="I195" s="450"/>
      <c r="J195" s="451"/>
      <c r="K195" s="401"/>
      <c r="L195" s="450"/>
      <c r="M195" s="451"/>
      <c r="N195" s="401"/>
    </row>
    <row r="196" spans="2:14" outlineLevel="1" x14ac:dyDescent="0.2">
      <c r="B196" s="1587"/>
      <c r="D196" s="19" t="s">
        <v>250</v>
      </c>
      <c r="E196" s="401"/>
      <c r="F196" s="450"/>
      <c r="G196" s="451"/>
      <c r="H196" s="401"/>
      <c r="I196" s="450"/>
      <c r="J196" s="451"/>
      <c r="K196" s="401"/>
      <c r="L196" s="450"/>
      <c r="M196" s="451"/>
      <c r="N196" s="401"/>
    </row>
    <row r="197" spans="2:14" outlineLevel="2" x14ac:dyDescent="0.2">
      <c r="B197" s="1587"/>
      <c r="C197" s="15" t="s">
        <v>146</v>
      </c>
      <c r="D197" s="19" t="s">
        <v>251</v>
      </c>
      <c r="E197" s="401" t="s">
        <v>252</v>
      </c>
      <c r="F197" s="450"/>
      <c r="G197" s="451"/>
      <c r="H197" s="401"/>
      <c r="I197" s="450"/>
      <c r="J197" s="451"/>
      <c r="K197" s="401"/>
      <c r="L197" s="450"/>
      <c r="M197" s="451"/>
      <c r="N197" s="401"/>
    </row>
    <row r="198" spans="2:14" outlineLevel="2" x14ac:dyDescent="0.2">
      <c r="B198" s="1587"/>
      <c r="C198" s="15" t="s">
        <v>146</v>
      </c>
      <c r="D198" s="19" t="s">
        <v>253</v>
      </c>
      <c r="E198" s="401">
        <v>15</v>
      </c>
      <c r="F198" s="450"/>
      <c r="G198" s="451"/>
      <c r="H198" s="401"/>
      <c r="I198" s="450"/>
      <c r="J198" s="451"/>
      <c r="K198" s="401"/>
      <c r="L198" s="450"/>
      <c r="M198" s="451"/>
      <c r="N198" s="401"/>
    </row>
    <row r="199" spans="2:14" outlineLevel="2" x14ac:dyDescent="0.2">
      <c r="B199" s="1587"/>
      <c r="C199" s="15" t="s">
        <v>146</v>
      </c>
      <c r="D199" s="19" t="s">
        <v>254</v>
      </c>
      <c r="E199" s="401"/>
      <c r="F199" s="450"/>
      <c r="G199" s="451"/>
      <c r="H199" s="401"/>
      <c r="I199" s="450"/>
      <c r="J199" s="451"/>
      <c r="K199" s="401"/>
      <c r="L199" s="450"/>
      <c r="M199" s="451"/>
      <c r="N199" s="401"/>
    </row>
    <row r="200" spans="2:14" outlineLevel="2" x14ac:dyDescent="0.2">
      <c r="B200" s="1587"/>
      <c r="C200" s="15" t="s">
        <v>146</v>
      </c>
      <c r="D200" s="19" t="s">
        <v>255</v>
      </c>
      <c r="E200" s="401" t="s">
        <v>256</v>
      </c>
      <c r="F200" s="450"/>
      <c r="G200" s="451"/>
      <c r="H200" s="401"/>
      <c r="I200" s="450"/>
      <c r="J200" s="451"/>
      <c r="K200" s="401"/>
      <c r="L200" s="450"/>
      <c r="M200" s="451"/>
      <c r="N200" s="401"/>
    </row>
    <row r="201" spans="2:14" outlineLevel="2" x14ac:dyDescent="0.2">
      <c r="B201" s="1587"/>
      <c r="C201" s="15" t="s">
        <v>146</v>
      </c>
      <c r="D201" s="19" t="s">
        <v>257</v>
      </c>
      <c r="E201" s="401" t="s">
        <v>258</v>
      </c>
      <c r="F201" s="450"/>
      <c r="G201" s="451"/>
      <c r="H201" s="401"/>
      <c r="I201" s="450"/>
      <c r="J201" s="451"/>
      <c r="K201" s="401"/>
      <c r="L201" s="450"/>
      <c r="M201" s="451"/>
      <c r="N201" s="401"/>
    </row>
    <row r="202" spans="2:14" outlineLevel="2" x14ac:dyDescent="0.2">
      <c r="B202" s="1587"/>
      <c r="C202" s="15" t="s">
        <v>146</v>
      </c>
      <c r="D202" s="19" t="s">
        <v>259</v>
      </c>
      <c r="E202" s="401" t="s">
        <v>260</v>
      </c>
      <c r="F202" s="450"/>
      <c r="G202" s="451"/>
      <c r="H202" s="401"/>
      <c r="I202" s="450"/>
      <c r="J202" s="451"/>
      <c r="K202" s="401"/>
      <c r="L202" s="450"/>
      <c r="M202" s="451"/>
      <c r="N202" s="401"/>
    </row>
    <row r="203" spans="2:14" ht="9.75" customHeight="1" outlineLevel="1" x14ac:dyDescent="0.2">
      <c r="B203" s="1587"/>
      <c r="D203" s="19" t="s">
        <v>261</v>
      </c>
      <c r="E203" s="401" t="s">
        <v>87</v>
      </c>
      <c r="F203" s="450"/>
      <c r="G203" s="451"/>
      <c r="H203" s="401" t="s">
        <v>87</v>
      </c>
      <c r="I203" s="450"/>
      <c r="J203" s="451"/>
      <c r="K203" s="401" t="s">
        <v>87</v>
      </c>
      <c r="L203" s="450"/>
      <c r="M203" s="451"/>
      <c r="N203" s="401" t="s">
        <v>87</v>
      </c>
    </row>
    <row r="204" spans="2:14" hidden="1" outlineLevel="1" x14ac:dyDescent="0.2">
      <c r="B204" s="1587"/>
      <c r="C204" s="15" t="s">
        <v>146</v>
      </c>
      <c r="D204" s="19" t="s">
        <v>262</v>
      </c>
      <c r="E204" s="452"/>
      <c r="F204" s="450"/>
      <c r="G204" s="451"/>
      <c r="H204" s="451"/>
      <c r="I204" s="450"/>
      <c r="J204" s="451"/>
      <c r="K204" s="451"/>
      <c r="L204" s="450"/>
      <c r="M204" s="451"/>
      <c r="N204" s="451"/>
    </row>
    <row r="205" spans="2:14" hidden="1" outlineLevel="1" x14ac:dyDescent="0.2">
      <c r="B205" s="1587"/>
      <c r="C205" s="15" t="s">
        <v>146</v>
      </c>
      <c r="D205" s="19" t="s">
        <v>263</v>
      </c>
      <c r="E205" s="452"/>
      <c r="F205" s="450"/>
      <c r="G205" s="451"/>
      <c r="H205" s="451"/>
      <c r="I205" s="450"/>
      <c r="J205" s="451"/>
      <c r="K205" s="451"/>
      <c r="L205" s="450"/>
      <c r="M205" s="451"/>
      <c r="N205" s="451"/>
    </row>
    <row r="206" spans="2:14" hidden="1" outlineLevel="1" x14ac:dyDescent="0.2">
      <c r="B206" s="1587"/>
      <c r="C206" s="15" t="s">
        <v>146</v>
      </c>
      <c r="D206" s="19" t="s">
        <v>264</v>
      </c>
      <c r="E206" s="452"/>
      <c r="F206" s="450"/>
      <c r="G206" s="451"/>
      <c r="H206" s="451"/>
      <c r="I206" s="450"/>
      <c r="J206" s="451"/>
      <c r="K206" s="451"/>
      <c r="L206" s="450"/>
      <c r="M206" s="451"/>
      <c r="N206" s="451"/>
    </row>
    <row r="207" spans="2:14" hidden="1" outlineLevel="1" x14ac:dyDescent="0.2">
      <c r="B207" s="1587"/>
      <c r="C207" s="15" t="s">
        <v>146</v>
      </c>
      <c r="D207" s="19" t="s">
        <v>265</v>
      </c>
      <c r="E207" s="452"/>
      <c r="F207" s="450"/>
      <c r="G207" s="451"/>
      <c r="H207" s="451"/>
      <c r="I207" s="450"/>
      <c r="J207" s="451"/>
      <c r="K207" s="451"/>
      <c r="L207" s="450"/>
      <c r="M207" s="451"/>
      <c r="N207" s="451"/>
    </row>
    <row r="208" spans="2:14" hidden="1" outlineLevel="1" x14ac:dyDescent="0.2">
      <c r="B208" s="1587"/>
      <c r="D208" s="19" t="s">
        <v>266</v>
      </c>
      <c r="E208" s="452"/>
      <c r="F208" s="450"/>
      <c r="G208" s="451"/>
      <c r="H208" s="451"/>
      <c r="I208" s="450"/>
      <c r="J208" s="451"/>
      <c r="K208" s="451"/>
      <c r="L208" s="450"/>
      <c r="M208" s="451"/>
      <c r="N208" s="451"/>
    </row>
    <row r="209" spans="2:14" outlineLevel="1" x14ac:dyDescent="0.2">
      <c r="B209" s="1587"/>
      <c r="D209" s="19" t="s">
        <v>267</v>
      </c>
      <c r="E209" s="411">
        <v>30000000</v>
      </c>
      <c r="F209" s="450"/>
      <c r="G209" s="451"/>
      <c r="H209" s="411">
        <v>0</v>
      </c>
      <c r="I209" s="450"/>
      <c r="J209" s="451"/>
      <c r="K209" s="411">
        <v>0</v>
      </c>
      <c r="L209" s="450"/>
      <c r="M209" s="451"/>
      <c r="N209" s="411">
        <v>0</v>
      </c>
    </row>
    <row r="210" spans="2:14" hidden="1" outlineLevel="2" x14ac:dyDescent="0.2">
      <c r="B210" s="1587"/>
      <c r="D210" s="19" t="s">
        <v>268</v>
      </c>
      <c r="E210" s="453"/>
      <c r="F210" s="450"/>
      <c r="G210" s="451"/>
      <c r="H210" s="453"/>
      <c r="I210" s="450"/>
      <c r="J210" s="451"/>
      <c r="K210" s="453"/>
      <c r="L210" s="450"/>
      <c r="M210" s="451"/>
      <c r="N210" s="454"/>
    </row>
    <row r="211" spans="2:14" hidden="1" outlineLevel="2" x14ac:dyDescent="0.2">
      <c r="B211" s="1587"/>
      <c r="D211" s="19" t="s">
        <v>269</v>
      </c>
      <c r="E211" s="453"/>
      <c r="F211" s="450"/>
      <c r="G211" s="451"/>
      <c r="H211" s="453"/>
      <c r="I211" s="450"/>
      <c r="J211" s="451"/>
      <c r="K211" s="453"/>
      <c r="L211" s="450"/>
      <c r="M211" s="451"/>
      <c r="N211" s="454"/>
    </row>
    <row r="212" spans="2:14" hidden="1" outlineLevel="2" x14ac:dyDescent="0.2">
      <c r="B212" s="1587"/>
      <c r="D212" s="19" t="s">
        <v>270</v>
      </c>
      <c r="E212" s="453"/>
      <c r="F212" s="450"/>
      <c r="G212" s="451"/>
      <c r="H212" s="453"/>
      <c r="I212" s="450"/>
      <c r="J212" s="451"/>
      <c r="K212" s="453"/>
      <c r="L212" s="450"/>
      <c r="M212" s="451"/>
      <c r="N212" s="454"/>
    </row>
    <row r="213" spans="2:14" outlineLevel="1" collapsed="1" x14ac:dyDescent="0.2">
      <c r="B213" s="1587"/>
      <c r="D213" s="19" t="s">
        <v>271</v>
      </c>
      <c r="E213" s="411">
        <v>0</v>
      </c>
      <c r="F213" s="450"/>
      <c r="G213" s="451"/>
      <c r="H213" s="411"/>
      <c r="I213" s="450"/>
      <c r="J213" s="451"/>
      <c r="K213" s="411"/>
      <c r="L213" s="450"/>
      <c r="M213" s="451"/>
      <c r="N213" s="411"/>
    </row>
    <row r="214" spans="2:14" outlineLevel="1" x14ac:dyDescent="0.2">
      <c r="B214" s="1587"/>
      <c r="D214" s="19" t="s">
        <v>1102</v>
      </c>
      <c r="E214" s="411">
        <v>28000000</v>
      </c>
      <c r="F214" s="450"/>
      <c r="G214" s="451"/>
      <c r="H214" s="411"/>
      <c r="I214" s="450"/>
      <c r="J214" s="451"/>
      <c r="K214" s="411"/>
      <c r="L214" s="450"/>
      <c r="M214" s="451"/>
      <c r="N214" s="411"/>
    </row>
    <row r="215" spans="2:14" x14ac:dyDescent="0.2">
      <c r="B215" s="1587"/>
      <c r="D215" s="19" t="s">
        <v>1103</v>
      </c>
      <c r="E215" s="411">
        <v>30000000</v>
      </c>
      <c r="F215" s="450"/>
      <c r="G215" s="451"/>
      <c r="H215" s="411"/>
      <c r="I215" s="450"/>
      <c r="J215" s="451"/>
      <c r="K215" s="411"/>
      <c r="L215" s="450"/>
      <c r="M215" s="451"/>
      <c r="N215" s="411"/>
    </row>
    <row r="216" spans="2:14" hidden="1" outlineLevel="2" x14ac:dyDescent="0.2">
      <c r="B216" s="1587"/>
      <c r="D216" s="19" t="s">
        <v>272</v>
      </c>
      <c r="E216" s="452"/>
      <c r="H216" s="451"/>
      <c r="K216" s="451"/>
      <c r="N216" s="451"/>
    </row>
    <row r="217" spans="2:14" hidden="1" outlineLevel="2" x14ac:dyDescent="0.2">
      <c r="B217" s="1587"/>
      <c r="D217" s="19" t="s">
        <v>273</v>
      </c>
      <c r="E217" s="452"/>
      <c r="H217" s="451"/>
      <c r="K217" s="451"/>
      <c r="N217" s="451"/>
    </row>
    <row r="218" spans="2:14" hidden="1" outlineLevel="2" x14ac:dyDescent="0.2">
      <c r="B218" s="1587"/>
      <c r="D218" s="19" t="s">
        <v>274</v>
      </c>
      <c r="E218" s="452"/>
      <c r="H218" s="451"/>
      <c r="K218" s="451"/>
      <c r="N218" s="451"/>
    </row>
    <row r="219" spans="2:14" ht="11.25" customHeight="1" outlineLevel="1" collapsed="1" x14ac:dyDescent="0.2">
      <c r="B219" s="1587"/>
      <c r="D219" s="1590" t="s">
        <v>275</v>
      </c>
      <c r="E219" s="1591" t="s">
        <v>85</v>
      </c>
      <c r="H219" s="1591"/>
      <c r="K219" s="1591"/>
      <c r="N219" s="1591"/>
    </row>
    <row r="220" spans="2:14" ht="9.4499999999999993" customHeight="1" outlineLevel="1" x14ac:dyDescent="0.2">
      <c r="B220" s="1587"/>
      <c r="D220" s="1590"/>
      <c r="E220" s="1592"/>
      <c r="F220" s="489"/>
      <c r="G220" s="490"/>
      <c r="H220" s="1592"/>
      <c r="I220" s="489"/>
      <c r="J220" s="490"/>
      <c r="K220" s="1592"/>
      <c r="L220" s="489"/>
      <c r="M220" s="490"/>
      <c r="N220" s="1592"/>
    </row>
    <row r="221" spans="2:14" outlineLevel="1" x14ac:dyDescent="0.2">
      <c r="B221" s="1588"/>
      <c r="D221" s="70" t="s">
        <v>1396</v>
      </c>
      <c r="E221" s="411"/>
      <c r="F221" s="411"/>
      <c r="G221" s="411"/>
      <c r="H221" s="411"/>
      <c r="I221" s="411"/>
      <c r="J221" s="411"/>
      <c r="K221" s="411"/>
      <c r="L221" s="411"/>
      <c r="M221" s="411"/>
      <c r="N221" s="411"/>
    </row>
    <row r="222" spans="2:14" outlineLevel="1" x14ac:dyDescent="0.2">
      <c r="B222" s="1588"/>
      <c r="D222" s="70" t="s">
        <v>1897</v>
      </c>
      <c r="E222" s="411">
        <f>IF(E221&lt;&gt;0,0,Hirdetmény!AA192)</f>
        <v>808</v>
      </c>
      <c r="F222" s="411"/>
      <c r="G222" s="411"/>
      <c r="H222" s="411"/>
      <c r="I222" s="411"/>
      <c r="J222" s="411"/>
      <c r="K222" s="411"/>
      <c r="L222" s="411"/>
      <c r="M222" s="411"/>
      <c r="N222" s="411"/>
    </row>
    <row r="223" spans="2:14" outlineLevel="1" x14ac:dyDescent="0.2">
      <c r="B223" s="1588"/>
      <c r="D223" s="70" t="s">
        <v>1397</v>
      </c>
      <c r="E223" s="485" t="s">
        <v>1299</v>
      </c>
      <c r="F223" s="486"/>
      <c r="G223" s="487"/>
      <c r="H223" s="485"/>
      <c r="I223" s="486"/>
      <c r="J223" s="487"/>
      <c r="K223" s="485"/>
      <c r="L223" s="486"/>
      <c r="M223" s="487"/>
      <c r="N223" s="485"/>
    </row>
    <row r="224" spans="2:14" ht="3.45" customHeight="1" outlineLevel="1" x14ac:dyDescent="0.2">
      <c r="B224" s="1587"/>
      <c r="D224" s="70"/>
      <c r="E224" s="60"/>
      <c r="H224" s="60"/>
      <c r="K224" s="60"/>
      <c r="N224" s="60"/>
    </row>
    <row r="225" spans="1:4" hidden="1" outlineLevel="1" x14ac:dyDescent="0.2">
      <c r="B225" s="1587"/>
      <c r="D225" s="71" t="s">
        <v>276</v>
      </c>
    </row>
    <row r="226" spans="1:4" ht="9.4499999999999993" hidden="1" customHeight="1" outlineLevel="3" x14ac:dyDescent="0.2">
      <c r="A226" s="21" t="s">
        <v>146</v>
      </c>
      <c r="B226" s="1587"/>
      <c r="D226" s="19" t="s">
        <v>277</v>
      </c>
    </row>
    <row r="227" spans="1:4" ht="9.4499999999999993" hidden="1" customHeight="1" outlineLevel="3" x14ac:dyDescent="0.2">
      <c r="A227" s="21" t="s">
        <v>146</v>
      </c>
      <c r="B227" s="1587"/>
      <c r="D227" s="72" t="s">
        <v>278</v>
      </c>
    </row>
    <row r="228" spans="1:4" ht="9.4499999999999993" hidden="1" customHeight="1" outlineLevel="3" x14ac:dyDescent="0.2">
      <c r="A228" s="21" t="s">
        <v>146</v>
      </c>
      <c r="B228" s="1587"/>
      <c r="D228" s="19" t="s">
        <v>279</v>
      </c>
    </row>
    <row r="229" spans="1:4" ht="9.4499999999999993" hidden="1" customHeight="1" outlineLevel="3" x14ac:dyDescent="0.2">
      <c r="A229" s="21" t="s">
        <v>146</v>
      </c>
      <c r="B229" s="1587"/>
      <c r="D229" s="72" t="s">
        <v>278</v>
      </c>
    </row>
    <row r="230" spans="1:4" ht="9.4499999999999993" hidden="1" customHeight="1" outlineLevel="3" x14ac:dyDescent="0.2">
      <c r="A230" s="21" t="s">
        <v>146</v>
      </c>
      <c r="B230" s="1587"/>
      <c r="D230" s="19" t="s">
        <v>280</v>
      </c>
    </row>
    <row r="231" spans="1:4" ht="9.4499999999999993" hidden="1" customHeight="1" outlineLevel="3" x14ac:dyDescent="0.2">
      <c r="A231" s="21" t="s">
        <v>146</v>
      </c>
      <c r="B231" s="1587"/>
      <c r="D231" s="72" t="s">
        <v>278</v>
      </c>
    </row>
    <row r="232" spans="1:4" ht="9.4499999999999993" hidden="1" customHeight="1" outlineLevel="3" x14ac:dyDescent="0.2">
      <c r="A232" s="21" t="s">
        <v>146</v>
      </c>
      <c r="B232" s="1587"/>
      <c r="D232" s="19" t="s">
        <v>281</v>
      </c>
    </row>
    <row r="233" spans="1:4" ht="9.4499999999999993" hidden="1" customHeight="1" outlineLevel="3" x14ac:dyDescent="0.2">
      <c r="A233" s="21" t="s">
        <v>146</v>
      </c>
      <c r="B233" s="1587"/>
      <c r="D233" s="72" t="s">
        <v>278</v>
      </c>
    </row>
    <row r="234" spans="1:4" ht="9.4499999999999993" hidden="1" customHeight="1" outlineLevel="3" x14ac:dyDescent="0.2">
      <c r="A234" s="21" t="s">
        <v>146</v>
      </c>
      <c r="B234" s="1587"/>
      <c r="D234" s="19" t="s">
        <v>282</v>
      </c>
    </row>
    <row r="235" spans="1:4" ht="9.4499999999999993" hidden="1" customHeight="1" outlineLevel="3" x14ac:dyDescent="0.2">
      <c r="A235" s="21" t="s">
        <v>146</v>
      </c>
      <c r="B235" s="1587"/>
      <c r="D235" s="72" t="s">
        <v>278</v>
      </c>
    </row>
    <row r="236" spans="1:4" ht="9.4499999999999993" hidden="1" customHeight="1" outlineLevel="3" x14ac:dyDescent="0.2">
      <c r="A236" s="21" t="s">
        <v>146</v>
      </c>
      <c r="B236" s="1587"/>
      <c r="D236" s="19" t="s">
        <v>283</v>
      </c>
    </row>
    <row r="237" spans="1:4" ht="9.4499999999999993" hidden="1" customHeight="1" outlineLevel="3" x14ac:dyDescent="0.2">
      <c r="A237" s="21" t="s">
        <v>146</v>
      </c>
      <c r="B237" s="1587"/>
      <c r="D237" s="72" t="s">
        <v>278</v>
      </c>
    </row>
    <row r="238" spans="1:4" ht="9.4499999999999993" hidden="1" customHeight="1" outlineLevel="3" x14ac:dyDescent="0.2">
      <c r="A238" s="21" t="s">
        <v>146</v>
      </c>
      <c r="B238" s="1587"/>
      <c r="D238" s="19" t="s">
        <v>284</v>
      </c>
    </row>
    <row r="239" spans="1:4" ht="9.4499999999999993" hidden="1" customHeight="1" outlineLevel="3" x14ac:dyDescent="0.2">
      <c r="A239" s="21" t="s">
        <v>146</v>
      </c>
      <c r="B239" s="1587"/>
      <c r="D239" s="72" t="s">
        <v>278</v>
      </c>
    </row>
    <row r="240" spans="1:4" ht="9.4499999999999993" hidden="1" customHeight="1" outlineLevel="3" x14ac:dyDescent="0.2">
      <c r="A240" s="21" t="s">
        <v>146</v>
      </c>
      <c r="B240" s="1587"/>
      <c r="D240" s="19" t="s">
        <v>285</v>
      </c>
    </row>
    <row r="241" spans="1:14" ht="9.4499999999999993" hidden="1" customHeight="1" outlineLevel="3" x14ac:dyDescent="0.2">
      <c r="A241" s="21" t="s">
        <v>146</v>
      </c>
      <c r="B241" s="1587"/>
      <c r="D241" s="72" t="s">
        <v>278</v>
      </c>
    </row>
    <row r="242" spans="1:14" ht="11.25" customHeight="1" outlineLevel="3" x14ac:dyDescent="0.2">
      <c r="B242" s="1587"/>
      <c r="D242" s="19" t="s">
        <v>1104</v>
      </c>
      <c r="E242" s="443">
        <f>+D355+SUM(N356:N367)</f>
        <v>12358861.264686741</v>
      </c>
      <c r="F242" s="15"/>
      <c r="H242" s="21" t="str">
        <f>IF(AND(E242&gt;SUM(E214:N214),E6="Új hitel felvétele"),"A hitelbiztosítéki érték nem lehet alacsonyabb, mint a kölcsön és egy éves kamatai","")</f>
        <v/>
      </c>
    </row>
    <row r="243" spans="1:14" ht="12" customHeight="1" x14ac:dyDescent="0.2">
      <c r="B243" s="1587"/>
      <c r="D243" s="19"/>
    </row>
    <row r="244" spans="1:14" ht="33" customHeight="1" outlineLevel="1" x14ac:dyDescent="0.2">
      <c r="B244" s="1587"/>
      <c r="D244" s="535" t="s">
        <v>1518</v>
      </c>
    </row>
    <row r="245" spans="1:14" outlineLevel="2" x14ac:dyDescent="0.2">
      <c r="B245" s="1587"/>
      <c r="D245" s="19" t="s">
        <v>286</v>
      </c>
      <c r="E245" s="401"/>
      <c r="F245" s="450"/>
      <c r="G245" s="451"/>
      <c r="H245" s="401"/>
      <c r="I245" s="450"/>
      <c r="J245" s="451"/>
      <c r="K245" s="401"/>
      <c r="L245" s="450"/>
      <c r="M245" s="451"/>
      <c r="N245" s="401"/>
    </row>
    <row r="246" spans="1:14" outlineLevel="2" x14ac:dyDescent="0.2">
      <c r="B246" s="1587"/>
      <c r="D246" s="72" t="s">
        <v>289</v>
      </c>
      <c r="E246" s="401"/>
      <c r="F246" s="450"/>
      <c r="G246" s="451"/>
      <c r="H246" s="401"/>
      <c r="I246" s="450"/>
      <c r="J246" s="451"/>
      <c r="K246" s="401"/>
      <c r="L246" s="450"/>
      <c r="M246" s="451"/>
      <c r="N246" s="401"/>
    </row>
    <row r="247" spans="1:14" outlineLevel="2" x14ac:dyDescent="0.2">
      <c r="B247" s="1587"/>
      <c r="D247" s="72" t="s">
        <v>290</v>
      </c>
      <c r="E247" s="411"/>
      <c r="F247" s="450"/>
      <c r="G247" s="451"/>
      <c r="H247" s="411"/>
      <c r="I247" s="411"/>
      <c r="J247" s="411"/>
      <c r="K247" s="411"/>
      <c r="L247" s="411"/>
      <c r="M247" s="411"/>
      <c r="N247" s="411"/>
    </row>
    <row r="248" spans="1:14" outlineLevel="2" x14ac:dyDescent="0.2">
      <c r="B248" s="1587"/>
      <c r="D248" s="72" t="s">
        <v>291</v>
      </c>
      <c r="E248" s="401"/>
      <c r="F248" s="450"/>
      <c r="G248" s="451"/>
      <c r="H248" s="401"/>
      <c r="I248" s="450"/>
      <c r="J248" s="451"/>
      <c r="K248" s="401"/>
      <c r="L248" s="450"/>
      <c r="M248" s="451"/>
      <c r="N248" s="401"/>
    </row>
    <row r="249" spans="1:14" s="73" customFormat="1" ht="6" customHeight="1" outlineLevel="2" x14ac:dyDescent="0.2">
      <c r="A249" s="339"/>
      <c r="B249" s="1587"/>
      <c r="D249" s="74"/>
      <c r="E249" s="491"/>
      <c r="F249" s="492"/>
      <c r="G249" s="492"/>
      <c r="H249" s="491"/>
      <c r="I249" s="492"/>
      <c r="J249" s="492"/>
      <c r="K249" s="491"/>
      <c r="L249" s="492"/>
      <c r="M249" s="492"/>
      <c r="N249" s="491"/>
    </row>
    <row r="250" spans="1:14" outlineLevel="2" x14ac:dyDescent="0.2">
      <c r="B250" s="1587"/>
      <c r="D250" s="19" t="s">
        <v>293</v>
      </c>
      <c r="E250" s="401"/>
      <c r="F250" s="450"/>
      <c r="G250" s="451"/>
      <c r="H250" s="401"/>
      <c r="I250" s="450"/>
      <c r="J250" s="451"/>
      <c r="K250" s="401"/>
      <c r="L250" s="450"/>
      <c r="M250" s="451"/>
      <c r="N250" s="401"/>
    </row>
    <row r="251" spans="1:14" outlineLevel="2" x14ac:dyDescent="0.2">
      <c r="B251" s="1587"/>
      <c r="D251" s="72" t="s">
        <v>289</v>
      </c>
      <c r="E251" s="401"/>
      <c r="F251" s="450"/>
      <c r="G251" s="451"/>
      <c r="H251" s="401"/>
      <c r="I251" s="450"/>
      <c r="J251" s="451"/>
      <c r="K251" s="401"/>
      <c r="L251" s="450"/>
      <c r="M251" s="451"/>
      <c r="N251" s="401"/>
    </row>
    <row r="252" spans="1:14" outlineLevel="2" x14ac:dyDescent="0.2">
      <c r="B252" s="1587"/>
      <c r="D252" s="72" t="s">
        <v>290</v>
      </c>
      <c r="E252" s="411"/>
      <c r="F252" s="411"/>
      <c r="G252" s="411"/>
      <c r="H252" s="411"/>
      <c r="I252" s="411"/>
      <c r="J252" s="411"/>
      <c r="K252" s="411"/>
      <c r="L252" s="411"/>
      <c r="M252" s="411"/>
      <c r="N252" s="411"/>
    </row>
    <row r="253" spans="1:14" outlineLevel="2" x14ac:dyDescent="0.2">
      <c r="B253" s="1587"/>
      <c r="D253" s="72" t="s">
        <v>291</v>
      </c>
      <c r="E253" s="401"/>
      <c r="F253" s="450"/>
      <c r="G253" s="451"/>
      <c r="H253" s="401"/>
      <c r="I253" s="450"/>
      <c r="J253" s="451"/>
      <c r="K253" s="401"/>
      <c r="L253" s="450"/>
      <c r="M253" s="451"/>
      <c r="N253" s="401"/>
    </row>
    <row r="254" spans="1:14" outlineLevel="4" x14ac:dyDescent="0.2">
      <c r="B254" s="1587"/>
      <c r="D254" s="19" t="s">
        <v>294</v>
      </c>
      <c r="E254" s="452"/>
      <c r="F254" s="450"/>
      <c r="G254" s="451"/>
      <c r="H254" s="452" t="s">
        <v>288</v>
      </c>
      <c r="I254" s="450"/>
      <c r="J254" s="451"/>
      <c r="K254" s="452" t="s">
        <v>288</v>
      </c>
      <c r="L254" s="450"/>
      <c r="M254" s="451"/>
      <c r="N254" s="452" t="s">
        <v>288</v>
      </c>
    </row>
    <row r="255" spans="1:14" outlineLevel="4" x14ac:dyDescent="0.2">
      <c r="B255" s="1587"/>
      <c r="D255" s="72" t="s">
        <v>289</v>
      </c>
      <c r="E255" s="452"/>
      <c r="F255" s="450"/>
      <c r="G255" s="451"/>
      <c r="H255" s="451"/>
      <c r="I255" s="450"/>
      <c r="J255" s="451"/>
      <c r="K255" s="451"/>
      <c r="L255" s="450"/>
      <c r="M255" s="451"/>
      <c r="N255" s="451"/>
    </row>
    <row r="256" spans="1:14" outlineLevel="4" x14ac:dyDescent="0.2">
      <c r="B256" s="1587"/>
      <c r="D256" s="72" t="s">
        <v>290</v>
      </c>
      <c r="E256" s="493"/>
      <c r="F256" s="450"/>
      <c r="G256" s="451"/>
      <c r="H256" s="451"/>
      <c r="I256" s="450"/>
      <c r="J256" s="451"/>
      <c r="K256" s="451"/>
      <c r="L256" s="450"/>
      <c r="M256" s="451"/>
      <c r="N256" s="451"/>
    </row>
    <row r="257" spans="2:14" outlineLevel="4" x14ac:dyDescent="0.2">
      <c r="B257" s="1587"/>
      <c r="D257" s="72" t="s">
        <v>291</v>
      </c>
      <c r="E257" s="452"/>
      <c r="F257" s="450"/>
      <c r="G257" s="451"/>
      <c r="H257" s="452" t="s">
        <v>292</v>
      </c>
      <c r="I257" s="450"/>
      <c r="J257" s="451"/>
      <c r="K257" s="452" t="s">
        <v>292</v>
      </c>
      <c r="L257" s="450"/>
      <c r="M257" s="451"/>
      <c r="N257" s="452" t="s">
        <v>292</v>
      </c>
    </row>
    <row r="258" spans="2:14" ht="11.25" customHeight="1" outlineLevel="4" x14ac:dyDescent="0.2">
      <c r="B258" s="1587"/>
      <c r="D258" s="19" t="s">
        <v>295</v>
      </c>
      <c r="E258" s="452"/>
      <c r="F258" s="450"/>
      <c r="G258" s="451"/>
      <c r="H258" s="452" t="s">
        <v>288</v>
      </c>
      <c r="I258" s="450"/>
      <c r="J258" s="451"/>
      <c r="K258" s="452" t="s">
        <v>288</v>
      </c>
      <c r="L258" s="450"/>
      <c r="M258" s="451"/>
      <c r="N258" s="452" t="s">
        <v>288</v>
      </c>
    </row>
    <row r="259" spans="2:14" ht="11.25" customHeight="1" outlineLevel="4" x14ac:dyDescent="0.2">
      <c r="B259" s="1587"/>
      <c r="D259" s="72" t="s">
        <v>289</v>
      </c>
      <c r="E259" s="452"/>
      <c r="F259" s="450"/>
      <c r="G259" s="451"/>
      <c r="H259" s="451"/>
      <c r="I259" s="450"/>
      <c r="J259" s="451"/>
      <c r="K259" s="451"/>
      <c r="L259" s="450"/>
      <c r="M259" s="451"/>
      <c r="N259" s="451"/>
    </row>
    <row r="260" spans="2:14" ht="11.25" customHeight="1" outlineLevel="4" x14ac:dyDescent="0.2">
      <c r="B260" s="1587"/>
      <c r="D260" s="72" t="s">
        <v>290</v>
      </c>
      <c r="E260" s="493"/>
      <c r="F260" s="450"/>
      <c r="G260" s="451"/>
      <c r="H260" s="451"/>
      <c r="I260" s="450"/>
      <c r="J260" s="451"/>
      <c r="K260" s="451"/>
      <c r="L260" s="450"/>
      <c r="M260" s="451"/>
      <c r="N260" s="451"/>
    </row>
    <row r="261" spans="2:14" ht="11.25" customHeight="1" outlineLevel="4" x14ac:dyDescent="0.2">
      <c r="B261" s="1587"/>
      <c r="D261" s="72" t="s">
        <v>291</v>
      </c>
      <c r="E261" s="452"/>
      <c r="F261" s="450"/>
      <c r="G261" s="451"/>
      <c r="H261" s="452" t="s">
        <v>292</v>
      </c>
      <c r="I261" s="450"/>
      <c r="J261" s="451"/>
      <c r="K261" s="452" t="s">
        <v>292</v>
      </c>
      <c r="L261" s="450"/>
      <c r="M261" s="451"/>
      <c r="N261" s="452" t="s">
        <v>292</v>
      </c>
    </row>
    <row r="262" spans="2:14" ht="11.25" customHeight="1" outlineLevel="4" x14ac:dyDescent="0.2">
      <c r="B262" s="1587"/>
      <c r="D262" s="19" t="s">
        <v>296</v>
      </c>
      <c r="E262" s="452"/>
      <c r="F262" s="450"/>
      <c r="G262" s="451"/>
      <c r="H262" s="452" t="s">
        <v>288</v>
      </c>
      <c r="I262" s="450"/>
      <c r="J262" s="451"/>
      <c r="K262" s="452" t="s">
        <v>288</v>
      </c>
      <c r="L262" s="450"/>
      <c r="M262" s="451"/>
      <c r="N262" s="452" t="s">
        <v>288</v>
      </c>
    </row>
    <row r="263" spans="2:14" ht="11.25" customHeight="1" outlineLevel="4" x14ac:dyDescent="0.2">
      <c r="B263" s="1587"/>
      <c r="D263" s="72" t="s">
        <v>289</v>
      </c>
      <c r="E263" s="452"/>
      <c r="F263" s="450"/>
      <c r="G263" s="451"/>
      <c r="H263" s="451"/>
      <c r="I263" s="450"/>
      <c r="J263" s="451"/>
      <c r="K263" s="451"/>
      <c r="L263" s="450"/>
      <c r="M263" s="451"/>
      <c r="N263" s="451"/>
    </row>
    <row r="264" spans="2:14" ht="11.25" customHeight="1" outlineLevel="4" x14ac:dyDescent="0.2">
      <c r="B264" s="1587"/>
      <c r="D264" s="72" t="s">
        <v>290</v>
      </c>
      <c r="E264" s="493"/>
      <c r="F264" s="450"/>
      <c r="G264" s="451"/>
      <c r="H264" s="451"/>
      <c r="I264" s="450"/>
      <c r="J264" s="451"/>
      <c r="K264" s="451"/>
      <c r="L264" s="450"/>
      <c r="M264" s="451"/>
      <c r="N264" s="451"/>
    </row>
    <row r="265" spans="2:14" ht="11.25" customHeight="1" outlineLevel="4" x14ac:dyDescent="0.2">
      <c r="B265" s="1587"/>
      <c r="D265" s="72" t="s">
        <v>291</v>
      </c>
      <c r="E265" s="452"/>
      <c r="F265" s="450"/>
      <c r="G265" s="451"/>
      <c r="H265" s="452" t="s">
        <v>292</v>
      </c>
      <c r="I265" s="450"/>
      <c r="J265" s="451"/>
      <c r="K265" s="452" t="s">
        <v>292</v>
      </c>
      <c r="L265" s="450"/>
      <c r="M265" s="451"/>
      <c r="N265" s="452" t="s">
        <v>292</v>
      </c>
    </row>
    <row r="266" spans="2:14" outlineLevel="1" x14ac:dyDescent="0.2">
      <c r="B266" s="1587"/>
      <c r="D266" s="72"/>
    </row>
    <row r="267" spans="2:14" ht="13.8" outlineLevel="1" thickBot="1" x14ac:dyDescent="0.3">
      <c r="B267" s="1589"/>
      <c r="D267" s="75" t="s">
        <v>297</v>
      </c>
      <c r="E267" s="76">
        <f>+E247+E252+E256+E260+E264</f>
        <v>0</v>
      </c>
      <c r="F267" s="76">
        <f t="shared" ref="F267:N267" si="0">+F247+F252+F256+F260+F264</f>
        <v>0</v>
      </c>
      <c r="G267" s="76">
        <f t="shared" si="0"/>
        <v>0</v>
      </c>
      <c r="H267" s="76">
        <f t="shared" si="0"/>
        <v>0</v>
      </c>
      <c r="I267" s="76">
        <f t="shared" si="0"/>
        <v>0</v>
      </c>
      <c r="J267" s="76">
        <f t="shared" si="0"/>
        <v>0</v>
      </c>
      <c r="K267" s="76">
        <f t="shared" si="0"/>
        <v>0</v>
      </c>
      <c r="L267" s="76">
        <f t="shared" si="0"/>
        <v>0</v>
      </c>
      <c r="M267" s="76">
        <f t="shared" si="0"/>
        <v>0</v>
      </c>
      <c r="N267" s="76">
        <f t="shared" si="0"/>
        <v>0</v>
      </c>
    </row>
    <row r="268" spans="2:14" ht="13.2" x14ac:dyDescent="0.25">
      <c r="D268" s="1585" t="s">
        <v>298</v>
      </c>
      <c r="E268" s="1585"/>
      <c r="F268" s="1585"/>
      <c r="G268" s="1585"/>
      <c r="H268" s="1585"/>
      <c r="I268" s="1585"/>
      <c r="J268" s="1585"/>
      <c r="K268" s="1585"/>
      <c r="L268" s="1585"/>
      <c r="M268" s="1585"/>
      <c r="N268" s="1585"/>
    </row>
    <row r="269" spans="2:14" ht="7.5" customHeight="1" thickBot="1" x14ac:dyDescent="0.3">
      <c r="D269" s="77"/>
      <c r="E269" s="77"/>
      <c r="F269" s="77"/>
      <c r="G269" s="77"/>
      <c r="H269" s="77"/>
      <c r="I269" s="77"/>
      <c r="J269" s="77"/>
      <c r="K269" s="77"/>
      <c r="L269" s="77"/>
      <c r="M269" s="77"/>
      <c r="N269" s="77"/>
    </row>
    <row r="270" spans="2:14" ht="15" hidden="1" customHeight="1" outlineLevel="1" x14ac:dyDescent="0.2">
      <c r="B270" s="1594" t="s">
        <v>299</v>
      </c>
      <c r="D270" s="1597" t="s">
        <v>300</v>
      </c>
      <c r="E270" s="1598"/>
      <c r="F270" s="17">
        <f>+VLOOKUP(H270,paraméterek!$A$196:$B$197,2,FALSE)</f>
        <v>1</v>
      </c>
      <c r="H270" s="398" t="str">
        <f>+IF(OR(E47="Passzív státusz",H47="Passzív státusz",K47="Passzív státusz",N47="Passzív státusz",E128="Passzív státusz",H128="Passzív státusz",K128="Passzív státusz",N128="Passzív státusz"),"IGEN","NEM")</f>
        <v>NEM</v>
      </c>
    </row>
    <row r="271" spans="2:14" ht="16.5" hidden="1" customHeight="1" outlineLevel="1" x14ac:dyDescent="0.2">
      <c r="B271" s="1595"/>
      <c r="D271" s="1599" t="s">
        <v>301</v>
      </c>
      <c r="E271" s="1600"/>
      <c r="H271" s="398" t="str">
        <f>+IF(E9=paraméterek!$A$190,"IGEN","NEM")</f>
        <v>NEM</v>
      </c>
    </row>
    <row r="272" spans="2:14" hidden="1" outlineLevel="1" x14ac:dyDescent="0.2">
      <c r="B272" s="1595"/>
      <c r="K272" s="20" t="s">
        <v>302</v>
      </c>
      <c r="L272" s="22"/>
      <c r="M272" s="20"/>
      <c r="N272" s="24">
        <f>+MIN(N277:N279)</f>
        <v>12000000.000000039</v>
      </c>
    </row>
    <row r="273" spans="1:15" ht="10.8" hidden="1" outlineLevel="1" thickBot="1" x14ac:dyDescent="0.25">
      <c r="A273" s="21" t="s">
        <v>146</v>
      </c>
      <c r="B273" s="1595"/>
      <c r="D273" s="78" t="s">
        <v>303</v>
      </c>
      <c r="E273" s="18">
        <v>0.8</v>
      </c>
      <c r="K273" s="20" t="s">
        <v>304</v>
      </c>
      <c r="L273" s="22"/>
      <c r="M273" s="20"/>
      <c r="N273" s="24">
        <f>N18</f>
        <v>12000000</v>
      </c>
    </row>
    <row r="274" spans="1:15" ht="20.25" hidden="1" customHeight="1" outlineLevel="1" thickBot="1" x14ac:dyDescent="0.25">
      <c r="B274" s="1595"/>
      <c r="D274" s="1601" t="s">
        <v>305</v>
      </c>
      <c r="E274" s="1602"/>
      <c r="F274" s="1602"/>
      <c r="G274" s="1602"/>
      <c r="H274" s="1602"/>
      <c r="I274" s="1602"/>
      <c r="J274" s="1602"/>
      <c r="K274" s="1602"/>
      <c r="L274" s="1602"/>
      <c r="M274" s="1602"/>
      <c r="N274" s="1603"/>
    </row>
    <row r="275" spans="1:15" ht="28.5" customHeight="1" collapsed="1" thickBot="1" x14ac:dyDescent="0.3">
      <c r="A275" s="1581" t="s">
        <v>1409</v>
      </c>
      <c r="B275" s="1595"/>
      <c r="D275" s="303" t="s">
        <v>306</v>
      </c>
      <c r="E275" s="327">
        <f>+(H189+H110)*F270*E273</f>
        <v>309704.8</v>
      </c>
      <c r="F275" s="326"/>
      <c r="G275" s="320"/>
      <c r="H275" s="320"/>
      <c r="I275" s="320"/>
      <c r="J275" s="320"/>
      <c r="K275" s="1604" t="s">
        <v>307</v>
      </c>
      <c r="L275" s="1605"/>
      <c r="M275" s="1606"/>
      <c r="N275" s="319">
        <f>+VLOOKUP(E4,tr!$J$5:$U$6,12,FALSE)</f>
        <v>55633687.443463601</v>
      </c>
    </row>
    <row r="276" spans="1:15" ht="12" hidden="1" customHeight="1" outlineLevel="3" x14ac:dyDescent="0.25">
      <c r="A276" s="1581"/>
      <c r="B276" s="1595"/>
      <c r="D276" s="305"/>
      <c r="E276" s="304"/>
      <c r="F276" s="304"/>
      <c r="G276" s="304"/>
      <c r="H276" s="304"/>
      <c r="I276" s="304"/>
      <c r="J276" s="304"/>
      <c r="K276" s="304" t="s">
        <v>308</v>
      </c>
      <c r="L276" s="304"/>
      <c r="M276" s="304"/>
      <c r="N276" s="306">
        <f>+VLOOKUP(E4,tr!J5:Q6,8,FALSE)</f>
        <v>12000000.000000039</v>
      </c>
    </row>
    <row r="277" spans="1:15" ht="12.75" hidden="1" customHeight="1" outlineLevel="3" x14ac:dyDescent="0.25">
      <c r="A277" s="1581"/>
      <c r="B277" s="1595"/>
      <c r="D277" s="307" t="s">
        <v>309</v>
      </c>
      <c r="E277" s="308"/>
      <c r="F277" s="304"/>
      <c r="G277" s="304"/>
      <c r="H277" s="309">
        <f>+VLOOKUP(E4,tr!$J$5:$P$6,5,FALSE)</f>
        <v>66802.287800476508</v>
      </c>
      <c r="I277" s="304"/>
      <c r="J277" s="304"/>
      <c r="K277" s="304" t="s">
        <v>310</v>
      </c>
      <c r="L277" s="304"/>
      <c r="M277" s="304"/>
      <c r="N277" s="310">
        <f>+MIN(N275:N276)</f>
        <v>12000000.000000039</v>
      </c>
    </row>
    <row r="278" spans="1:15" ht="12" hidden="1" customHeight="1" collapsed="1" thickBot="1" x14ac:dyDescent="0.3">
      <c r="A278" s="1581"/>
      <c r="B278" s="1595"/>
      <c r="D278" s="307"/>
      <c r="E278" s="308"/>
      <c r="F278" s="304"/>
      <c r="G278" s="304"/>
      <c r="H278" s="309"/>
      <c r="I278" s="304"/>
      <c r="J278" s="304"/>
      <c r="K278" s="304"/>
      <c r="L278" s="304"/>
      <c r="M278" s="304"/>
      <c r="N278" s="311"/>
    </row>
    <row r="279" spans="1:15" ht="49.5" customHeight="1" thickBot="1" x14ac:dyDescent="0.3">
      <c r="A279" s="1581"/>
      <c r="B279" s="1595"/>
      <c r="D279" s="329" t="s">
        <v>311</v>
      </c>
      <c r="E279" s="349">
        <f>+IF(E193&lt;&gt;"csak hitelcél",'komplex kalkulátor'!E215,0)+IF(H193&lt;&gt;"csak hitelcél",'komplex kalkulátor'!H215,0)+IF(K193&lt;&gt;"csak hitelcél",'komplex kalkulátor'!K215,0)+IF(N193&lt;&gt;"csak hitelcél",'komplex kalkulátor'!N215,0)</f>
        <v>30000000</v>
      </c>
      <c r="F279" s="328"/>
      <c r="G279" s="304"/>
      <c r="H279" s="304"/>
      <c r="I279" s="304"/>
      <c r="J279" s="304"/>
      <c r="K279" s="1607" t="s">
        <v>1241</v>
      </c>
      <c r="L279" s="1607"/>
      <c r="M279" s="1607"/>
      <c r="N279" s="470">
        <f>IF(E4="Lakáscélú hitel",0.8*E279-E267-H267-K267-N267,0.75*E279-E267-H267-K267-N267)</f>
        <v>24000000</v>
      </c>
    </row>
    <row r="280" spans="1:15" ht="13.8" thickBot="1" x14ac:dyDescent="0.3">
      <c r="A280" s="1581"/>
      <c r="B280" s="1595"/>
      <c r="D280" s="330" t="s">
        <v>312</v>
      </c>
      <c r="E280" s="530">
        <f>+($N$18+E267)/E279</f>
        <v>0.4</v>
      </c>
      <c r="F280" s="323"/>
      <c r="G280" s="304"/>
      <c r="H280" s="304"/>
      <c r="I280" s="304"/>
      <c r="J280" s="304"/>
      <c r="K280" s="524" t="str">
        <f>+IF(tr!Y5&lt;IF('komplex kalkulátor'!E4="Lakáscélú hitel",tr!N5,tr!N6),"JTM limit miatt nem hitelezhető","")</f>
        <v/>
      </c>
      <c r="L280" s="444"/>
      <c r="M280" s="444"/>
      <c r="N280" s="311"/>
    </row>
    <row r="281" spans="1:15" ht="25.5" customHeight="1" outlineLevel="1" thickBot="1" x14ac:dyDescent="0.3">
      <c r="A281" s="1581"/>
      <c r="B281" s="1595"/>
      <c r="D281" s="523" t="s">
        <v>1499</v>
      </c>
      <c r="E281" s="526">
        <f>+(H109+H188+E292)/(E60+H60+K60+N60+E63+H63+K63+N63+E67+H67+K67+N67+E71+H71+K71+N71+E142+H142+K142+N142+E139+H139+K139+N139+E146+H146+K146+N146+E150+H150+K150+N150)</f>
        <v>0.12846593807783946</v>
      </c>
      <c r="F281" s="304"/>
      <c r="G281" s="304"/>
      <c r="H281" s="525" t="str">
        <f>+" = "&amp;TEXT(SUM(H109,H188,E292),"0 000 Ft")&amp;" / "&amp;TEXT((E60+H60+K60+N60+E63+H63+K63+N63+E67+H67+K67+N67+E71+H71+K71+N71+E142+H142+K142+N142+E139+H139+K139+N139+E146+H146+K146+N146+E150+H150+K150+N150),"0 000 Ft")</f>
        <v xml:space="preserve"> = 66 802 Ft / 520 000 Ft</v>
      </c>
      <c r="I281" s="304"/>
      <c r="J281" s="304"/>
      <c r="K281" s="1620" t="s">
        <v>1100</v>
      </c>
      <c r="L281" s="1620"/>
      <c r="M281" s="1620"/>
      <c r="N281" s="331">
        <f>tr!AA5</f>
        <v>56045984.700142346</v>
      </c>
    </row>
    <row r="282" spans="1:15" ht="12.75" hidden="1" customHeight="1" outlineLevel="1" x14ac:dyDescent="0.25">
      <c r="A282" s="1581"/>
      <c r="B282" s="1595"/>
      <c r="D282" s="307" t="s">
        <v>313</v>
      </c>
      <c r="E282" s="445" t="str">
        <f>IF(OR(AND(OR(tr!Y5&lt;tr!N5,tr!AB18=0),E4="Lakáscélú hitel"),AND(E4="Szabad felhasználású hitel",OR(tr!Y5&lt;tr!N6,tr!AB28=0)),LEN(H242)&gt;0),"nem hitelezhető",+VLOOKUP('komplex kalkulátor'!E4,tr!$J$5:$K$6,2,FALSE))</f>
        <v>M1L1</v>
      </c>
      <c r="F282" s="304"/>
      <c r="G282" s="304"/>
      <c r="H282" s="304"/>
      <c r="I282" s="304"/>
      <c r="J282" s="304"/>
      <c r="K282" s="304"/>
      <c r="L282" s="304"/>
      <c r="M282" s="304"/>
      <c r="N282" s="311"/>
    </row>
    <row r="283" spans="1:15" ht="27.75" hidden="1" customHeight="1" x14ac:dyDescent="0.25">
      <c r="A283" s="1581"/>
      <c r="B283" s="1595"/>
      <c r="D283" s="527" t="str">
        <f>IF(OR(AND('komplex kalkulátor'!E5="Lakáscélú hitel kiváltás",'komplex kalkulátor'!E9="Hibátlan 12 havi hitelmúlt"),AND('komplex kalkulátor'!E5="Szabfel hitel kiváltás",'komplex kalkulátor'!E9="Hibátlan 12 havi hitelmúlt")),"Ügyletminősítés hitelmúlt alapján","")</f>
        <v/>
      </c>
      <c r="E283" s="528" t="str">
        <f>IF(RIGHT(+VLOOKUP('komplex kalkulátor'!E4,tr!$J$5:$K$6,2,FALSE),1)="0","nem hitelezhető",IF(OR(AND('komplex kalkulátor'!E5="Lakáscélú hitel kiváltás",'komplex kalkulátor'!E9="Hibátlan 12 havi hitelmúlt"),AND('komplex kalkulátor'!E5="Szabfel hitel kiváltás",'komplex kalkulátor'!E9="Hibátlan 12 havi hitelmúlt")),"M1"&amp;RIGHT(+VLOOKUP('komplex kalkulátor'!E4,tr!$J$5:$K$6,2,FALSE),2),""))</f>
        <v/>
      </c>
      <c r="F283" s="304"/>
      <c r="G283" s="304"/>
      <c r="H283" s="304"/>
      <c r="I283" s="304"/>
      <c r="J283" s="304"/>
      <c r="K283" s="1608" t="s">
        <v>314</v>
      </c>
      <c r="L283" s="1608"/>
      <c r="M283" s="1608"/>
      <c r="N283" s="331">
        <f>IF(AND(E9="Hibátlan 12 havi hitelmúlt",OR(E5="Lakáscélú hitel kiváltás",E5="Szabfel hitel kiváltás")),-PV(N292/12*365/360,K5,K9),0)</f>
        <v>0</v>
      </c>
    </row>
    <row r="284" spans="1:15" ht="15.6" hidden="1" customHeight="1" thickBot="1" x14ac:dyDescent="0.3">
      <c r="A284" s="1581"/>
      <c r="B284" s="1595"/>
      <c r="D284" s="412" t="s">
        <v>313</v>
      </c>
      <c r="E284" s="413" t="str">
        <f>IF(LEN(E283)&gt;0,E283,E282)</f>
        <v>M1L1</v>
      </c>
      <c r="F284" s="312"/>
      <c r="G284" s="312"/>
      <c r="H284" s="336" t="str">
        <f>IF(E284&lt;&gt;"nem hitelezhető",MID(E284,2,1),"")</f>
        <v>1</v>
      </c>
      <c r="I284" s="304"/>
      <c r="J284" s="304"/>
      <c r="K284" s="313"/>
      <c r="L284" s="313"/>
      <c r="M284" s="313"/>
      <c r="N284" s="321"/>
    </row>
    <row r="285" spans="1:15" ht="13.8" thickBot="1" x14ac:dyDescent="0.3">
      <c r="A285" s="1581"/>
      <c r="B285" s="1595"/>
      <c r="D285" s="330" t="str">
        <f>+D284</f>
        <v>Ügyletminősítés</v>
      </c>
      <c r="E285" s="531" t="str">
        <f>IF(E284="nem hitelezhető",E284,IF(H284="1","Prémium 1, ",IF(H284="2","Prémium 2, ",IF(H284="3","Kiváló 1, ",IF(H284="4","Kiváló 2, ","Jó, "))))&amp;RIGHT(E284,2))</f>
        <v>Prémium 1, L1</v>
      </c>
      <c r="F285" s="323"/>
      <c r="G285" s="304"/>
      <c r="H285" s="314" t="str">
        <f>IF(MID(E284,2,1)="0","Nem hitelezhető","")</f>
        <v/>
      </c>
      <c r="I285" s="304"/>
      <c r="J285" s="304"/>
      <c r="K285" s="1608" t="s">
        <v>315</v>
      </c>
      <c r="L285" s="1608"/>
      <c r="M285" s="1608"/>
      <c r="N285" s="331">
        <f>+IF(E6="Hitelkiváltás",MAX(N275,N283),MIN(N279,MAX(N275,N283)))</f>
        <v>24000000</v>
      </c>
    </row>
    <row r="286" spans="1:15" ht="13.5" customHeight="1" thickBot="1" x14ac:dyDescent="0.3">
      <c r="A286" s="1581"/>
      <c r="B286" s="1595"/>
      <c r="D286" s="529" t="s">
        <v>1500</v>
      </c>
      <c r="E286" s="532">
        <f>+IF(O286&lt;600000,50%,60%)</f>
        <v>0.5</v>
      </c>
      <c r="F286" s="315"/>
      <c r="G286" s="315"/>
      <c r="H286" s="316"/>
      <c r="I286" s="315"/>
      <c r="J286" s="315"/>
      <c r="K286" s="317"/>
      <c r="L286" s="317"/>
      <c r="M286" s="317"/>
      <c r="N286" s="318"/>
      <c r="O286" s="49">
        <f>+(E60+H60+K60+N60+E63+H63+K63+N63+E67+H67+K67+N67+E71+H71+K71+N71+E142+H142+K142+N142+E139+H139+K139+N139+E146+H146+K146+N146+E150+H150+K150+N150)</f>
        <v>520000</v>
      </c>
    </row>
    <row r="287" spans="1:15" s="73" customFormat="1" ht="13.2" x14ac:dyDescent="0.25">
      <c r="A287" s="1581"/>
      <c r="B287" s="1595"/>
      <c r="D287" s="79"/>
      <c r="E287" s="80"/>
      <c r="F287" s="81"/>
      <c r="G287" s="81"/>
      <c r="H287" s="82"/>
      <c r="I287" s="81"/>
      <c r="J287" s="81"/>
    </row>
    <row r="288" spans="1:15" s="73" customFormat="1" ht="13.8" thickBot="1" x14ac:dyDescent="0.3">
      <c r="A288" s="1581"/>
      <c r="B288" s="1595"/>
      <c r="D288" s="79"/>
      <c r="E288" s="80"/>
      <c r="F288" s="81"/>
      <c r="G288" s="81"/>
      <c r="H288" s="82"/>
      <c r="I288" s="81"/>
      <c r="J288" s="81"/>
    </row>
    <row r="289" spans="1:15" ht="13.8" thickBot="1" x14ac:dyDescent="0.25">
      <c r="A289" s="1581"/>
      <c r="B289" s="1595"/>
      <c r="D289" s="1609" t="s">
        <v>316</v>
      </c>
      <c r="E289" s="1610"/>
      <c r="F289" s="1610"/>
      <c r="G289" s="1610"/>
      <c r="H289" s="1610"/>
      <c r="I289" s="1610"/>
      <c r="J289" s="1610"/>
      <c r="K289" s="1610"/>
      <c r="L289" s="1610"/>
      <c r="M289" s="1610"/>
      <c r="N289" s="1611"/>
    </row>
    <row r="290" spans="1:15" ht="13.5" hidden="1" customHeight="1" thickBot="1" x14ac:dyDescent="0.3">
      <c r="A290" s="1581"/>
      <c r="B290" s="1595"/>
      <c r="F290" s="304"/>
      <c r="G290" s="304"/>
      <c r="H290" s="304"/>
      <c r="I290" s="304"/>
      <c r="J290" s="304"/>
      <c r="K290" s="341"/>
      <c r="L290" s="322"/>
      <c r="M290" s="322"/>
      <c r="N290" s="342"/>
    </row>
    <row r="291" spans="1:15" ht="13.8" thickBot="1" x14ac:dyDescent="0.3">
      <c r="A291" s="1581"/>
      <c r="B291" s="1595"/>
      <c r="D291" s="347" t="str">
        <f>IF(LEN(K290)=0,"","Igényelt kölcsönhöz tartozó törlesztőrészlet:")</f>
        <v/>
      </c>
      <c r="E291" s="346" t="str">
        <f>IF(LEN(D291)&gt;0,K362,"")</f>
        <v/>
      </c>
      <c r="F291" s="323"/>
      <c r="G291" s="304"/>
      <c r="H291" s="348"/>
      <c r="I291" s="304"/>
      <c r="J291" s="304"/>
      <c r="K291" s="334" t="s">
        <v>1820</v>
      </c>
      <c r="L291" s="343"/>
      <c r="M291" s="343"/>
      <c r="N291" s="344"/>
    </row>
    <row r="292" spans="1:15" ht="26.1" customHeight="1" thickBot="1" x14ac:dyDescent="0.3">
      <c r="A292" s="1581"/>
      <c r="B292" s="1595"/>
      <c r="D292" s="329" t="str">
        <f>IF(K6="igen","Törlesztő részlet a türelmi idő után:","Törlesztő részlet:")</f>
        <v>Törlesztő részlet:</v>
      </c>
      <c r="E292" s="349">
        <f>SUM(H380,N380)</f>
        <v>66802.287800476523</v>
      </c>
      <c r="F292" s="324"/>
      <c r="G292" s="304"/>
      <c r="H292" s="304"/>
      <c r="I292" s="304"/>
      <c r="J292" s="304"/>
      <c r="K292" s="586" t="s">
        <v>1819</v>
      </c>
      <c r="L292" s="568"/>
      <c r="M292" s="569"/>
      <c r="N292" s="567">
        <f>IF(OR('komplex kalkulátor'!E5=paraméterek!A180,'komplex kalkulátor'!E5=paraméterek!A181),0%,3%)</f>
        <v>0.03</v>
      </c>
    </row>
    <row r="293" spans="1:15" ht="13.8" thickBot="1" x14ac:dyDescent="0.3">
      <c r="A293" s="1581"/>
      <c r="B293" s="1595"/>
      <c r="D293" s="333" t="s">
        <v>28</v>
      </c>
      <c r="E293" s="350">
        <f>((IRR(K355:K775,0.01)+1)^12)-1</f>
        <v>3.0992772470001873E-2</v>
      </c>
      <c r="F293" s="325"/>
      <c r="G293" s="304"/>
      <c r="H293" s="304"/>
      <c r="I293" s="304"/>
      <c r="J293" s="304"/>
      <c r="K293" s="587" t="str">
        <f>IF(OR(E5=paraméterek!A177,E5=paraméterek!A178,E5=paraméterek!A179),"Bruttó kamat","Bruttó kamat")</f>
        <v>Bruttó kamat</v>
      </c>
      <c r="L293" s="568"/>
      <c r="M293" s="569"/>
      <c r="N293" s="566">
        <f>IF(OR(E5=paraméterek!A177,E5=paraméterek!A178,E5=paraméterek!A179),Hirdetmény!AA46,Hirdetmény!AA46)</f>
        <v>0.13400000000000001</v>
      </c>
    </row>
    <row r="294" spans="1:15" ht="25.5" customHeight="1" thickBot="1" x14ac:dyDescent="0.3">
      <c r="A294" s="1581"/>
      <c r="B294" s="1595"/>
      <c r="D294" s="345" t="s">
        <v>909</v>
      </c>
      <c r="E294" s="565">
        <f>SUM(K355:K775)</f>
        <v>4048149.0721143493</v>
      </c>
      <c r="F294" s="332"/>
      <c r="G294" s="322"/>
      <c r="H294" s="322"/>
      <c r="I294" s="322"/>
      <c r="J294" s="322"/>
      <c r="K294" s="588" t="str">
        <f>IF(OR(E5=paraméterek!A177,E5=paraméterek!A178,E5=paraméterek!A179),"ÁKKH értéke","")</f>
        <v>ÁKKH értéke</v>
      </c>
      <c r="L294" s="568"/>
      <c r="M294" s="569"/>
      <c r="N294" s="335">
        <f>IF(OR(E5=paraméterek!A177,E5=paraméterek!A178,E5=paraméterek!A179),Hirdetmény!E39,"")</f>
        <v>0.08</v>
      </c>
    </row>
    <row r="295" spans="1:15" ht="15" customHeight="1" thickBot="1" x14ac:dyDescent="0.3">
      <c r="A295" s="1581"/>
      <c r="B295" s="1596"/>
      <c r="D295" s="623" t="s">
        <v>1844</v>
      </c>
      <c r="E295" s="624">
        <f>IF(K6="igen",24,0)</f>
        <v>0</v>
      </c>
      <c r="F295" s="619"/>
      <c r="G295" s="322"/>
      <c r="H295" s="322"/>
      <c r="I295" s="322"/>
      <c r="J295" s="322"/>
      <c r="K295" s="625" t="str">
        <f>IF(K6="igen","Törlesztő részlet a türelmi idő alatt:","")</f>
        <v/>
      </c>
      <c r="L295" s="626"/>
      <c r="M295" s="626"/>
      <c r="N295" s="627" t="str">
        <f>IF(K6="igen",N356,"")</f>
        <v/>
      </c>
    </row>
    <row r="296" spans="1:15" ht="15" customHeight="1" x14ac:dyDescent="0.25">
      <c r="A296" s="616"/>
      <c r="B296" s="617"/>
      <c r="D296" s="333" t="s">
        <v>1898</v>
      </c>
      <c r="E296" s="629">
        <f>Hirdetmény!E41+24%</f>
        <v>0.37</v>
      </c>
      <c r="F296" s="322"/>
      <c r="G296" s="322"/>
      <c r="H296" s="322"/>
      <c r="I296" s="322"/>
      <c r="J296" s="322"/>
      <c r="K296" s="628" t="s">
        <v>1826</v>
      </c>
      <c r="L296" s="618"/>
      <c r="M296" s="618"/>
      <c r="N296" s="630">
        <f>X355</f>
        <v>0.14489675614077413</v>
      </c>
    </row>
    <row r="297" spans="1:15" ht="31.95" customHeight="1" thickBot="1" x14ac:dyDescent="0.3">
      <c r="A297" s="616"/>
      <c r="B297" s="617"/>
      <c r="D297" s="622" t="s">
        <v>1901</v>
      </c>
      <c r="E297" s="1415" t="str">
        <f>IF(N296&lt;E296,"Megfelel","THM Maximumot meghaladó érték")</f>
        <v>Megfelel</v>
      </c>
      <c r="F297" s="620"/>
      <c r="G297" s="620"/>
      <c r="H297" s="620"/>
      <c r="I297" s="620"/>
      <c r="J297" s="620"/>
      <c r="K297" s="631" t="s">
        <v>1900</v>
      </c>
      <c r="L297" s="621"/>
      <c r="M297" s="621"/>
      <c r="N297" s="632">
        <f>((IRR(AI355:AI775,0.01)+1)^12)-1</f>
        <v>0.14595486047977468</v>
      </c>
    </row>
    <row r="298" spans="1:15" ht="11.25" customHeight="1" x14ac:dyDescent="0.25">
      <c r="B298" s="83"/>
      <c r="D298" s="8"/>
      <c r="E298" s="84"/>
      <c r="G298" s="85"/>
    </row>
    <row r="299" spans="1:15" ht="13.8" x14ac:dyDescent="0.25">
      <c r="A299" s="420"/>
      <c r="B299" s="419"/>
    </row>
    <row r="300" spans="1:15" s="21" customFormat="1" ht="13.8" hidden="1" x14ac:dyDescent="0.25">
      <c r="A300" s="11"/>
      <c r="E300" s="354"/>
      <c r="F300" s="427"/>
      <c r="I300" s="427"/>
      <c r="L300" s="427"/>
      <c r="O300" s="427"/>
    </row>
    <row r="301" spans="1:15" s="21" customFormat="1" ht="13.8" hidden="1" x14ac:dyDescent="0.25">
      <c r="A301" s="11"/>
      <c r="B301" s="11"/>
      <c r="E301" s="429"/>
      <c r="F301" s="427"/>
      <c r="I301" s="427"/>
      <c r="L301" s="427"/>
      <c r="O301" s="427"/>
    </row>
    <row r="302" spans="1:15" s="21" customFormat="1" ht="13.8" hidden="1" x14ac:dyDescent="0.25">
      <c r="A302" s="11"/>
      <c r="E302" s="354"/>
      <c r="F302" s="427"/>
      <c r="I302" s="427"/>
      <c r="L302" s="427"/>
      <c r="O302" s="427"/>
    </row>
    <row r="303" spans="1:15" s="21" customFormat="1" ht="13.8" hidden="1" x14ac:dyDescent="0.25">
      <c r="A303" s="11"/>
      <c r="B303" s="10"/>
      <c r="E303" s="429"/>
      <c r="F303" s="427"/>
      <c r="I303" s="427"/>
      <c r="L303" s="427"/>
      <c r="O303" s="427"/>
    </row>
    <row r="304" spans="1:15" s="21" customFormat="1" ht="13.8" hidden="1" x14ac:dyDescent="0.25">
      <c r="A304" s="11"/>
      <c r="E304" s="300"/>
      <c r="F304" s="427"/>
      <c r="I304" s="427"/>
      <c r="L304" s="427"/>
      <c r="O304" s="427"/>
    </row>
    <row r="305" spans="1:15" s="21" customFormat="1" ht="13.8" hidden="1" x14ac:dyDescent="0.25">
      <c r="A305" s="11"/>
      <c r="B305" s="11"/>
      <c r="E305" s="429"/>
      <c r="F305" s="427"/>
      <c r="I305" s="427"/>
      <c r="L305" s="427"/>
      <c r="O305" s="427"/>
    </row>
    <row r="306" spans="1:15" s="21" customFormat="1" ht="13.8" hidden="1" x14ac:dyDescent="0.25">
      <c r="A306" s="11"/>
      <c r="E306" s="300"/>
      <c r="F306" s="427"/>
      <c r="I306" s="427"/>
      <c r="L306" s="427"/>
      <c r="O306" s="427"/>
    </row>
    <row r="307" spans="1:15" s="21" customFormat="1" hidden="1" x14ac:dyDescent="0.2">
      <c r="E307" s="429"/>
      <c r="F307" s="427"/>
      <c r="I307" s="427"/>
      <c r="L307" s="427"/>
      <c r="O307" s="427"/>
    </row>
    <row r="308" spans="1:15" s="21" customFormat="1" hidden="1" x14ac:dyDescent="0.2">
      <c r="E308" s="429"/>
      <c r="F308" s="427"/>
      <c r="I308" s="427"/>
      <c r="L308" s="427"/>
      <c r="O308" s="427"/>
    </row>
    <row r="309" spans="1:15" s="21" customFormat="1" hidden="1" x14ac:dyDescent="0.2">
      <c r="E309" s="429"/>
      <c r="F309" s="427"/>
      <c r="I309" s="427"/>
      <c r="L309" s="427"/>
      <c r="O309" s="427"/>
    </row>
    <row r="310" spans="1:15" s="21" customFormat="1" hidden="1" x14ac:dyDescent="0.2">
      <c r="E310" s="429"/>
      <c r="F310" s="427"/>
      <c r="I310" s="427"/>
      <c r="L310" s="427"/>
      <c r="O310" s="427"/>
    </row>
    <row r="311" spans="1:15" s="21" customFormat="1" ht="13.2" hidden="1" outlineLevel="1" x14ac:dyDescent="0.25">
      <c r="D311" s="1584" t="s">
        <v>317</v>
      </c>
      <c r="E311" s="1584"/>
      <c r="F311" s="1584"/>
      <c r="G311" s="1584"/>
      <c r="H311" s="1584"/>
      <c r="I311" s="1584"/>
      <c r="J311" s="1584"/>
      <c r="K311" s="1584"/>
      <c r="L311" s="1584"/>
      <c r="M311" s="1584"/>
      <c r="N311" s="1584"/>
      <c r="O311" s="427"/>
    </row>
    <row r="312" spans="1:15" s="21" customFormat="1" hidden="1" outlineLevel="1" x14ac:dyDescent="0.2">
      <c r="E312" s="429"/>
      <c r="F312" s="427"/>
      <c r="I312" s="427"/>
      <c r="L312" s="427"/>
      <c r="O312" s="427"/>
    </row>
    <row r="313" spans="1:15" s="21" customFormat="1" hidden="1" outlineLevel="1" x14ac:dyDescent="0.2">
      <c r="D313" s="21" t="s">
        <v>318</v>
      </c>
      <c r="E313" s="429"/>
      <c r="F313" s="427"/>
      <c r="I313" s="427"/>
      <c r="L313" s="427"/>
      <c r="O313" s="427"/>
    </row>
    <row r="314" spans="1:15" s="21" customFormat="1" hidden="1" outlineLevel="1" x14ac:dyDescent="0.2">
      <c r="E314" s="429"/>
      <c r="F314" s="427"/>
      <c r="I314" s="427"/>
      <c r="L314" s="427"/>
      <c r="O314" s="427"/>
    </row>
    <row r="315" spans="1:15" s="21" customFormat="1" hidden="1" outlineLevel="1" x14ac:dyDescent="0.2">
      <c r="E315" s="429"/>
      <c r="F315" s="427"/>
      <c r="I315" s="427"/>
      <c r="L315" s="427"/>
      <c r="O315" s="427"/>
    </row>
    <row r="316" spans="1:15" s="21" customFormat="1" hidden="1" outlineLevel="1" x14ac:dyDescent="0.2">
      <c r="E316" s="429"/>
      <c r="F316" s="427"/>
      <c r="I316" s="427"/>
      <c r="L316" s="427"/>
      <c r="O316" s="427"/>
    </row>
    <row r="317" spans="1:15" s="21" customFormat="1" hidden="1" outlineLevel="1" x14ac:dyDescent="0.2">
      <c r="E317" s="429"/>
      <c r="F317" s="427"/>
      <c r="I317" s="427"/>
      <c r="L317" s="427"/>
      <c r="O317" s="427"/>
    </row>
    <row r="318" spans="1:15" s="21" customFormat="1" hidden="1" outlineLevel="1" x14ac:dyDescent="0.2">
      <c r="E318" s="429"/>
      <c r="F318" s="427"/>
      <c r="I318" s="427"/>
      <c r="L318" s="427"/>
      <c r="O318" s="427"/>
    </row>
    <row r="319" spans="1:15" s="21" customFormat="1" hidden="1" outlineLevel="1" x14ac:dyDescent="0.2">
      <c r="E319" s="429"/>
      <c r="F319" s="427"/>
      <c r="I319" s="427"/>
      <c r="L319" s="427"/>
      <c r="O319" s="427"/>
    </row>
    <row r="320" spans="1:15" s="21" customFormat="1" hidden="1" outlineLevel="1" x14ac:dyDescent="0.2">
      <c r="E320" s="429"/>
      <c r="F320" s="427"/>
      <c r="I320" s="427"/>
      <c r="L320" s="427"/>
      <c r="O320" s="427"/>
    </row>
    <row r="321" spans="4:15" s="21" customFormat="1" hidden="1" outlineLevel="1" x14ac:dyDescent="0.2">
      <c r="E321" s="429"/>
      <c r="F321" s="427"/>
      <c r="I321" s="427"/>
      <c r="L321" s="427"/>
      <c r="O321" s="427"/>
    </row>
    <row r="322" spans="4:15" s="21" customFormat="1" ht="13.2" hidden="1" outlineLevel="1" x14ac:dyDescent="0.25">
      <c r="D322" s="1584" t="s">
        <v>319</v>
      </c>
      <c r="E322" s="1584"/>
      <c r="F322" s="1584"/>
      <c r="G322" s="1584"/>
      <c r="H322" s="1584"/>
      <c r="I322" s="1584"/>
      <c r="J322" s="1584"/>
      <c r="K322" s="1584"/>
      <c r="L322" s="1584"/>
      <c r="M322" s="1584"/>
      <c r="N322" s="1584"/>
      <c r="O322" s="427"/>
    </row>
    <row r="323" spans="4:15" s="21" customFormat="1" hidden="1" outlineLevel="1" x14ac:dyDescent="0.2">
      <c r="E323" s="429"/>
      <c r="F323" s="427"/>
      <c r="I323" s="427"/>
      <c r="L323" s="427"/>
      <c r="O323" s="427"/>
    </row>
    <row r="324" spans="4:15" s="21" customFormat="1" hidden="1" outlineLevel="1" x14ac:dyDescent="0.2">
      <c r="E324" s="429"/>
      <c r="F324" s="427"/>
      <c r="I324" s="427"/>
      <c r="L324" s="427"/>
      <c r="O324" s="427"/>
    </row>
    <row r="325" spans="4:15" s="21" customFormat="1" hidden="1" outlineLevel="1" x14ac:dyDescent="0.2">
      <c r="E325" s="429"/>
      <c r="F325" s="427"/>
      <c r="I325" s="427"/>
      <c r="L325" s="427"/>
      <c r="O325" s="427"/>
    </row>
    <row r="326" spans="4:15" s="21" customFormat="1" hidden="1" outlineLevel="1" x14ac:dyDescent="0.2">
      <c r="E326" s="429"/>
      <c r="F326" s="427"/>
      <c r="I326" s="427"/>
      <c r="L326" s="427"/>
      <c r="O326" s="427"/>
    </row>
    <row r="327" spans="4:15" s="21" customFormat="1" hidden="1" outlineLevel="1" x14ac:dyDescent="0.2">
      <c r="E327" s="429"/>
      <c r="F327" s="427"/>
      <c r="I327" s="427"/>
      <c r="L327" s="427"/>
      <c r="O327" s="427"/>
    </row>
    <row r="328" spans="4:15" s="21" customFormat="1" hidden="1" outlineLevel="1" x14ac:dyDescent="0.2">
      <c r="E328" s="429"/>
      <c r="F328" s="427"/>
      <c r="I328" s="427"/>
      <c r="L328" s="427"/>
      <c r="O328" s="427"/>
    </row>
    <row r="329" spans="4:15" s="21" customFormat="1" hidden="1" outlineLevel="1" x14ac:dyDescent="0.2">
      <c r="E329" s="429"/>
      <c r="F329" s="427"/>
      <c r="I329" s="427"/>
      <c r="L329" s="427"/>
      <c r="O329" s="427"/>
    </row>
    <row r="330" spans="4:15" s="21" customFormat="1" hidden="1" outlineLevel="1" x14ac:dyDescent="0.2">
      <c r="E330" s="429"/>
      <c r="F330" s="427"/>
      <c r="I330" s="427"/>
      <c r="L330" s="427"/>
      <c r="O330" s="427"/>
    </row>
    <row r="331" spans="4:15" s="21" customFormat="1" ht="13.2" hidden="1" outlineLevel="1" x14ac:dyDescent="0.25">
      <c r="D331" s="1584" t="s">
        <v>320</v>
      </c>
      <c r="E331" s="1584"/>
      <c r="F331" s="1584"/>
      <c r="G331" s="1584"/>
      <c r="H331" s="1584"/>
      <c r="I331" s="1584"/>
      <c r="J331" s="1584"/>
      <c r="K331" s="1584"/>
      <c r="L331" s="1584"/>
      <c r="M331" s="1584"/>
      <c r="N331" s="1584"/>
      <c r="O331" s="427"/>
    </row>
    <row r="332" spans="4:15" s="21" customFormat="1" hidden="1" outlineLevel="1" x14ac:dyDescent="0.2">
      <c r="E332" s="429"/>
      <c r="F332" s="427"/>
      <c r="I332" s="427"/>
      <c r="L332" s="427"/>
      <c r="O332" s="427"/>
    </row>
    <row r="333" spans="4:15" s="21" customFormat="1" hidden="1" outlineLevel="1" x14ac:dyDescent="0.2">
      <c r="E333" s="429"/>
      <c r="F333" s="427"/>
      <c r="I333" s="427"/>
      <c r="L333" s="427"/>
      <c r="O333" s="427"/>
    </row>
    <row r="334" spans="4:15" s="21" customFormat="1" hidden="1" outlineLevel="1" x14ac:dyDescent="0.2">
      <c r="D334" s="21" t="s">
        <v>321</v>
      </c>
      <c r="E334" s="429"/>
      <c r="F334" s="427"/>
      <c r="I334" s="427"/>
      <c r="L334" s="427"/>
      <c r="O334" s="427"/>
    </row>
    <row r="335" spans="4:15" s="21" customFormat="1" hidden="1" outlineLevel="1" x14ac:dyDescent="0.2">
      <c r="E335" s="429"/>
      <c r="F335" s="427"/>
      <c r="I335" s="427"/>
      <c r="L335" s="427"/>
      <c r="O335" s="427"/>
    </row>
    <row r="336" spans="4:15" s="21" customFormat="1" hidden="1" outlineLevel="1" x14ac:dyDescent="0.2">
      <c r="E336" s="429"/>
      <c r="F336" s="427"/>
      <c r="I336" s="427"/>
      <c r="L336" s="427"/>
      <c r="O336" s="427"/>
    </row>
    <row r="337" spans="5:15" s="21" customFormat="1" hidden="1" outlineLevel="1" x14ac:dyDescent="0.2">
      <c r="E337" s="429"/>
      <c r="F337" s="427"/>
      <c r="I337" s="427"/>
      <c r="L337" s="427"/>
      <c r="O337" s="427"/>
    </row>
    <row r="338" spans="5:15" s="21" customFormat="1" hidden="1" outlineLevel="1" x14ac:dyDescent="0.2">
      <c r="E338" s="429"/>
      <c r="F338" s="427"/>
      <c r="I338" s="427"/>
      <c r="L338" s="427"/>
      <c r="O338" s="427"/>
    </row>
    <row r="339" spans="5:15" s="21" customFormat="1" hidden="1" outlineLevel="1" x14ac:dyDescent="0.2">
      <c r="E339" s="429"/>
      <c r="F339" s="427"/>
      <c r="I339" s="427"/>
      <c r="L339" s="427"/>
      <c r="O339" s="427"/>
    </row>
    <row r="340" spans="5:15" s="21" customFormat="1" hidden="1" outlineLevel="1" x14ac:dyDescent="0.2">
      <c r="E340" s="429"/>
      <c r="F340" s="427"/>
      <c r="I340" s="427"/>
      <c r="L340" s="427"/>
      <c r="O340" s="427"/>
    </row>
    <row r="341" spans="5:15" s="21" customFormat="1" hidden="1" outlineLevel="1" x14ac:dyDescent="0.2">
      <c r="E341" s="429"/>
      <c r="F341" s="427"/>
      <c r="I341" s="427"/>
      <c r="L341" s="427"/>
      <c r="O341" s="427"/>
    </row>
    <row r="342" spans="5:15" s="21" customFormat="1" hidden="1" outlineLevel="1" x14ac:dyDescent="0.2">
      <c r="E342" s="429"/>
      <c r="F342" s="427"/>
      <c r="I342" s="427"/>
      <c r="L342" s="427"/>
      <c r="O342" s="427"/>
    </row>
    <row r="343" spans="5:15" s="21" customFormat="1" hidden="1" x14ac:dyDescent="0.2">
      <c r="E343" s="429"/>
      <c r="F343" s="427"/>
      <c r="I343" s="427"/>
      <c r="L343" s="427"/>
      <c r="O343" s="427"/>
    </row>
    <row r="344" spans="5:15" s="21" customFormat="1" hidden="1" x14ac:dyDescent="0.2">
      <c r="E344" s="429"/>
      <c r="F344" s="427"/>
      <c r="I344" s="427"/>
      <c r="L344" s="427"/>
      <c r="O344" s="427"/>
    </row>
    <row r="345" spans="5:15" s="21" customFormat="1" hidden="1" x14ac:dyDescent="0.2">
      <c r="E345" s="429"/>
      <c r="F345" s="427"/>
      <c r="I345" s="427"/>
      <c r="L345" s="427"/>
      <c r="O345" s="427"/>
    </row>
    <row r="346" spans="5:15" s="21" customFormat="1" hidden="1" x14ac:dyDescent="0.2">
      <c r="E346" s="429"/>
      <c r="F346" s="427"/>
      <c r="I346" s="427"/>
      <c r="L346" s="427"/>
      <c r="O346" s="427"/>
    </row>
    <row r="347" spans="5:15" s="21" customFormat="1" hidden="1" x14ac:dyDescent="0.2">
      <c r="E347" s="429"/>
      <c r="F347" s="427"/>
      <c r="I347" s="427"/>
      <c r="L347" s="427"/>
      <c r="O347" s="427"/>
    </row>
    <row r="348" spans="5:15" s="21" customFormat="1" hidden="1" x14ac:dyDescent="0.2">
      <c r="E348" s="429"/>
      <c r="F348" s="427"/>
      <c r="I348" s="427"/>
      <c r="L348" s="427"/>
      <c r="O348" s="427"/>
    </row>
    <row r="349" spans="5:15" s="21" customFormat="1" hidden="1" x14ac:dyDescent="0.2">
      <c r="E349" s="429"/>
      <c r="F349" s="427"/>
      <c r="I349" s="427"/>
      <c r="L349" s="427"/>
      <c r="O349" s="427"/>
    </row>
    <row r="350" spans="5:15" s="21" customFormat="1" hidden="1" x14ac:dyDescent="0.2">
      <c r="E350" s="429"/>
      <c r="F350" s="427"/>
      <c r="I350" s="427"/>
      <c r="L350" s="427"/>
      <c r="O350" s="427"/>
    </row>
    <row r="351" spans="5:15" s="21" customFormat="1" hidden="1" x14ac:dyDescent="0.2">
      <c r="E351" s="429"/>
      <c r="F351" s="427"/>
      <c r="I351" s="427"/>
      <c r="L351" s="427"/>
      <c r="O351" s="427"/>
    </row>
    <row r="352" spans="5:15" s="21" customFormat="1" hidden="1" x14ac:dyDescent="0.2">
      <c r="E352" s="429"/>
      <c r="F352" s="427"/>
      <c r="I352" s="427"/>
      <c r="L352" s="427"/>
      <c r="O352" s="427"/>
    </row>
    <row r="353" spans="1:40" s="21" customFormat="1" hidden="1" x14ac:dyDescent="0.2">
      <c r="E353" s="429"/>
      <c r="F353" s="427"/>
      <c r="I353" s="427"/>
      <c r="L353" s="427"/>
      <c r="M353" s="604"/>
      <c r="N353" s="570"/>
      <c r="O353" s="427"/>
      <c r="AC353" s="544"/>
      <c r="AI353" s="427"/>
    </row>
    <row r="354" spans="1:40" s="421" customFormat="1" ht="96.6" hidden="1" x14ac:dyDescent="0.25">
      <c r="A354" s="421" t="s">
        <v>30</v>
      </c>
      <c r="B354" s="421" t="s">
        <v>112</v>
      </c>
      <c r="C354" s="421" t="s">
        <v>113</v>
      </c>
      <c r="D354" s="421" t="s">
        <v>31</v>
      </c>
      <c r="E354" s="421" t="s">
        <v>94</v>
      </c>
      <c r="F354" s="421" t="s">
        <v>114</v>
      </c>
      <c r="H354" s="421" t="s">
        <v>32</v>
      </c>
      <c r="I354" s="421" t="s">
        <v>115</v>
      </c>
      <c r="K354" s="421" t="s">
        <v>28</v>
      </c>
      <c r="L354" s="421" t="s">
        <v>28</v>
      </c>
      <c r="M354" s="421" t="s">
        <v>34</v>
      </c>
      <c r="N354" s="421" t="s">
        <v>33</v>
      </c>
      <c r="O354" s="421" t="s">
        <v>322</v>
      </c>
      <c r="P354" s="421" t="s">
        <v>1027</v>
      </c>
      <c r="Q354" s="421" t="s">
        <v>1392</v>
      </c>
      <c r="R354" s="421" t="s">
        <v>31</v>
      </c>
      <c r="S354" s="421" t="s">
        <v>1364</v>
      </c>
      <c r="T354" s="421" t="s">
        <v>32</v>
      </c>
      <c r="U354" s="421" t="s">
        <v>33</v>
      </c>
      <c r="V354" s="421" t="s">
        <v>34</v>
      </c>
      <c r="W354" s="421" t="s">
        <v>322</v>
      </c>
      <c r="X354" s="421" t="s">
        <v>1359</v>
      </c>
      <c r="AA354" s="421" t="s">
        <v>31</v>
      </c>
      <c r="AB354" s="421" t="s">
        <v>1341</v>
      </c>
      <c r="AC354" s="421" t="s">
        <v>32</v>
      </c>
      <c r="AD354" s="421" t="s">
        <v>33</v>
      </c>
      <c r="AE354" s="421" t="s">
        <v>34</v>
      </c>
      <c r="AF354" s="421" t="s">
        <v>322</v>
      </c>
      <c r="AG354" s="421" t="s">
        <v>1359</v>
      </c>
      <c r="AI354" s="421" t="s">
        <v>1899</v>
      </c>
    </row>
    <row r="355" spans="1:40" s="11" customFormat="1" ht="13.8" hidden="1" x14ac:dyDescent="0.25">
      <c r="A355" s="11">
        <v>0</v>
      </c>
      <c r="B355" s="11">
        <v>0</v>
      </c>
      <c r="C355" s="354">
        <f t="shared" ref="C355:C418" si="1">aktualisbubor</f>
        <v>0</v>
      </c>
      <c r="D355" s="300">
        <f>$N$18</f>
        <v>12000000</v>
      </c>
      <c r="E355" s="354">
        <f>$N$293</f>
        <v>0.13400000000000001</v>
      </c>
      <c r="F355" s="354">
        <f t="shared" ref="F355:F418" si="2">$N$292</f>
        <v>0.03</v>
      </c>
      <c r="H355" s="302"/>
      <c r="I355" s="302"/>
      <c r="K355" s="10">
        <f>O355</f>
        <v>-11984400</v>
      </c>
      <c r="L355" s="10">
        <f>O355</f>
        <v>-11984400</v>
      </c>
      <c r="M355" s="300"/>
      <c r="O355" s="10">
        <f>-N18+E15+E16+E17+E18+E19+E14+kompl_tizmilliofelett</f>
        <v>-11984400</v>
      </c>
      <c r="R355" s="10">
        <f>$N$18</f>
        <v>12000000</v>
      </c>
      <c r="S355" s="354">
        <f>+Hirdetmény!$AA$46</f>
        <v>0.13400000000000001</v>
      </c>
      <c r="W355" s="10">
        <f>-N18+E15+E16+E17+E18+E19+E25+E14</f>
        <v>-11984400</v>
      </c>
      <c r="X355" s="12">
        <f>((IRR(W355:W775,0.01)+1)^12)-1</f>
        <v>0.14489675614077413</v>
      </c>
      <c r="AA355" s="10">
        <f>$N$18</f>
        <v>12000000</v>
      </c>
      <c r="AB355" s="354">
        <f>+paraméterek!$B$346</f>
        <v>6.4600000000000005E-2</v>
      </c>
      <c r="AF355" s="10">
        <f>-N18+E15+E16+E17+E18+E19+E25+E14</f>
        <v>-11984400</v>
      </c>
      <c r="AG355" s="12">
        <f>((IRR(AF355:AF775,0.01)+1)^12)-1</f>
        <v>6.767495386083433E-2</v>
      </c>
      <c r="AI355" s="615">
        <f>-N18+E15+E16+E17+E18+E19+E25+E14</f>
        <v>-11984400</v>
      </c>
      <c r="AK355" s="300"/>
      <c r="AM355" s="10"/>
      <c r="AN355" s="12"/>
    </row>
    <row r="356" spans="1:40" s="11" customFormat="1" ht="13.8" hidden="1" x14ac:dyDescent="0.25">
      <c r="A356" s="11">
        <v>1</v>
      </c>
      <c r="B356" s="11">
        <f>+ROUNDUP(A356/12,0)</f>
        <v>1</v>
      </c>
      <c r="C356" s="354">
        <f t="shared" si="1"/>
        <v>0</v>
      </c>
      <c r="D356" s="300">
        <f t="shared" ref="D356:D419" si="3">+D355-H356-I356</f>
        <v>11963614.37886619</v>
      </c>
      <c r="E356" s="354">
        <f>E355</f>
        <v>0.13400000000000001</v>
      </c>
      <c r="F356" s="354">
        <f t="shared" si="2"/>
        <v>0.03</v>
      </c>
      <c r="H356" s="436">
        <f t="shared" ref="H356:H419" si="4">IF(A356&lt;=$E$295,0,IF(A356&lt;=$K$5,PPMT(F356/360*(365/12),A356-$E$295,$K$5-$E$295,-$D$355),0))</f>
        <v>36385.621133809844</v>
      </c>
      <c r="I356" s="302">
        <f t="shared" ref="I356:I419" si="5">+IF(A356=$K$5,$K$11,0)</f>
        <v>0</v>
      </c>
      <c r="K356" s="426">
        <f>+(H356+N356)+IF($K$6="nem",$E$29,IF(A356&lt;$E$295+1,$E$28,$E$29)+P356)+Q356+$N$27+I356</f>
        <v>66802.287800476508</v>
      </c>
      <c r="L356" s="10">
        <f>K356</f>
        <v>66802.287800476508</v>
      </c>
      <c r="M356" s="436">
        <f>H356+N356</f>
        <v>66802.287800476508</v>
      </c>
      <c r="N356" s="301">
        <f>+D355*F356/360*(365/12)</f>
        <v>30416.666666666668</v>
      </c>
      <c r="O356" s="302">
        <f t="shared" ref="O356:O419" si="6">IF(A356&lt;=$K$5,PMT($N$292*365/360/12,$K$5,-$N$18)+P356+Q356+$N$27)+IF($K$6="nem",$E$29,IF(A355&lt;$E$295+1,$E$28,$E$29))</f>
        <v>66802.287800476508</v>
      </c>
      <c r="P356" s="436">
        <f t="shared" ref="P356:P419" si="7">IF(A356&lt;=$K$5,$E$25,0)</f>
        <v>0</v>
      </c>
      <c r="Q356" s="11">
        <f>IF(A356&gt;$K$5,0,+IF($K$25="havi",$K$23,0)+IF($K$25="negyedéves",$K$23,0)+IF($K$25="féléves",$K$23,0)+IF($K$25="éves",$K$23,0)+IF($E$223="havi",$E$221,0)+IF($E$223="negyedéves",$E$221,0)+IF($E$223="féléves",$E$221,0)+IF($E$223="éves",$E$221,0)+IF($H$223="havi",$H$221,0)+IF($H$223="negyedéves",$H$221,0)+IF($H$223="féléves",$H$221,0)+IF($H$223="éves",$H$221,0)+IF($K$223="havi",$K$221,0)+IF($K$223="negyedéves",$K$221,0)+IF($K$223="féléves",$K$221,0)+IF($K$223="éves",$K$221,0)+IF($N$223="havi",$N$221,0)+IF($N$223="negyedéves",$N$221,0)+IF($N$223="féléves",$N$221,0)+IF($N$223="éves",$N$221,0))</f>
        <v>0</v>
      </c>
      <c r="R356" s="426">
        <f>+R355-T356</f>
        <v>11990232.043548461</v>
      </c>
      <c r="S356" s="354">
        <f>+Hirdetmény!$AA$46</f>
        <v>0.13400000000000001</v>
      </c>
      <c r="T356" s="302">
        <f t="shared" ref="T356:T419" si="8">IF(A356&lt;=$K$5,IF(A356&gt;$E$295,PPMT(S356/360*(365/12),1,$K$5-A355,R355,$K$11*-1),0)*-1,0)</f>
        <v>9767.9564515382481</v>
      </c>
      <c r="U356" s="302">
        <f>+R355*S356/360*(365/12)</f>
        <v>135861.11111111112</v>
      </c>
      <c r="V356" s="302">
        <f>+T356+U356</f>
        <v>145629.06756264938</v>
      </c>
      <c r="W356" s="302">
        <f>+V356+IF($K$6="nem",$E$29,IF(A356&lt;$E$295+1,$E$28,$E$29))+IF(A356&lt;=$K$5,$E$25+Q356+$N$27,0)</f>
        <v>145629.06756264938</v>
      </c>
      <c r="AA356" s="10">
        <f>+AA355-AC356</f>
        <v>11975676.825131647</v>
      </c>
      <c r="AB356" s="354">
        <f>+paraméterek!$B$346</f>
        <v>6.4600000000000005E-2</v>
      </c>
      <c r="AC356" s="302">
        <f t="shared" ref="AC356:AC419" si="9">IF(A356&lt;=$K$5,IF(A356&gt;$E$295,PPMT(AB356/360*(365/12),1,$K$5-A355,AA355,$K$11*-1),0)*-1,0)</f>
        <v>24323.174868353472</v>
      </c>
      <c r="AD356" s="302">
        <f>+AA355*AB356/360*(365/12)</f>
        <v>65497.222222222226</v>
      </c>
      <c r="AE356" s="302">
        <f>+AC356+AD356</f>
        <v>89820.397090575701</v>
      </c>
      <c r="AF356" s="478">
        <f t="shared" ref="AF356:AF419" si="10">+AE356+IF($K$6="nem",$E$29,IF(A356&lt;$E$295+1,$E$28,$E$29)+IF(A356&lt;=$K$5,$E$25+Q356+$N$27,0))</f>
        <v>89820.397090575701</v>
      </c>
      <c r="AI356" s="543">
        <f>+V356+IF($K$6="nem",$E$29,IF(A356&lt;$E$295+1,$E$28,$E$29)+P356)+IF(A356&gt;$K$5,0,IF($E$221=0,$E$222,$E$221)+$N$27)+I356</f>
        <v>146437.06756264938</v>
      </c>
      <c r="AJ356" s="543"/>
      <c r="AK356" s="300"/>
      <c r="AL356" s="543"/>
      <c r="AM356" s="10"/>
    </row>
    <row r="357" spans="1:40" s="11" customFormat="1" ht="13.8" hidden="1" x14ac:dyDescent="0.25">
      <c r="A357" s="11">
        <v>2</v>
      </c>
      <c r="B357" s="11">
        <f t="shared" ref="B357:B420" si="11">+ROUNDUP(A357/12,0)</f>
        <v>1</v>
      </c>
      <c r="C357" s="354">
        <f t="shared" si="1"/>
        <v>0</v>
      </c>
      <c r="D357" s="300">
        <f t="shared" si="3"/>
        <v>11927136.530289924</v>
      </c>
      <c r="E357" s="354">
        <f t="shared" ref="E357:E372" si="12">E356</f>
        <v>0.13400000000000001</v>
      </c>
      <c r="F357" s="354">
        <f t="shared" si="2"/>
        <v>0.03</v>
      </c>
      <c r="H357" s="436">
        <f t="shared" si="4"/>
        <v>36477.848576267068</v>
      </c>
      <c r="I357" s="302">
        <f t="shared" si="5"/>
        <v>0</v>
      </c>
      <c r="K357" s="426">
        <f t="shared" ref="K357:K420" si="13">+(H357+N357)+IF($K$6="nem",$E$29,IF(A357&lt;$E$295+1,$E$28,$E$29)+P357)+Q357+$N$27+I357</f>
        <v>66802.287800476508</v>
      </c>
      <c r="L357" s="10">
        <f t="shared" ref="L357:L420" si="14">K357</f>
        <v>66802.287800476508</v>
      </c>
      <c r="M357" s="436">
        <f t="shared" ref="M357:M420" si="15">H357+N357</f>
        <v>66802.287800476508</v>
      </c>
      <c r="N357" s="301">
        <f t="shared" ref="N357:N419" si="16">+D356*F357/360*(365/12)</f>
        <v>30324.43922420944</v>
      </c>
      <c r="O357" s="302">
        <f t="shared" si="6"/>
        <v>66802.287800476508</v>
      </c>
      <c r="P357" s="436">
        <f t="shared" si="7"/>
        <v>0</v>
      </c>
      <c r="Q357" s="11">
        <f t="shared" ref="Q357:Q420" si="17">IF(A357&gt;$K$5,0,+IF($K$25="havi",$K$23,0)+IF($K$25="negyedéves",$K$23,0)+IF($K$25="féléves",$K$23,0)+IF($K$25="éves",$K$23,0)+IF($E$223="havi",$E$221,0)+IF($E$223="negyedéves",$E$221,0)+IF($E$223="féléves",$E$221,0)+IF($E$223="éves",$E$221,0)+IF($H$223="havi",$H$221,0)+IF($H$223="negyedéves",$H$221,0)+IF($H$223="féléves",$H$221,0)+IF($H$223="éves",$H$221,0)+IF($K$223="havi",$K$221,0)+IF($K$223="negyedéves",$K$221,0)+IF($K$223="féléves",$K$221,0)+IF($K$223="éves",$K$221,0)+IF($N$223="havi",$N$221,0)+IF($N$223="negyedéves",$N$221,0)+IF($N$223="féléves",$N$221,0)+IF($N$223="éves",$N$221,0))</f>
        <v>0</v>
      </c>
      <c r="R357" s="426">
        <f t="shared" ref="R357:R420" si="18">+R356-T357</f>
        <v>11980353.496645523</v>
      </c>
      <c r="S357" s="354">
        <f>+Hirdetmény!$AA$46</f>
        <v>0.13400000000000001</v>
      </c>
      <c r="T357" s="302">
        <f t="shared" si="8"/>
        <v>9878.5469029374908</v>
      </c>
      <c r="U357" s="302">
        <f t="shared" ref="U357:U420" si="19">+R356*S357/360*(365/12)</f>
        <v>135750.52065971188</v>
      </c>
      <c r="V357" s="302">
        <f t="shared" ref="V357:V420" si="20">+T357+U357</f>
        <v>145629.06756264938</v>
      </c>
      <c r="W357" s="302">
        <f t="shared" ref="W357:W420" si="21">+V357+IF($K$6="nem",$E$29,IF(A357&lt;$E$295+1,$E$28,$E$29))+IF(A357&lt;=$K$5,$E$25+Q357+$N$27,0)</f>
        <v>145629.06756264938</v>
      </c>
      <c r="AA357" s="10">
        <f t="shared" ref="AA357:AA420" si="22">+AA356-AC357</f>
        <v>11951220.891897501</v>
      </c>
      <c r="AB357" s="354">
        <f>+paraméterek!$B$346</f>
        <v>6.4600000000000005E-2</v>
      </c>
      <c r="AC357" s="302">
        <f t="shared" si="9"/>
        <v>24455.933234145348</v>
      </c>
      <c r="AD357" s="302">
        <f>+AA356*AB357/360*(365/12)</f>
        <v>65364.46385643036</v>
      </c>
      <c r="AE357" s="302">
        <f t="shared" ref="AE357:AE420" si="23">+AC357+AD357</f>
        <v>89820.397090575716</v>
      </c>
      <c r="AF357" s="478">
        <f t="shared" si="10"/>
        <v>89820.397090575716</v>
      </c>
      <c r="AI357" s="543">
        <f t="shared" ref="AI357:AI420" si="24">+V357+IF($K$6="nem",$E$29,IF(A357&lt;$E$295+1,$E$28,$E$29)+P357)+IF(A357&gt;$K$5,0,IF($E$221=0,$E$222,$E$221)+$N$27)+I357</f>
        <v>146437.06756264938</v>
      </c>
      <c r="AJ357" s="543"/>
      <c r="AK357" s="300"/>
      <c r="AL357" s="543"/>
      <c r="AM357" s="10"/>
    </row>
    <row r="358" spans="1:40" s="11" customFormat="1" ht="13.8" hidden="1" x14ac:dyDescent="0.25">
      <c r="A358" s="11">
        <v>3</v>
      </c>
      <c r="B358" s="11">
        <f t="shared" si="11"/>
        <v>1</v>
      </c>
      <c r="C358" s="354">
        <f t="shared" si="1"/>
        <v>0</v>
      </c>
      <c r="D358" s="300">
        <f t="shared" si="3"/>
        <v>11890566.220500251</v>
      </c>
      <c r="E358" s="354">
        <f t="shared" si="12"/>
        <v>0.13400000000000001</v>
      </c>
      <c r="F358" s="354">
        <f t="shared" si="2"/>
        <v>0.03</v>
      </c>
      <c r="H358" s="436">
        <f t="shared" si="4"/>
        <v>36570.309789672196</v>
      </c>
      <c r="I358" s="302">
        <f t="shared" si="5"/>
        <v>0</v>
      </c>
      <c r="K358" s="426">
        <f t="shared" si="13"/>
        <v>66802.287800476508</v>
      </c>
      <c r="L358" s="10">
        <f t="shared" si="14"/>
        <v>66802.287800476508</v>
      </c>
      <c r="M358" s="436">
        <f t="shared" si="15"/>
        <v>66802.287800476508</v>
      </c>
      <c r="N358" s="301">
        <f t="shared" si="16"/>
        <v>30231.97801080432</v>
      </c>
      <c r="O358" s="302">
        <f t="shared" si="6"/>
        <v>66802.287800476508</v>
      </c>
      <c r="P358" s="436">
        <f t="shared" si="7"/>
        <v>0</v>
      </c>
      <c r="Q358" s="11">
        <f t="shared" si="17"/>
        <v>0</v>
      </c>
      <c r="R358" s="426">
        <f t="shared" si="18"/>
        <v>11970363.107212719</v>
      </c>
      <c r="S358" s="354">
        <f>+Hirdetmény!$AA$46</f>
        <v>0.13400000000000001</v>
      </c>
      <c r="T358" s="302">
        <f t="shared" si="8"/>
        <v>9990.3894328038477</v>
      </c>
      <c r="U358" s="302">
        <f t="shared" si="19"/>
        <v>135638.6781298455</v>
      </c>
      <c r="V358" s="302">
        <f t="shared" si="20"/>
        <v>145629.06756264935</v>
      </c>
      <c r="W358" s="302">
        <f t="shared" si="21"/>
        <v>145629.06756264935</v>
      </c>
      <c r="AA358" s="10">
        <f t="shared" si="22"/>
        <v>11926631.475688882</v>
      </c>
      <c r="AB358" s="354">
        <f>+paraméterek!$B$346</f>
        <v>6.4600000000000005E-2</v>
      </c>
      <c r="AC358" s="302">
        <f t="shared" si="9"/>
        <v>24589.416208619401</v>
      </c>
      <c r="AD358" s="302">
        <f t="shared" ref="AD358:AD421" si="25">+AA357*AB358/360*(365/12)</f>
        <v>65230.980881956297</v>
      </c>
      <c r="AE358" s="302">
        <f t="shared" si="23"/>
        <v>89820.397090575701</v>
      </c>
      <c r="AF358" s="478">
        <f t="shared" si="10"/>
        <v>89820.397090575701</v>
      </c>
      <c r="AI358" s="543">
        <f t="shared" si="24"/>
        <v>146437.06756264935</v>
      </c>
      <c r="AJ358" s="543"/>
      <c r="AK358" s="300"/>
      <c r="AL358" s="543"/>
      <c r="AM358" s="10"/>
    </row>
    <row r="359" spans="1:40" s="11" customFormat="1" ht="13.8" hidden="1" x14ac:dyDescent="0.25">
      <c r="A359" s="11">
        <v>4</v>
      </c>
      <c r="B359" s="11">
        <f t="shared" si="11"/>
        <v>1</v>
      </c>
      <c r="C359" s="354">
        <f t="shared" si="1"/>
        <v>0</v>
      </c>
      <c r="D359" s="300">
        <f t="shared" si="3"/>
        <v>11853903.215133682</v>
      </c>
      <c r="E359" s="354">
        <f t="shared" si="12"/>
        <v>0.13400000000000001</v>
      </c>
      <c r="F359" s="354">
        <f t="shared" si="2"/>
        <v>0.03</v>
      </c>
      <c r="H359" s="436">
        <f t="shared" si="4"/>
        <v>36663.005366569625</v>
      </c>
      <c r="I359" s="302">
        <f t="shared" si="5"/>
        <v>0</v>
      </c>
      <c r="K359" s="426">
        <f t="shared" si="13"/>
        <v>66802.287800476508</v>
      </c>
      <c r="L359" s="10">
        <f t="shared" si="14"/>
        <v>66802.287800476508</v>
      </c>
      <c r="M359" s="436">
        <f t="shared" si="15"/>
        <v>66802.287800476508</v>
      </c>
      <c r="N359" s="301">
        <f t="shared" si="16"/>
        <v>30139.282433906887</v>
      </c>
      <c r="O359" s="302">
        <f t="shared" si="6"/>
        <v>66802.287800476508</v>
      </c>
      <c r="P359" s="436">
        <f t="shared" si="7"/>
        <v>0</v>
      </c>
      <c r="Q359" s="11">
        <f t="shared" si="17"/>
        <v>0</v>
      </c>
      <c r="R359" s="426">
        <f t="shared" si="18"/>
        <v>11960259.608995851</v>
      </c>
      <c r="S359" s="354">
        <f>+Hirdetmény!$AA$46</f>
        <v>0.13400000000000001</v>
      </c>
      <c r="T359" s="302">
        <f t="shared" si="8"/>
        <v>10103.498216868302</v>
      </c>
      <c r="U359" s="302">
        <f t="shared" si="19"/>
        <v>135525.56934578106</v>
      </c>
      <c r="V359" s="302">
        <f t="shared" si="20"/>
        <v>145629.06756264935</v>
      </c>
      <c r="W359" s="302">
        <f t="shared" si="21"/>
        <v>145629.06756264935</v>
      </c>
      <c r="AA359" s="10">
        <f t="shared" si="22"/>
        <v>11901907.847942119</v>
      </c>
      <c r="AB359" s="354">
        <f>+paraméterek!$B$346</f>
        <v>6.4600000000000005E-2</v>
      </c>
      <c r="AC359" s="302">
        <f t="shared" si="9"/>
        <v>24723.627746763621</v>
      </c>
      <c r="AD359" s="302">
        <f t="shared" si="25"/>
        <v>65096.769343812077</v>
      </c>
      <c r="AE359" s="302">
        <f t="shared" si="23"/>
        <v>89820.397090575701</v>
      </c>
      <c r="AF359" s="478">
        <f t="shared" si="10"/>
        <v>89820.397090575701</v>
      </c>
      <c r="AI359" s="543">
        <f t="shared" si="24"/>
        <v>146437.06756264935</v>
      </c>
      <c r="AJ359" s="543"/>
      <c r="AK359" s="300"/>
      <c r="AL359" s="543"/>
      <c r="AM359" s="10"/>
    </row>
    <row r="360" spans="1:40" s="11" customFormat="1" ht="13.8" hidden="1" x14ac:dyDescent="0.25">
      <c r="A360" s="11">
        <v>5</v>
      </c>
      <c r="B360" s="11">
        <f t="shared" si="11"/>
        <v>1</v>
      </c>
      <c r="C360" s="354">
        <f t="shared" si="1"/>
        <v>0</v>
      </c>
      <c r="D360" s="300">
        <f t="shared" si="3"/>
        <v>11817147.279232677</v>
      </c>
      <c r="E360" s="354">
        <f t="shared" si="12"/>
        <v>0.13400000000000001</v>
      </c>
      <c r="F360" s="354">
        <f t="shared" si="2"/>
        <v>0.03</v>
      </c>
      <c r="H360" s="436">
        <f t="shared" si="4"/>
        <v>36755.935901005723</v>
      </c>
      <c r="I360" s="302">
        <f t="shared" si="5"/>
        <v>0</v>
      </c>
      <c r="K360" s="426">
        <f t="shared" si="13"/>
        <v>66802.287800476508</v>
      </c>
      <c r="L360" s="10">
        <f t="shared" si="14"/>
        <v>66802.287800476508</v>
      </c>
      <c r="M360" s="436">
        <f t="shared" si="15"/>
        <v>66802.287800476508</v>
      </c>
      <c r="N360" s="301">
        <f t="shared" si="16"/>
        <v>30046.351899470792</v>
      </c>
      <c r="O360" s="302">
        <f t="shared" si="6"/>
        <v>66802.287800476508</v>
      </c>
      <c r="P360" s="436">
        <f t="shared" si="7"/>
        <v>0</v>
      </c>
      <c r="Q360" s="11">
        <f t="shared" si="17"/>
        <v>0</v>
      </c>
      <c r="R360" s="426">
        <f t="shared" si="18"/>
        <v>11950041.721404495</v>
      </c>
      <c r="S360" s="354">
        <f>+Hirdetmény!$AA$46</f>
        <v>0.13400000000000001</v>
      </c>
      <c r="T360" s="302">
        <f t="shared" si="8"/>
        <v>10217.887591356042</v>
      </c>
      <c r="U360" s="302">
        <f t="shared" si="19"/>
        <v>135411.17997129331</v>
      </c>
      <c r="V360" s="302">
        <f t="shared" si="20"/>
        <v>145629.06756264935</v>
      </c>
      <c r="W360" s="302">
        <f t="shared" si="21"/>
        <v>145629.06756264935</v>
      </c>
      <c r="AA360" s="10">
        <f t="shared" si="22"/>
        <v>11877049.276116967</v>
      </c>
      <c r="AB360" s="354">
        <f>+paraméterek!$B$346</f>
        <v>6.4600000000000005E-2</v>
      </c>
      <c r="AC360" s="302">
        <f t="shared" si="9"/>
        <v>24858.571825152729</v>
      </c>
      <c r="AD360" s="302">
        <f t="shared" si="25"/>
        <v>64961.82526542298</v>
      </c>
      <c r="AE360" s="302">
        <f t="shared" si="23"/>
        <v>89820.397090575716</v>
      </c>
      <c r="AF360" s="478">
        <f t="shared" si="10"/>
        <v>89820.397090575716</v>
      </c>
      <c r="AI360" s="543">
        <f t="shared" si="24"/>
        <v>146437.06756264935</v>
      </c>
      <c r="AJ360" s="543"/>
      <c r="AK360" s="300"/>
      <c r="AL360" s="543"/>
      <c r="AM360" s="10"/>
    </row>
    <row r="361" spans="1:40" s="11" customFormat="1" ht="13.8" hidden="1" x14ac:dyDescent="0.25">
      <c r="A361" s="11">
        <v>6</v>
      </c>
      <c r="B361" s="11">
        <f t="shared" si="11"/>
        <v>1</v>
      </c>
      <c r="C361" s="354">
        <f t="shared" si="1"/>
        <v>0</v>
      </c>
      <c r="D361" s="300">
        <f t="shared" si="3"/>
        <v>11780298.177244145</v>
      </c>
      <c r="E361" s="354">
        <f t="shared" si="12"/>
        <v>0.13400000000000001</v>
      </c>
      <c r="F361" s="354">
        <f t="shared" si="2"/>
        <v>0.03</v>
      </c>
      <c r="H361" s="436">
        <f t="shared" si="4"/>
        <v>36849.10198853258</v>
      </c>
      <c r="I361" s="302">
        <f t="shared" si="5"/>
        <v>0</v>
      </c>
      <c r="K361" s="426">
        <f t="shared" si="13"/>
        <v>66802.287800476508</v>
      </c>
      <c r="L361" s="10">
        <f t="shared" si="14"/>
        <v>66802.287800476508</v>
      </c>
      <c r="M361" s="436">
        <f t="shared" si="15"/>
        <v>66802.287800476508</v>
      </c>
      <c r="N361" s="301">
        <f t="shared" si="16"/>
        <v>29953.185811943935</v>
      </c>
      <c r="O361" s="302">
        <f t="shared" si="6"/>
        <v>66802.287800476508</v>
      </c>
      <c r="P361" s="436">
        <f t="shared" si="7"/>
        <v>0</v>
      </c>
      <c r="Q361" s="11">
        <f t="shared" si="17"/>
        <v>0</v>
      </c>
      <c r="R361" s="426">
        <f t="shared" si="18"/>
        <v>11939708.149349691</v>
      </c>
      <c r="S361" s="354">
        <f>+Hirdetmény!$AA$46</f>
        <v>0.13400000000000001</v>
      </c>
      <c r="T361" s="302">
        <f t="shared" si="8"/>
        <v>10333.572054803546</v>
      </c>
      <c r="U361" s="302">
        <f t="shared" si="19"/>
        <v>135295.4955078458</v>
      </c>
      <c r="V361" s="302">
        <f t="shared" si="20"/>
        <v>145629.06756264935</v>
      </c>
      <c r="W361" s="302">
        <f t="shared" si="21"/>
        <v>145629.06756264935</v>
      </c>
      <c r="AA361" s="10">
        <f t="shared" si="22"/>
        <v>11852055.023674902</v>
      </c>
      <c r="AB361" s="354">
        <f>+paraméterek!$B$346</f>
        <v>6.4600000000000005E-2</v>
      </c>
      <c r="AC361" s="302">
        <f t="shared" si="9"/>
        <v>24994.252442065994</v>
      </c>
      <c r="AD361" s="302">
        <f t="shared" si="25"/>
        <v>64826.144648509711</v>
      </c>
      <c r="AE361" s="302">
        <f t="shared" si="23"/>
        <v>89820.397090575701</v>
      </c>
      <c r="AF361" s="478">
        <f t="shared" si="10"/>
        <v>89820.397090575701</v>
      </c>
      <c r="AI361" s="543">
        <f t="shared" si="24"/>
        <v>146437.06756264935</v>
      </c>
      <c r="AJ361" s="543"/>
      <c r="AK361" s="300"/>
      <c r="AL361" s="543"/>
      <c r="AM361" s="10"/>
    </row>
    <row r="362" spans="1:40" s="11" customFormat="1" ht="13.8" hidden="1" x14ac:dyDescent="0.25">
      <c r="A362" s="11">
        <v>7</v>
      </c>
      <c r="B362" s="11">
        <f t="shared" si="11"/>
        <v>1</v>
      </c>
      <c r="C362" s="354">
        <f t="shared" si="1"/>
        <v>0</v>
      </c>
      <c r="D362" s="300">
        <f t="shared" si="3"/>
        <v>11743355.673017934</v>
      </c>
      <c r="E362" s="354">
        <f t="shared" si="12"/>
        <v>0.13400000000000001</v>
      </c>
      <c r="F362" s="354">
        <f t="shared" si="2"/>
        <v>0.03</v>
      </c>
      <c r="H362" s="436">
        <f t="shared" si="4"/>
        <v>36942.504226211844</v>
      </c>
      <c r="I362" s="302">
        <f t="shared" si="5"/>
        <v>0</v>
      </c>
      <c r="K362" s="426">
        <f t="shared" si="13"/>
        <v>66802.287800476523</v>
      </c>
      <c r="L362" s="10">
        <f t="shared" si="14"/>
        <v>66802.287800476523</v>
      </c>
      <c r="M362" s="436">
        <f t="shared" si="15"/>
        <v>66802.287800476523</v>
      </c>
      <c r="N362" s="301">
        <f t="shared" si="16"/>
        <v>29859.783574264678</v>
      </c>
      <c r="O362" s="302">
        <f t="shared" si="6"/>
        <v>66802.287800476508</v>
      </c>
      <c r="P362" s="436">
        <f t="shared" si="7"/>
        <v>0</v>
      </c>
      <c r="Q362" s="11">
        <f t="shared" si="17"/>
        <v>0</v>
      </c>
      <c r="R362" s="426">
        <f t="shared" si="18"/>
        <v>11929257.583079794</v>
      </c>
      <c r="S362" s="354">
        <f>+Hirdetmény!$AA$46</f>
        <v>0.13400000000000001</v>
      </c>
      <c r="T362" s="302">
        <f t="shared" si="8"/>
        <v>10450.566269896242</v>
      </c>
      <c r="U362" s="302">
        <f t="shared" si="19"/>
        <v>135178.50129275309</v>
      </c>
      <c r="V362" s="302">
        <f t="shared" si="20"/>
        <v>145629.06756264935</v>
      </c>
      <c r="W362" s="302">
        <f t="shared" si="21"/>
        <v>145629.06756264935</v>
      </c>
      <c r="AA362" s="10">
        <f t="shared" si="22"/>
        <v>11826924.350057296</v>
      </c>
      <c r="AB362" s="354">
        <f>+paraméterek!$B$346</f>
        <v>6.4600000000000005E-2</v>
      </c>
      <c r="AC362" s="302">
        <f t="shared" si="9"/>
        <v>25130.67361760568</v>
      </c>
      <c r="AD362" s="302">
        <f t="shared" si="25"/>
        <v>64689.723472970036</v>
      </c>
      <c r="AE362" s="302">
        <f t="shared" si="23"/>
        <v>89820.397090575716</v>
      </c>
      <c r="AF362" s="478">
        <f t="shared" si="10"/>
        <v>89820.397090575716</v>
      </c>
      <c r="AI362" s="543">
        <f t="shared" si="24"/>
        <v>146437.06756264935</v>
      </c>
      <c r="AJ362" s="543"/>
      <c r="AK362" s="300"/>
      <c r="AL362" s="543"/>
      <c r="AM362" s="10"/>
    </row>
    <row r="363" spans="1:40" s="11" customFormat="1" ht="13.8" hidden="1" x14ac:dyDescent="0.25">
      <c r="A363" s="11">
        <v>8</v>
      </c>
      <c r="B363" s="11">
        <f t="shared" si="11"/>
        <v>1</v>
      </c>
      <c r="C363" s="354">
        <f t="shared" si="1"/>
        <v>0</v>
      </c>
      <c r="D363" s="300">
        <f t="shared" si="3"/>
        <v>11706319.529805316</v>
      </c>
      <c r="E363" s="354">
        <f t="shared" si="12"/>
        <v>0.13400000000000001</v>
      </c>
      <c r="F363" s="354">
        <f t="shared" si="2"/>
        <v>0.03</v>
      </c>
      <c r="H363" s="436">
        <f t="shared" si="4"/>
        <v>37036.143212618561</v>
      </c>
      <c r="I363" s="302">
        <f t="shared" si="5"/>
        <v>0</v>
      </c>
      <c r="K363" s="426">
        <f t="shared" si="13"/>
        <v>66802.287800476523</v>
      </c>
      <c r="L363" s="10">
        <f t="shared" si="14"/>
        <v>66802.287800476523</v>
      </c>
      <c r="M363" s="436">
        <f t="shared" si="15"/>
        <v>66802.287800476523</v>
      </c>
      <c r="N363" s="301">
        <f t="shared" si="16"/>
        <v>29766.144587857958</v>
      </c>
      <c r="O363" s="302">
        <f t="shared" si="6"/>
        <v>66802.287800476508</v>
      </c>
      <c r="P363" s="436">
        <f t="shared" si="7"/>
        <v>0</v>
      </c>
      <c r="Q363" s="11">
        <f t="shared" si="17"/>
        <v>0</v>
      </c>
      <c r="R363" s="426">
        <f t="shared" si="18"/>
        <v>11918688.698014468</v>
      </c>
      <c r="S363" s="354">
        <f>+Hirdetmény!$AA$46</f>
        <v>0.13400000000000001</v>
      </c>
      <c r="T363" s="302">
        <f t="shared" si="8"/>
        <v>10568.885065326938</v>
      </c>
      <c r="U363" s="302">
        <f t="shared" si="19"/>
        <v>135060.18249732241</v>
      </c>
      <c r="V363" s="302">
        <f t="shared" si="20"/>
        <v>145629.06756264935</v>
      </c>
      <c r="W363" s="302">
        <f t="shared" si="21"/>
        <v>145629.06756264935</v>
      </c>
      <c r="AA363" s="10">
        <f t="shared" si="22"/>
        <v>11801656.51066348</v>
      </c>
      <c r="AB363" s="354">
        <f>+paraméterek!$B$346</f>
        <v>6.4600000000000005E-2</v>
      </c>
      <c r="AC363" s="302">
        <f t="shared" si="9"/>
        <v>25267.83939381623</v>
      </c>
      <c r="AD363" s="302">
        <f t="shared" si="25"/>
        <v>64552.557696759497</v>
      </c>
      <c r="AE363" s="302">
        <f t="shared" si="23"/>
        <v>89820.397090575731</v>
      </c>
      <c r="AF363" s="478">
        <f t="shared" si="10"/>
        <v>89820.397090575731</v>
      </c>
      <c r="AI363" s="543">
        <f t="shared" si="24"/>
        <v>146437.06756264935</v>
      </c>
      <c r="AJ363" s="543"/>
      <c r="AK363" s="300"/>
      <c r="AL363" s="543"/>
      <c r="AM363" s="10"/>
    </row>
    <row r="364" spans="1:40" s="11" customFormat="1" ht="13.8" hidden="1" x14ac:dyDescent="0.25">
      <c r="A364" s="11">
        <v>9</v>
      </c>
      <c r="B364" s="11">
        <f t="shared" si="11"/>
        <v>1</v>
      </c>
      <c r="C364" s="354">
        <f t="shared" si="1"/>
        <v>0</v>
      </c>
      <c r="D364" s="300">
        <f t="shared" si="3"/>
        <v>11669189.510257471</v>
      </c>
      <c r="E364" s="354">
        <f t="shared" si="12"/>
        <v>0.13400000000000001</v>
      </c>
      <c r="F364" s="354">
        <f t="shared" si="2"/>
        <v>0.03</v>
      </c>
      <c r="H364" s="436">
        <f t="shared" si="4"/>
        <v>37130.01954784499</v>
      </c>
      <c r="I364" s="302">
        <f t="shared" si="5"/>
        <v>0</v>
      </c>
      <c r="K364" s="426">
        <f t="shared" si="13"/>
        <v>66802.287800476523</v>
      </c>
      <c r="L364" s="10">
        <f t="shared" si="14"/>
        <v>66802.287800476523</v>
      </c>
      <c r="M364" s="436">
        <f t="shared" si="15"/>
        <v>66802.287800476523</v>
      </c>
      <c r="N364" s="301">
        <f t="shared" si="16"/>
        <v>29672.268252631529</v>
      </c>
      <c r="O364" s="302">
        <f t="shared" si="6"/>
        <v>66802.287800476508</v>
      </c>
      <c r="P364" s="436">
        <f t="shared" si="7"/>
        <v>0</v>
      </c>
      <c r="Q364" s="11">
        <f t="shared" si="17"/>
        <v>0</v>
      </c>
      <c r="R364" s="426">
        <f t="shared" si="18"/>
        <v>11908000.154576793</v>
      </c>
      <c r="S364" s="354">
        <f>+Hirdetmény!$AA$46</f>
        <v>0.13400000000000001</v>
      </c>
      <c r="T364" s="302">
        <f t="shared" si="8"/>
        <v>10688.543437675353</v>
      </c>
      <c r="U364" s="302">
        <f t="shared" si="19"/>
        <v>134940.52412497401</v>
      </c>
      <c r="V364" s="302">
        <f t="shared" si="20"/>
        <v>145629.06756264935</v>
      </c>
      <c r="W364" s="302">
        <f t="shared" si="21"/>
        <v>145629.06756264935</v>
      </c>
      <c r="AA364" s="10">
        <f t="shared" si="22"/>
        <v>11776250.756828675</v>
      </c>
      <c r="AB364" s="354">
        <f>+paraméterek!$B$346</f>
        <v>6.4600000000000005E-2</v>
      </c>
      <c r="AC364" s="302">
        <f t="shared" si="9"/>
        <v>25405.753834803902</v>
      </c>
      <c r="AD364" s="302">
        <f t="shared" si="25"/>
        <v>64414.643255771807</v>
      </c>
      <c r="AE364" s="302">
        <f t="shared" si="23"/>
        <v>89820.397090575716</v>
      </c>
      <c r="AF364" s="478">
        <f t="shared" si="10"/>
        <v>89820.397090575716</v>
      </c>
      <c r="AI364" s="543">
        <f t="shared" si="24"/>
        <v>146437.06756264935</v>
      </c>
      <c r="AJ364" s="543"/>
      <c r="AK364" s="300"/>
      <c r="AL364" s="543"/>
      <c r="AM364" s="10"/>
    </row>
    <row r="365" spans="1:40" s="11" customFormat="1" ht="13.8" hidden="1" x14ac:dyDescent="0.25">
      <c r="A365" s="11">
        <v>10</v>
      </c>
      <c r="B365" s="11">
        <f t="shared" si="11"/>
        <v>1</v>
      </c>
      <c r="C365" s="354">
        <f t="shared" si="1"/>
        <v>0</v>
      </c>
      <c r="D365" s="300">
        <f t="shared" si="3"/>
        <v>11631965.376423966</v>
      </c>
      <c r="E365" s="354">
        <f t="shared" si="12"/>
        <v>0.13400000000000001</v>
      </c>
      <c r="F365" s="354">
        <f t="shared" si="2"/>
        <v>0.03</v>
      </c>
      <c r="H365" s="436">
        <f t="shared" si="4"/>
        <v>37224.133833504464</v>
      </c>
      <c r="I365" s="302">
        <f t="shared" si="5"/>
        <v>0</v>
      </c>
      <c r="K365" s="426">
        <f t="shared" si="13"/>
        <v>66802.287800476523</v>
      </c>
      <c r="L365" s="10">
        <f t="shared" si="14"/>
        <v>66802.287800476523</v>
      </c>
      <c r="M365" s="436">
        <f t="shared" si="15"/>
        <v>66802.287800476523</v>
      </c>
      <c r="N365" s="301">
        <f t="shared" si="16"/>
        <v>29578.153966972059</v>
      </c>
      <c r="O365" s="302">
        <f t="shared" si="6"/>
        <v>66802.287800476508</v>
      </c>
      <c r="P365" s="436">
        <f t="shared" si="7"/>
        <v>0</v>
      </c>
      <c r="Q365" s="11">
        <f t="shared" si="17"/>
        <v>0</v>
      </c>
      <c r="R365" s="426">
        <f t="shared" si="18"/>
        <v>11897190.598023485</v>
      </c>
      <c r="S365" s="354">
        <f>+Hirdetmény!$AA$46</f>
        <v>0.13400000000000001</v>
      </c>
      <c r="T365" s="302">
        <f t="shared" si="8"/>
        <v>10809.556553308852</v>
      </c>
      <c r="U365" s="302">
        <f t="shared" si="19"/>
        <v>134819.51100934052</v>
      </c>
      <c r="V365" s="302">
        <f t="shared" si="20"/>
        <v>145629.06756264938</v>
      </c>
      <c r="W365" s="302">
        <f t="shared" si="21"/>
        <v>145629.06756264938</v>
      </c>
      <c r="AA365" s="10">
        <f t="shared" si="22"/>
        <v>11750706.335801817</v>
      </c>
      <c r="AB365" s="354">
        <f>+paraméterek!$B$346</f>
        <v>6.4600000000000005E-2</v>
      </c>
      <c r="AC365" s="302">
        <f t="shared" si="9"/>
        <v>25544.421026857333</v>
      </c>
      <c r="AD365" s="302">
        <f t="shared" si="25"/>
        <v>64275.976063718364</v>
      </c>
      <c r="AE365" s="302">
        <f t="shared" si="23"/>
        <v>89820.397090575701</v>
      </c>
      <c r="AF365" s="478">
        <f t="shared" si="10"/>
        <v>89820.397090575701</v>
      </c>
      <c r="AI365" s="543">
        <f t="shared" si="24"/>
        <v>146437.06756264938</v>
      </c>
      <c r="AJ365" s="543"/>
      <c r="AK365" s="300"/>
      <c r="AL365" s="543"/>
      <c r="AM365" s="10"/>
    </row>
    <row r="366" spans="1:40" s="11" customFormat="1" ht="13.8" hidden="1" x14ac:dyDescent="0.25">
      <c r="A366" s="11">
        <v>11</v>
      </c>
      <c r="B366" s="11">
        <f t="shared" si="11"/>
        <v>1</v>
      </c>
      <c r="C366" s="354">
        <f t="shared" si="1"/>
        <v>0</v>
      </c>
      <c r="D366" s="300">
        <f t="shared" si="3"/>
        <v>11594646.889751231</v>
      </c>
      <c r="E366" s="354">
        <f t="shared" si="12"/>
        <v>0.13400000000000001</v>
      </c>
      <c r="F366" s="354">
        <f t="shared" si="2"/>
        <v>0.03</v>
      </c>
      <c r="H366" s="436">
        <f t="shared" si="4"/>
        <v>37318.48667273522</v>
      </c>
      <c r="I366" s="302">
        <f t="shared" si="5"/>
        <v>0</v>
      </c>
      <c r="K366" s="426">
        <f t="shared" si="13"/>
        <v>66802.287800476523</v>
      </c>
      <c r="L366" s="10">
        <f t="shared" si="14"/>
        <v>66802.287800476523</v>
      </c>
      <c r="M366" s="436">
        <f t="shared" si="15"/>
        <v>66802.287800476523</v>
      </c>
      <c r="N366" s="301">
        <f t="shared" si="16"/>
        <v>29483.801127741299</v>
      </c>
      <c r="O366" s="302">
        <f t="shared" si="6"/>
        <v>66802.287800476508</v>
      </c>
      <c r="P366" s="436">
        <f t="shared" si="7"/>
        <v>0</v>
      </c>
      <c r="Q366" s="11">
        <f t="shared" si="17"/>
        <v>0</v>
      </c>
      <c r="R366" s="426">
        <f t="shared" si="18"/>
        <v>11886258.658273181</v>
      </c>
      <c r="S366" s="354">
        <f>+Hirdetmény!$AA$46</f>
        <v>0.13400000000000001</v>
      </c>
      <c r="T366" s="302">
        <f t="shared" si="8"/>
        <v>10931.939750304762</v>
      </c>
      <c r="U366" s="302">
        <f t="shared" si="19"/>
        <v>134697.12781234461</v>
      </c>
      <c r="V366" s="302">
        <f t="shared" si="20"/>
        <v>145629.06756264938</v>
      </c>
      <c r="W366" s="302">
        <f t="shared" si="21"/>
        <v>145629.06756264938</v>
      </c>
      <c r="AA366" s="10">
        <f t="shared" si="22"/>
        <v>11725022.490723249</v>
      </c>
      <c r="AB366" s="354">
        <f>+paraméterek!$B$346</f>
        <v>6.4600000000000005E-2</v>
      </c>
      <c r="AC366" s="302">
        <f t="shared" si="9"/>
        <v>25683.845078568509</v>
      </c>
      <c r="AD366" s="302">
        <f t="shared" si="25"/>
        <v>64136.552012007196</v>
      </c>
      <c r="AE366" s="302">
        <f t="shared" si="23"/>
        <v>89820.397090575701</v>
      </c>
      <c r="AF366" s="478">
        <f t="shared" si="10"/>
        <v>89820.397090575701</v>
      </c>
      <c r="AI366" s="543">
        <f t="shared" si="24"/>
        <v>146437.06756264938</v>
      </c>
      <c r="AJ366" s="543"/>
      <c r="AK366" s="300"/>
      <c r="AL366" s="543"/>
      <c r="AM366" s="10"/>
    </row>
    <row r="367" spans="1:40" s="11" customFormat="1" ht="13.8" hidden="1" x14ac:dyDescent="0.25">
      <c r="A367" s="11">
        <v>12</v>
      </c>
      <c r="B367" s="11">
        <f t="shared" si="11"/>
        <v>1</v>
      </c>
      <c r="C367" s="354">
        <f t="shared" si="1"/>
        <v>0</v>
      </c>
      <c r="D367" s="300">
        <f t="shared" si="3"/>
        <v>11557233.811081028</v>
      </c>
      <c r="E367" s="354">
        <f t="shared" si="12"/>
        <v>0.13400000000000001</v>
      </c>
      <c r="F367" s="354">
        <f t="shared" si="2"/>
        <v>0.03</v>
      </c>
      <c r="H367" s="436">
        <f t="shared" si="4"/>
        <v>37413.078670204304</v>
      </c>
      <c r="I367" s="302">
        <f t="shared" si="5"/>
        <v>0</v>
      </c>
      <c r="K367" s="426">
        <f t="shared" si="13"/>
        <v>66802.287800476523</v>
      </c>
      <c r="L367" s="10">
        <f t="shared" si="14"/>
        <v>66802.287800476523</v>
      </c>
      <c r="M367" s="436">
        <f t="shared" si="15"/>
        <v>66802.287800476523</v>
      </c>
      <c r="N367" s="301">
        <f t="shared" si="16"/>
        <v>29389.209130272218</v>
      </c>
      <c r="O367" s="302">
        <f t="shared" si="6"/>
        <v>66802.287800476508</v>
      </c>
      <c r="P367" s="436">
        <f t="shared" si="7"/>
        <v>0</v>
      </c>
      <c r="Q367" s="11">
        <f t="shared" si="17"/>
        <v>0</v>
      </c>
      <c r="R367" s="426">
        <f t="shared" si="18"/>
        <v>11875202.949732786</v>
      </c>
      <c r="S367" s="354">
        <f>+Hirdetmény!$AA$46</f>
        <v>0.13400000000000001</v>
      </c>
      <c r="T367" s="302">
        <f t="shared" si="8"/>
        <v>11055.70854039444</v>
      </c>
      <c r="U367" s="302">
        <f t="shared" si="19"/>
        <v>134573.35902225494</v>
      </c>
      <c r="V367" s="302">
        <f t="shared" si="20"/>
        <v>145629.06756264938</v>
      </c>
      <c r="W367" s="302">
        <f t="shared" si="21"/>
        <v>145629.06756264938</v>
      </c>
      <c r="AA367" s="10">
        <f t="shared" si="22"/>
        <v>11699198.460602295</v>
      </c>
      <c r="AB367" s="354">
        <f>+paraméterek!$B$346</f>
        <v>6.4600000000000005E-2</v>
      </c>
      <c r="AC367" s="302">
        <f t="shared" si="9"/>
        <v>25824.030120954518</v>
      </c>
      <c r="AD367" s="302">
        <f t="shared" si="25"/>
        <v>63996.366969621187</v>
      </c>
      <c r="AE367" s="302">
        <f t="shared" si="23"/>
        <v>89820.397090575701</v>
      </c>
      <c r="AF367" s="478">
        <f t="shared" si="10"/>
        <v>89820.397090575701</v>
      </c>
      <c r="AI367" s="543">
        <f t="shared" si="24"/>
        <v>146437.06756264938</v>
      </c>
      <c r="AJ367" s="543"/>
      <c r="AK367" s="300"/>
      <c r="AL367" s="543"/>
      <c r="AM367" s="10"/>
    </row>
    <row r="368" spans="1:40" s="11" customFormat="1" ht="13.8" hidden="1" x14ac:dyDescent="0.25">
      <c r="A368" s="11">
        <v>13</v>
      </c>
      <c r="B368" s="11">
        <f t="shared" si="11"/>
        <v>2</v>
      </c>
      <c r="C368" s="354">
        <f t="shared" si="1"/>
        <v>0</v>
      </c>
      <c r="D368" s="300">
        <f t="shared" si="3"/>
        <v>11519725.900648916</v>
      </c>
      <c r="E368" s="354">
        <f t="shared" si="12"/>
        <v>0.13400000000000001</v>
      </c>
      <c r="F368" s="354">
        <f t="shared" si="2"/>
        <v>0.03</v>
      </c>
      <c r="H368" s="436">
        <f t="shared" si="4"/>
        <v>37507.910432111421</v>
      </c>
      <c r="I368" s="302">
        <f t="shared" si="5"/>
        <v>0</v>
      </c>
      <c r="K368" s="426">
        <f t="shared" si="13"/>
        <v>66802.287800476523</v>
      </c>
      <c r="L368" s="10">
        <f t="shared" si="14"/>
        <v>66802.287800476523</v>
      </c>
      <c r="M368" s="436">
        <f t="shared" si="15"/>
        <v>66802.287800476523</v>
      </c>
      <c r="N368" s="301">
        <f t="shared" si="16"/>
        <v>29294.377368365102</v>
      </c>
      <c r="O368" s="302">
        <f t="shared" si="6"/>
        <v>66802.287800476508</v>
      </c>
      <c r="P368" s="436">
        <f t="shared" si="7"/>
        <v>0</v>
      </c>
      <c r="Q368" s="11">
        <f t="shared" si="17"/>
        <v>0</v>
      </c>
      <c r="R368" s="426">
        <f t="shared" si="18"/>
        <v>11864022.071121857</v>
      </c>
      <c r="S368" s="354">
        <f>+Hirdetmény!$AA$46</f>
        <v>0.13400000000000001</v>
      </c>
      <c r="T368" s="302">
        <f t="shared" si="8"/>
        <v>11180.87861092932</v>
      </c>
      <c r="U368" s="302">
        <f t="shared" si="19"/>
        <v>134448.18895172005</v>
      </c>
      <c r="V368" s="302">
        <f t="shared" si="20"/>
        <v>145629.06756264938</v>
      </c>
      <c r="W368" s="302">
        <f t="shared" si="21"/>
        <v>145629.06756264938</v>
      </c>
      <c r="AA368" s="10">
        <f t="shared" si="22"/>
        <v>11673233.480294714</v>
      </c>
      <c r="AB368" s="354">
        <f>+paraméterek!$B$346</f>
        <v>6.4600000000000005E-2</v>
      </c>
      <c r="AC368" s="302">
        <f t="shared" si="9"/>
        <v>25964.980307579979</v>
      </c>
      <c r="AD368" s="302">
        <f t="shared" si="25"/>
        <v>63855.416782995722</v>
      </c>
      <c r="AE368" s="302">
        <f t="shared" si="23"/>
        <v>89820.397090575701</v>
      </c>
      <c r="AF368" s="478">
        <f t="shared" si="10"/>
        <v>89820.397090575701</v>
      </c>
      <c r="AI368" s="543">
        <f t="shared" si="24"/>
        <v>146437.06756264938</v>
      </c>
      <c r="AJ368" s="543"/>
      <c r="AK368" s="300"/>
      <c r="AL368" s="543"/>
      <c r="AM368" s="10"/>
    </row>
    <row r="369" spans="1:39" s="11" customFormat="1" ht="13.8" hidden="1" x14ac:dyDescent="0.25">
      <c r="A369" s="11">
        <v>14</v>
      </c>
      <c r="B369" s="11">
        <f t="shared" si="11"/>
        <v>2</v>
      </c>
      <c r="C369" s="354">
        <f t="shared" si="1"/>
        <v>0</v>
      </c>
      <c r="D369" s="300">
        <f t="shared" si="3"/>
        <v>11482122.918082723</v>
      </c>
      <c r="E369" s="354">
        <f t="shared" si="12"/>
        <v>0.13400000000000001</v>
      </c>
      <c r="F369" s="354">
        <f t="shared" si="2"/>
        <v>0.03</v>
      </c>
      <c r="H369" s="436">
        <f t="shared" si="4"/>
        <v>37602.982566192812</v>
      </c>
      <c r="I369" s="302">
        <f t="shared" si="5"/>
        <v>0</v>
      </c>
      <c r="K369" s="426">
        <f t="shared" si="13"/>
        <v>66802.287800476523</v>
      </c>
      <c r="L369" s="10">
        <f t="shared" si="14"/>
        <v>66802.287800476523</v>
      </c>
      <c r="M369" s="436">
        <f t="shared" si="15"/>
        <v>66802.287800476523</v>
      </c>
      <c r="N369" s="301">
        <f t="shared" si="16"/>
        <v>29199.305234283715</v>
      </c>
      <c r="O369" s="302">
        <f t="shared" si="6"/>
        <v>66802.287800476508</v>
      </c>
      <c r="P369" s="436">
        <f t="shared" si="7"/>
        <v>0</v>
      </c>
      <c r="Q369" s="11">
        <f t="shared" si="17"/>
        <v>0</v>
      </c>
      <c r="R369" s="426">
        <f t="shared" si="18"/>
        <v>11852714.605294988</v>
      </c>
      <c r="S369" s="354">
        <f>+Hirdetmény!$AA$46</f>
        <v>0.13400000000000001</v>
      </c>
      <c r="T369" s="302">
        <f t="shared" si="8"/>
        <v>11307.465826869266</v>
      </c>
      <c r="U369" s="302">
        <f t="shared" si="19"/>
        <v>134321.6017357801</v>
      </c>
      <c r="V369" s="302">
        <f t="shared" si="20"/>
        <v>145629.06756264938</v>
      </c>
      <c r="W369" s="302">
        <f t="shared" si="21"/>
        <v>145629.06756264938</v>
      </c>
      <c r="AA369" s="10">
        <f t="shared" si="22"/>
        <v>11647126.780480033</v>
      </c>
      <c r="AB369" s="354">
        <f>+paraméterek!$B$346</f>
        <v>6.4600000000000005E-2</v>
      </c>
      <c r="AC369" s="302">
        <f t="shared" si="9"/>
        <v>26106.699814680083</v>
      </c>
      <c r="AD369" s="302">
        <f t="shared" si="25"/>
        <v>63713.697275895625</v>
      </c>
      <c r="AE369" s="302">
        <f t="shared" si="23"/>
        <v>89820.397090575716</v>
      </c>
      <c r="AF369" s="478">
        <f t="shared" si="10"/>
        <v>89820.397090575716</v>
      </c>
      <c r="AI369" s="543">
        <f t="shared" si="24"/>
        <v>146437.06756264938</v>
      </c>
      <c r="AJ369" s="543"/>
      <c r="AK369" s="300"/>
      <c r="AL369" s="543"/>
      <c r="AM369" s="10"/>
    </row>
    <row r="370" spans="1:39" s="11" customFormat="1" ht="13.8" hidden="1" x14ac:dyDescent="0.25">
      <c r="A370" s="11">
        <v>15</v>
      </c>
      <c r="B370" s="11">
        <f t="shared" si="11"/>
        <v>2</v>
      </c>
      <c r="C370" s="354">
        <f t="shared" si="1"/>
        <v>0</v>
      </c>
      <c r="D370" s="300">
        <f t="shared" si="3"/>
        <v>11444424.622400999</v>
      </c>
      <c r="E370" s="354">
        <f t="shared" si="12"/>
        <v>0.13400000000000001</v>
      </c>
      <c r="F370" s="354">
        <f t="shared" si="2"/>
        <v>0.03</v>
      </c>
      <c r="H370" s="436">
        <f t="shared" si="4"/>
        <v>37698.295681725176</v>
      </c>
      <c r="I370" s="302">
        <f t="shared" si="5"/>
        <v>0</v>
      </c>
      <c r="K370" s="426">
        <f t="shared" si="13"/>
        <v>66802.287800476523</v>
      </c>
      <c r="L370" s="10">
        <f t="shared" si="14"/>
        <v>66802.287800476523</v>
      </c>
      <c r="M370" s="436">
        <f t="shared" si="15"/>
        <v>66802.287800476523</v>
      </c>
      <c r="N370" s="301">
        <f t="shared" si="16"/>
        <v>29103.992118751346</v>
      </c>
      <c r="O370" s="302">
        <f t="shared" si="6"/>
        <v>66802.287800476508</v>
      </c>
      <c r="P370" s="436">
        <f t="shared" si="7"/>
        <v>0</v>
      </c>
      <c r="Q370" s="11">
        <f t="shared" si="17"/>
        <v>0</v>
      </c>
      <c r="R370" s="426">
        <f t="shared" si="18"/>
        <v>11841279.119062195</v>
      </c>
      <c r="S370" s="354">
        <f>+Hirdetmény!$AA$46</f>
        <v>0.13400000000000001</v>
      </c>
      <c r="T370" s="302">
        <f t="shared" si="8"/>
        <v>11435.486232793375</v>
      </c>
      <c r="U370" s="302">
        <f t="shared" si="19"/>
        <v>134193.58132985598</v>
      </c>
      <c r="V370" s="302">
        <f t="shared" si="20"/>
        <v>145629.06756264935</v>
      </c>
      <c r="W370" s="302">
        <f t="shared" si="21"/>
        <v>145629.06756264935</v>
      </c>
      <c r="AA370" s="10">
        <f t="shared" si="22"/>
        <v>11620877.587638749</v>
      </c>
      <c r="AB370" s="354">
        <f>+paraméterek!$B$346</f>
        <v>6.4600000000000005E-2</v>
      </c>
      <c r="AC370" s="302">
        <f t="shared" si="9"/>
        <v>26249.192841284323</v>
      </c>
      <c r="AD370" s="302">
        <f t="shared" si="25"/>
        <v>63571.204249291375</v>
      </c>
      <c r="AE370" s="302">
        <f t="shared" si="23"/>
        <v>89820.397090575701</v>
      </c>
      <c r="AF370" s="478">
        <f t="shared" si="10"/>
        <v>89820.397090575701</v>
      </c>
      <c r="AI370" s="543">
        <f t="shared" si="24"/>
        <v>146437.06756264935</v>
      </c>
      <c r="AJ370" s="543"/>
      <c r="AK370" s="300"/>
      <c r="AL370" s="543"/>
      <c r="AM370" s="10"/>
    </row>
    <row r="371" spans="1:39" s="11" customFormat="1" ht="13.8" hidden="1" x14ac:dyDescent="0.25">
      <c r="A371" s="11">
        <v>16</v>
      </c>
      <c r="B371" s="11">
        <f t="shared" si="11"/>
        <v>2</v>
      </c>
      <c r="C371" s="354">
        <f t="shared" si="1"/>
        <v>0</v>
      </c>
      <c r="D371" s="300">
        <f t="shared" si="3"/>
        <v>11406630.77201147</v>
      </c>
      <c r="E371" s="354">
        <f t="shared" si="12"/>
        <v>0.13400000000000001</v>
      </c>
      <c r="F371" s="354">
        <f t="shared" si="2"/>
        <v>0.03</v>
      </c>
      <c r="H371" s="436">
        <f t="shared" si="4"/>
        <v>37793.850389529536</v>
      </c>
      <c r="I371" s="302">
        <f t="shared" si="5"/>
        <v>0</v>
      </c>
      <c r="K371" s="426">
        <f t="shared" si="13"/>
        <v>66802.287800476508</v>
      </c>
      <c r="L371" s="10">
        <f t="shared" si="14"/>
        <v>66802.287800476508</v>
      </c>
      <c r="M371" s="436">
        <f t="shared" si="15"/>
        <v>66802.287800476508</v>
      </c>
      <c r="N371" s="301">
        <f t="shared" si="16"/>
        <v>29008.437410946979</v>
      </c>
      <c r="O371" s="302">
        <f t="shared" si="6"/>
        <v>66802.287800476508</v>
      </c>
      <c r="P371" s="436">
        <f t="shared" si="7"/>
        <v>0</v>
      </c>
      <c r="Q371" s="11">
        <f t="shared" si="17"/>
        <v>0</v>
      </c>
      <c r="R371" s="426">
        <f t="shared" si="18"/>
        <v>11829714.163007261</v>
      </c>
      <c r="S371" s="354">
        <f>+Hirdetmény!$AA$46</f>
        <v>0.13400000000000001</v>
      </c>
      <c r="T371" s="302">
        <f t="shared" si="8"/>
        <v>11564.95605493364</v>
      </c>
      <c r="U371" s="302">
        <f t="shared" si="19"/>
        <v>134064.11150771574</v>
      </c>
      <c r="V371" s="302">
        <f t="shared" si="20"/>
        <v>145629.06756264938</v>
      </c>
      <c r="W371" s="302">
        <f t="shared" si="21"/>
        <v>145629.06756264938</v>
      </c>
      <c r="AA371" s="10">
        <f t="shared" si="22"/>
        <v>11594485.124029407</v>
      </c>
      <c r="AB371" s="354">
        <f>+paraméterek!$B$346</f>
        <v>6.4600000000000005E-2</v>
      </c>
      <c r="AC371" s="302">
        <f t="shared" si="9"/>
        <v>26392.463609340954</v>
      </c>
      <c r="AD371" s="302">
        <f t="shared" si="25"/>
        <v>63427.933481234737</v>
      </c>
      <c r="AE371" s="302">
        <f t="shared" si="23"/>
        <v>89820.397090575687</v>
      </c>
      <c r="AF371" s="478">
        <f t="shared" si="10"/>
        <v>89820.397090575687</v>
      </c>
      <c r="AI371" s="543">
        <f t="shared" si="24"/>
        <v>146437.06756264938</v>
      </c>
      <c r="AJ371" s="543"/>
      <c r="AK371" s="300"/>
      <c r="AL371" s="543"/>
      <c r="AM371" s="10"/>
    </row>
    <row r="372" spans="1:39" s="11" customFormat="1" ht="13.8" hidden="1" x14ac:dyDescent="0.25">
      <c r="A372" s="11">
        <v>17</v>
      </c>
      <c r="B372" s="11">
        <f t="shared" si="11"/>
        <v>2</v>
      </c>
      <c r="C372" s="354">
        <f t="shared" si="1"/>
        <v>0</v>
      </c>
      <c r="D372" s="300">
        <f t="shared" si="3"/>
        <v>11368741.124709494</v>
      </c>
      <c r="E372" s="354">
        <f t="shared" si="12"/>
        <v>0.13400000000000001</v>
      </c>
      <c r="F372" s="354">
        <f t="shared" si="2"/>
        <v>0.03</v>
      </c>
      <c r="H372" s="436">
        <f t="shared" si="4"/>
        <v>37889.64730197523</v>
      </c>
      <c r="I372" s="302">
        <f t="shared" si="5"/>
        <v>0</v>
      </c>
      <c r="K372" s="426">
        <f t="shared" si="13"/>
        <v>66802.287800476523</v>
      </c>
      <c r="L372" s="10">
        <f t="shared" si="14"/>
        <v>66802.287800476523</v>
      </c>
      <c r="M372" s="436">
        <f t="shared" si="15"/>
        <v>66802.287800476523</v>
      </c>
      <c r="N372" s="301">
        <f t="shared" si="16"/>
        <v>28912.640498501292</v>
      </c>
      <c r="O372" s="302">
        <f t="shared" si="6"/>
        <v>66802.287800476508</v>
      </c>
      <c r="P372" s="436">
        <f t="shared" si="7"/>
        <v>0</v>
      </c>
      <c r="Q372" s="11">
        <f t="shared" si="17"/>
        <v>0</v>
      </c>
      <c r="R372" s="426">
        <f t="shared" si="18"/>
        <v>11818018.27130403</v>
      </c>
      <c r="S372" s="354">
        <f>+Hirdetmény!$AA$46</f>
        <v>0.13400000000000001</v>
      </c>
      <c r="T372" s="302">
        <f t="shared" si="8"/>
        <v>11695.891703231513</v>
      </c>
      <c r="U372" s="302">
        <f t="shared" si="19"/>
        <v>133933.17585941785</v>
      </c>
      <c r="V372" s="302">
        <f t="shared" si="20"/>
        <v>145629.06756264938</v>
      </c>
      <c r="W372" s="302">
        <f t="shared" si="21"/>
        <v>145629.06756264938</v>
      </c>
      <c r="AA372" s="10">
        <f t="shared" si="22"/>
        <v>11567948.607665565</v>
      </c>
      <c r="AB372" s="354">
        <f>+paraméterek!$B$346</f>
        <v>6.4600000000000005E-2</v>
      </c>
      <c r="AC372" s="302">
        <f t="shared" si="9"/>
        <v>26536.516363842027</v>
      </c>
      <c r="AD372" s="302">
        <f t="shared" si="25"/>
        <v>63283.880726733667</v>
      </c>
      <c r="AE372" s="302">
        <f t="shared" si="23"/>
        <v>89820.397090575687</v>
      </c>
      <c r="AF372" s="478">
        <f t="shared" si="10"/>
        <v>89820.397090575687</v>
      </c>
      <c r="AI372" s="543">
        <f t="shared" si="24"/>
        <v>146437.06756264938</v>
      </c>
      <c r="AJ372" s="543"/>
      <c r="AK372" s="300"/>
      <c r="AL372" s="543"/>
      <c r="AM372" s="10"/>
    </row>
    <row r="373" spans="1:39" s="11" customFormat="1" ht="13.8" hidden="1" x14ac:dyDescent="0.25">
      <c r="A373" s="11">
        <v>18</v>
      </c>
      <c r="B373" s="11">
        <f t="shared" si="11"/>
        <v>2</v>
      </c>
      <c r="C373" s="354">
        <f t="shared" si="1"/>
        <v>0</v>
      </c>
      <c r="D373" s="300">
        <f t="shared" si="3"/>
        <v>11330755.43767651</v>
      </c>
      <c r="E373" s="354">
        <f t="shared" ref="E373:E388" si="26">E372</f>
        <v>0.13400000000000001</v>
      </c>
      <c r="F373" s="354">
        <f t="shared" si="2"/>
        <v>0.03</v>
      </c>
      <c r="H373" s="436">
        <f t="shared" si="4"/>
        <v>37985.687032983711</v>
      </c>
      <c r="I373" s="302">
        <f t="shared" si="5"/>
        <v>0</v>
      </c>
      <c r="K373" s="426">
        <f t="shared" si="13"/>
        <v>66802.287800476523</v>
      </c>
      <c r="L373" s="10">
        <f t="shared" si="14"/>
        <v>66802.287800476523</v>
      </c>
      <c r="M373" s="436">
        <f t="shared" si="15"/>
        <v>66802.287800476523</v>
      </c>
      <c r="N373" s="301">
        <f t="shared" si="16"/>
        <v>28816.600767492815</v>
      </c>
      <c r="O373" s="302">
        <f t="shared" si="6"/>
        <v>66802.287800476508</v>
      </c>
      <c r="P373" s="436">
        <f t="shared" si="7"/>
        <v>0</v>
      </c>
      <c r="Q373" s="11">
        <f t="shared" si="17"/>
        <v>0</v>
      </c>
      <c r="R373" s="426">
        <f t="shared" si="18"/>
        <v>11806189.961530613</v>
      </c>
      <c r="S373" s="354">
        <f>+Hirdetmény!$AA$46</f>
        <v>0.13400000000000001</v>
      </c>
      <c r="T373" s="302">
        <f t="shared" si="8"/>
        <v>11828.309773417866</v>
      </c>
      <c r="U373" s="302">
        <f t="shared" si="19"/>
        <v>133800.75778923155</v>
      </c>
      <c r="V373" s="302">
        <f t="shared" si="20"/>
        <v>145629.0675626494</v>
      </c>
      <c r="W373" s="302">
        <f t="shared" si="21"/>
        <v>145629.0675626494</v>
      </c>
      <c r="AA373" s="10">
        <f t="shared" si="22"/>
        <v>11541267.252292616</v>
      </c>
      <c r="AB373" s="354">
        <f>+paraméterek!$B$346</f>
        <v>6.4600000000000005E-2</v>
      </c>
      <c r="AC373" s="302">
        <f t="shared" si="9"/>
        <v>26681.355372949212</v>
      </c>
      <c r="AD373" s="302">
        <f t="shared" si="25"/>
        <v>63139.041717626475</v>
      </c>
      <c r="AE373" s="302">
        <f t="shared" si="23"/>
        <v>89820.397090575687</v>
      </c>
      <c r="AF373" s="478">
        <f t="shared" si="10"/>
        <v>89820.397090575687</v>
      </c>
      <c r="AI373" s="543">
        <f t="shared" si="24"/>
        <v>146437.0675626494</v>
      </c>
      <c r="AJ373" s="543"/>
      <c r="AK373" s="300"/>
      <c r="AL373" s="543"/>
      <c r="AM373" s="10"/>
    </row>
    <row r="374" spans="1:39" s="11" customFormat="1" ht="13.8" hidden="1" x14ac:dyDescent="0.25">
      <c r="A374" s="11">
        <v>19</v>
      </c>
      <c r="B374" s="11">
        <f t="shared" si="11"/>
        <v>2</v>
      </c>
      <c r="C374" s="354">
        <f t="shared" si="1"/>
        <v>0</v>
      </c>
      <c r="D374" s="300">
        <f t="shared" si="3"/>
        <v>11292673.467478476</v>
      </c>
      <c r="E374" s="354">
        <f t="shared" si="26"/>
        <v>0.13400000000000001</v>
      </c>
      <c r="F374" s="354">
        <f t="shared" si="2"/>
        <v>0.03</v>
      </c>
      <c r="H374" s="436">
        <f t="shared" si="4"/>
        <v>38081.970198032584</v>
      </c>
      <c r="I374" s="302">
        <f t="shared" si="5"/>
        <v>0</v>
      </c>
      <c r="K374" s="426">
        <f t="shared" si="13"/>
        <v>66802.287800476508</v>
      </c>
      <c r="L374" s="10">
        <f t="shared" si="14"/>
        <v>66802.287800476508</v>
      </c>
      <c r="M374" s="436">
        <f t="shared" si="15"/>
        <v>66802.287800476508</v>
      </c>
      <c r="N374" s="301">
        <f t="shared" si="16"/>
        <v>28720.317602443931</v>
      </c>
      <c r="O374" s="302">
        <f t="shared" si="6"/>
        <v>66802.287800476508</v>
      </c>
      <c r="P374" s="436">
        <f t="shared" si="7"/>
        <v>0</v>
      </c>
      <c r="Q374" s="11">
        <f t="shared" si="17"/>
        <v>0</v>
      </c>
      <c r="R374" s="426">
        <f t="shared" si="18"/>
        <v>11794227.734481497</v>
      </c>
      <c r="S374" s="354">
        <f>+Hirdetmény!$AA$46</f>
        <v>0.13400000000000001</v>
      </c>
      <c r="T374" s="302">
        <f t="shared" si="8"/>
        <v>11962.227049116447</v>
      </c>
      <c r="U374" s="302">
        <f t="shared" si="19"/>
        <v>133666.84051353295</v>
      </c>
      <c r="V374" s="302">
        <f t="shared" si="20"/>
        <v>145629.0675626494</v>
      </c>
      <c r="W374" s="302">
        <f t="shared" si="21"/>
        <v>145629.0675626494</v>
      </c>
      <c r="AA374" s="10">
        <f t="shared" si="22"/>
        <v>11514440.267364496</v>
      </c>
      <c r="AB374" s="354">
        <f>+paraméterek!$B$346</f>
        <v>6.4600000000000005E-2</v>
      </c>
      <c r="AC374" s="302">
        <f t="shared" si="9"/>
        <v>26826.984928120226</v>
      </c>
      <c r="AD374" s="302">
        <f t="shared" si="25"/>
        <v>62993.412162455461</v>
      </c>
      <c r="AE374" s="302">
        <f t="shared" si="23"/>
        <v>89820.397090575687</v>
      </c>
      <c r="AF374" s="478">
        <f t="shared" si="10"/>
        <v>89820.397090575687</v>
      </c>
      <c r="AI374" s="543">
        <f t="shared" si="24"/>
        <v>146437.0675626494</v>
      </c>
      <c r="AJ374" s="543"/>
      <c r="AK374" s="300"/>
      <c r="AL374" s="543"/>
      <c r="AM374" s="10"/>
    </row>
    <row r="375" spans="1:39" s="11" customFormat="1" ht="13.8" hidden="1" x14ac:dyDescent="0.25">
      <c r="A375" s="11">
        <v>20</v>
      </c>
      <c r="B375" s="11">
        <f t="shared" si="11"/>
        <v>2</v>
      </c>
      <c r="C375" s="354">
        <f t="shared" si="1"/>
        <v>0</v>
      </c>
      <c r="D375" s="300">
        <f t="shared" si="3"/>
        <v>11254494.970064318</v>
      </c>
      <c r="E375" s="354">
        <f t="shared" si="26"/>
        <v>0.13400000000000001</v>
      </c>
      <c r="F375" s="354">
        <f t="shared" si="2"/>
        <v>0.03</v>
      </c>
      <c r="H375" s="436">
        <f t="shared" si="4"/>
        <v>38178.497414159552</v>
      </c>
      <c r="I375" s="302">
        <f t="shared" si="5"/>
        <v>0</v>
      </c>
      <c r="K375" s="426">
        <f t="shared" si="13"/>
        <v>66802.287800476523</v>
      </c>
      <c r="L375" s="10">
        <f t="shared" si="14"/>
        <v>66802.287800476523</v>
      </c>
      <c r="M375" s="436">
        <f t="shared" si="15"/>
        <v>66802.287800476523</v>
      </c>
      <c r="N375" s="301">
        <f t="shared" si="16"/>
        <v>28623.79038631697</v>
      </c>
      <c r="O375" s="302">
        <f t="shared" si="6"/>
        <v>66802.287800476508</v>
      </c>
      <c r="P375" s="436">
        <f t="shared" si="7"/>
        <v>0</v>
      </c>
      <c r="Q375" s="11">
        <f t="shared" si="17"/>
        <v>0</v>
      </c>
      <c r="R375" s="426">
        <f t="shared" si="18"/>
        <v>11782130.073977526</v>
      </c>
      <c r="S375" s="354">
        <f>+Hirdetmény!$AA$46</f>
        <v>0.13400000000000001</v>
      </c>
      <c r="T375" s="302">
        <f t="shared" si="8"/>
        <v>12097.660503971141</v>
      </c>
      <c r="U375" s="302">
        <f t="shared" si="19"/>
        <v>133531.40705867825</v>
      </c>
      <c r="V375" s="302">
        <f t="shared" si="20"/>
        <v>145629.06756264938</v>
      </c>
      <c r="W375" s="302">
        <f t="shared" si="21"/>
        <v>145629.06756264938</v>
      </c>
      <c r="AA375" s="10">
        <f t="shared" si="22"/>
        <v>11487466.858020261</v>
      </c>
      <c r="AB375" s="354">
        <f>+paraméterek!$B$346</f>
        <v>6.4600000000000005E-2</v>
      </c>
      <c r="AC375" s="302">
        <f t="shared" si="9"/>
        <v>26973.409344235999</v>
      </c>
      <c r="AD375" s="302">
        <f t="shared" si="25"/>
        <v>62846.987746339692</v>
      </c>
      <c r="AE375" s="302">
        <f t="shared" si="23"/>
        <v>89820.397090575687</v>
      </c>
      <c r="AF375" s="478">
        <f t="shared" si="10"/>
        <v>89820.397090575687</v>
      </c>
      <c r="AI375" s="543">
        <f t="shared" si="24"/>
        <v>146437.06756264938</v>
      </c>
      <c r="AJ375" s="543"/>
      <c r="AK375" s="300"/>
      <c r="AL375" s="543"/>
      <c r="AM375" s="10"/>
    </row>
    <row r="376" spans="1:39" s="11" customFormat="1" ht="13.8" hidden="1" x14ac:dyDescent="0.25">
      <c r="A376" s="11">
        <v>21</v>
      </c>
      <c r="B376" s="11">
        <f t="shared" si="11"/>
        <v>2</v>
      </c>
      <c r="C376" s="354">
        <f t="shared" si="1"/>
        <v>0</v>
      </c>
      <c r="D376" s="300">
        <f t="shared" si="3"/>
        <v>11216219.700764352</v>
      </c>
      <c r="E376" s="354">
        <f t="shared" si="26"/>
        <v>0.13400000000000001</v>
      </c>
      <c r="F376" s="354">
        <f t="shared" si="2"/>
        <v>0.03</v>
      </c>
      <c r="H376" s="436">
        <f t="shared" si="4"/>
        <v>38275.269299966269</v>
      </c>
      <c r="I376" s="302">
        <f t="shared" si="5"/>
        <v>0</v>
      </c>
      <c r="K376" s="426">
        <f t="shared" si="13"/>
        <v>66802.287800476523</v>
      </c>
      <c r="L376" s="10">
        <f t="shared" si="14"/>
        <v>66802.287800476523</v>
      </c>
      <c r="M376" s="436">
        <f t="shared" si="15"/>
        <v>66802.287800476523</v>
      </c>
      <c r="N376" s="301">
        <f t="shared" si="16"/>
        <v>28527.01850051025</v>
      </c>
      <c r="O376" s="302">
        <f t="shared" si="6"/>
        <v>66802.287800476508</v>
      </c>
      <c r="P376" s="436">
        <f t="shared" si="7"/>
        <v>0</v>
      </c>
      <c r="Q376" s="11">
        <f t="shared" si="17"/>
        <v>0</v>
      </c>
      <c r="R376" s="426">
        <f t="shared" si="18"/>
        <v>11769895.446673729</v>
      </c>
      <c r="S376" s="354">
        <f>+Hirdetmény!$AA$46</f>
        <v>0.13400000000000001</v>
      </c>
      <c r="T376" s="302">
        <f t="shared" si="8"/>
        <v>12234.627303797355</v>
      </c>
      <c r="U376" s="302">
        <f t="shared" si="19"/>
        <v>133394.44025885203</v>
      </c>
      <c r="V376" s="302">
        <f t="shared" si="20"/>
        <v>145629.06756264938</v>
      </c>
      <c r="W376" s="302">
        <f t="shared" si="21"/>
        <v>145629.06756264938</v>
      </c>
      <c r="AA376" s="10">
        <f t="shared" si="22"/>
        <v>11460346.225060532</v>
      </c>
      <c r="AB376" s="354">
        <f>+paraméterek!$B$346</f>
        <v>6.4600000000000005E-2</v>
      </c>
      <c r="AC376" s="302">
        <f t="shared" si="9"/>
        <v>27120.632959728533</v>
      </c>
      <c r="AD376" s="302">
        <f t="shared" si="25"/>
        <v>62699.764130847158</v>
      </c>
      <c r="AE376" s="302">
        <f t="shared" si="23"/>
        <v>89820.397090575687</v>
      </c>
      <c r="AF376" s="478">
        <f t="shared" si="10"/>
        <v>89820.397090575687</v>
      </c>
      <c r="AI376" s="543">
        <f t="shared" si="24"/>
        <v>146437.06756264938</v>
      </c>
      <c r="AJ376" s="543"/>
      <c r="AK376" s="300"/>
      <c r="AL376" s="543"/>
      <c r="AM376" s="10"/>
    </row>
    <row r="377" spans="1:39" s="11" customFormat="1" ht="13.8" hidden="1" x14ac:dyDescent="0.25">
      <c r="A377" s="11">
        <v>22</v>
      </c>
      <c r="B377" s="11">
        <f t="shared" si="11"/>
        <v>2</v>
      </c>
      <c r="C377" s="354">
        <f t="shared" si="1"/>
        <v>0</v>
      </c>
      <c r="D377" s="300">
        <f t="shared" si="3"/>
        <v>11177847.414288729</v>
      </c>
      <c r="E377" s="354">
        <f t="shared" si="26"/>
        <v>0.13400000000000001</v>
      </c>
      <c r="F377" s="354">
        <f t="shared" si="2"/>
        <v>0.03</v>
      </c>
      <c r="H377" s="436">
        <f t="shared" si="4"/>
        <v>38372.28647562243</v>
      </c>
      <c r="I377" s="302">
        <f t="shared" si="5"/>
        <v>0</v>
      </c>
      <c r="K377" s="426">
        <f t="shared" si="13"/>
        <v>66802.287800476523</v>
      </c>
      <c r="L377" s="10">
        <f t="shared" si="14"/>
        <v>66802.287800476523</v>
      </c>
      <c r="M377" s="436">
        <f t="shared" si="15"/>
        <v>66802.287800476523</v>
      </c>
      <c r="N377" s="301">
        <f t="shared" si="16"/>
        <v>28430.001324854089</v>
      </c>
      <c r="O377" s="302">
        <f t="shared" si="6"/>
        <v>66802.287800476508</v>
      </c>
      <c r="P377" s="436">
        <f t="shared" si="7"/>
        <v>0</v>
      </c>
      <c r="Q377" s="11">
        <f t="shared" si="17"/>
        <v>0</v>
      </c>
      <c r="R377" s="426">
        <f t="shared" si="18"/>
        <v>11757522.30186497</v>
      </c>
      <c r="S377" s="354">
        <f>+Hirdetmény!$AA$46</f>
        <v>0.13400000000000001</v>
      </c>
      <c r="T377" s="302">
        <f t="shared" si="8"/>
        <v>12373.14480875771</v>
      </c>
      <c r="U377" s="302">
        <f t="shared" si="19"/>
        <v>133255.9227538917</v>
      </c>
      <c r="V377" s="302">
        <f t="shared" si="20"/>
        <v>145629.0675626494</v>
      </c>
      <c r="W377" s="302">
        <f t="shared" si="21"/>
        <v>145629.0675626494</v>
      </c>
      <c r="AA377" s="10">
        <f t="shared" si="22"/>
        <v>11433077.564923823</v>
      </c>
      <c r="AB377" s="354">
        <f>+paraméterek!$B$346</f>
        <v>6.4600000000000005E-2</v>
      </c>
      <c r="AC377" s="302">
        <f t="shared" si="9"/>
        <v>27268.660136709426</v>
      </c>
      <c r="AD377" s="302">
        <f t="shared" si="25"/>
        <v>62551.736953866275</v>
      </c>
      <c r="AE377" s="302">
        <f t="shared" si="23"/>
        <v>89820.397090575701</v>
      </c>
      <c r="AF377" s="478">
        <f t="shared" si="10"/>
        <v>89820.397090575701</v>
      </c>
      <c r="AI377" s="543">
        <f t="shared" si="24"/>
        <v>146437.0675626494</v>
      </c>
      <c r="AJ377" s="543"/>
      <c r="AK377" s="300"/>
      <c r="AL377" s="543"/>
      <c r="AM377" s="10"/>
    </row>
    <row r="378" spans="1:39" s="11" customFormat="1" ht="13.8" hidden="1" x14ac:dyDescent="0.25">
      <c r="A378" s="11">
        <v>23</v>
      </c>
      <c r="B378" s="11">
        <f t="shared" si="11"/>
        <v>2</v>
      </c>
      <c r="C378" s="354">
        <f t="shared" si="1"/>
        <v>0</v>
      </c>
      <c r="D378" s="300">
        <f t="shared" si="3"/>
        <v>11139377.86472586</v>
      </c>
      <c r="E378" s="354">
        <f t="shared" si="26"/>
        <v>0.13400000000000001</v>
      </c>
      <c r="F378" s="354">
        <f t="shared" si="2"/>
        <v>0.03</v>
      </c>
      <c r="H378" s="436">
        <f t="shared" si="4"/>
        <v>38469.549562869674</v>
      </c>
      <c r="I378" s="302">
        <f t="shared" si="5"/>
        <v>0</v>
      </c>
      <c r="K378" s="426">
        <f t="shared" si="13"/>
        <v>66802.287800476523</v>
      </c>
      <c r="L378" s="10">
        <f t="shared" si="14"/>
        <v>66802.287800476523</v>
      </c>
      <c r="M378" s="436">
        <f t="shared" si="15"/>
        <v>66802.287800476523</v>
      </c>
      <c r="N378" s="301">
        <f t="shared" si="16"/>
        <v>28332.738237606849</v>
      </c>
      <c r="O378" s="302">
        <f t="shared" si="6"/>
        <v>66802.287800476508</v>
      </c>
      <c r="P378" s="436">
        <f t="shared" si="7"/>
        <v>0</v>
      </c>
      <c r="Q378" s="11">
        <f t="shared" si="17"/>
        <v>0</v>
      </c>
      <c r="R378" s="426">
        <f t="shared" si="18"/>
        <v>11745009.071289409</v>
      </c>
      <c r="S378" s="354">
        <f>+Hirdetmény!$AA$46</f>
        <v>0.13400000000000001</v>
      </c>
      <c r="T378" s="302">
        <f t="shared" si="8"/>
        <v>12513.230575562415</v>
      </c>
      <c r="U378" s="302">
        <f t="shared" si="19"/>
        <v>133115.83698708698</v>
      </c>
      <c r="V378" s="302">
        <f t="shared" si="20"/>
        <v>145629.0675626494</v>
      </c>
      <c r="W378" s="302">
        <f t="shared" si="21"/>
        <v>145629.0675626494</v>
      </c>
      <c r="AA378" s="10">
        <f t="shared" si="22"/>
        <v>11405660.069662724</v>
      </c>
      <c r="AB378" s="354">
        <f>+paraméterek!$B$346</f>
        <v>6.4600000000000005E-2</v>
      </c>
      <c r="AC378" s="302">
        <f t="shared" si="9"/>
        <v>27417.495261099113</v>
      </c>
      <c r="AD378" s="302">
        <f t="shared" si="25"/>
        <v>62402.901829476585</v>
      </c>
      <c r="AE378" s="302">
        <f t="shared" si="23"/>
        <v>89820.397090575701</v>
      </c>
      <c r="AF378" s="478">
        <f t="shared" si="10"/>
        <v>89820.397090575701</v>
      </c>
      <c r="AI378" s="543">
        <f t="shared" si="24"/>
        <v>146437.0675626494</v>
      </c>
      <c r="AJ378" s="543"/>
      <c r="AK378" s="300"/>
      <c r="AL378" s="543"/>
      <c r="AM378" s="10"/>
    </row>
    <row r="379" spans="1:39" s="11" customFormat="1" ht="13.8" hidden="1" x14ac:dyDescent="0.25">
      <c r="A379" s="11">
        <v>24</v>
      </c>
      <c r="B379" s="11">
        <f t="shared" si="11"/>
        <v>2</v>
      </c>
      <c r="C379" s="354">
        <f t="shared" si="1"/>
        <v>0</v>
      </c>
      <c r="D379" s="300">
        <f t="shared" si="3"/>
        <v>11100810.805540834</v>
      </c>
      <c r="E379" s="354">
        <f t="shared" si="26"/>
        <v>0.13400000000000001</v>
      </c>
      <c r="F379" s="354">
        <f t="shared" si="2"/>
        <v>0.03</v>
      </c>
      <c r="H379" s="436">
        <f t="shared" si="4"/>
        <v>38567.059185025559</v>
      </c>
      <c r="I379" s="302">
        <f t="shared" si="5"/>
        <v>0</v>
      </c>
      <c r="K379" s="426">
        <f t="shared" si="13"/>
        <v>66802.287800476523</v>
      </c>
      <c r="L379" s="10">
        <f t="shared" si="14"/>
        <v>66802.287800476523</v>
      </c>
      <c r="M379" s="436">
        <f t="shared" si="15"/>
        <v>66802.287800476523</v>
      </c>
      <c r="N379" s="301">
        <f t="shared" si="16"/>
        <v>28235.22861545096</v>
      </c>
      <c r="O379" s="302">
        <f t="shared" si="6"/>
        <v>66802.287800476508</v>
      </c>
      <c r="P379" s="436">
        <f t="shared" si="7"/>
        <v>0</v>
      </c>
      <c r="Q379" s="11">
        <f t="shared" si="17"/>
        <v>0</v>
      </c>
      <c r="R379" s="426">
        <f t="shared" si="18"/>
        <v>11732354.168929715</v>
      </c>
      <c r="S379" s="354">
        <f>+Hirdetmény!$AA$46</f>
        <v>0.13400000000000001</v>
      </c>
      <c r="T379" s="302">
        <f t="shared" si="8"/>
        <v>12654.902359694537</v>
      </c>
      <c r="U379" s="302">
        <f t="shared" si="19"/>
        <v>132974.16520295484</v>
      </c>
      <c r="V379" s="302">
        <f t="shared" si="20"/>
        <v>145629.06756264938</v>
      </c>
      <c r="W379" s="302">
        <f t="shared" si="21"/>
        <v>145629.06756264938</v>
      </c>
      <c r="AA379" s="10">
        <f t="shared" si="22"/>
        <v>11378092.926919967</v>
      </c>
      <c r="AB379" s="354">
        <f>+paraméterek!$B$346</f>
        <v>6.4600000000000005E-2</v>
      </c>
      <c r="AC379" s="302">
        <f t="shared" si="9"/>
        <v>27567.14274275686</v>
      </c>
      <c r="AD379" s="302">
        <f t="shared" si="25"/>
        <v>62253.254347818838</v>
      </c>
      <c r="AE379" s="302">
        <f t="shared" si="23"/>
        <v>89820.397090575701</v>
      </c>
      <c r="AF379" s="478">
        <f t="shared" si="10"/>
        <v>89820.397090575701</v>
      </c>
      <c r="AI379" s="543">
        <f t="shared" si="24"/>
        <v>146437.06756264938</v>
      </c>
      <c r="AJ379" s="543"/>
      <c r="AK379" s="300"/>
      <c r="AL379" s="543"/>
      <c r="AM379" s="10"/>
    </row>
    <row r="380" spans="1:39" s="11" customFormat="1" ht="13.8" hidden="1" x14ac:dyDescent="0.25">
      <c r="A380" s="11">
        <v>25</v>
      </c>
      <c r="B380" s="11">
        <f t="shared" si="11"/>
        <v>3</v>
      </c>
      <c r="C380" s="354">
        <f t="shared" si="1"/>
        <v>0</v>
      </c>
      <c r="D380" s="300">
        <f t="shared" si="3"/>
        <v>11062145.989573846</v>
      </c>
      <c r="E380" s="354">
        <f t="shared" si="26"/>
        <v>0.13400000000000001</v>
      </c>
      <c r="F380" s="354">
        <f t="shared" si="2"/>
        <v>0.03</v>
      </c>
      <c r="H380" s="436">
        <f t="shared" si="4"/>
        <v>38664.815966987604</v>
      </c>
      <c r="I380" s="302">
        <f t="shared" si="5"/>
        <v>0</v>
      </c>
      <c r="K380" s="426">
        <f t="shared" si="13"/>
        <v>66802.287800476523</v>
      </c>
      <c r="L380" s="10">
        <f t="shared" si="14"/>
        <v>66802.287800476523</v>
      </c>
      <c r="M380" s="436">
        <f t="shared" si="15"/>
        <v>66802.287800476523</v>
      </c>
      <c r="N380" s="301">
        <f t="shared" si="16"/>
        <v>28137.471833488918</v>
      </c>
      <c r="O380" s="302">
        <f t="shared" si="6"/>
        <v>66802.287800476508</v>
      </c>
      <c r="P380" s="436">
        <f t="shared" si="7"/>
        <v>0</v>
      </c>
      <c r="Q380" s="11">
        <f t="shared" si="17"/>
        <v>0</v>
      </c>
      <c r="R380" s="426">
        <f t="shared" si="18"/>
        <v>11719555.990812054</v>
      </c>
      <c r="S380" s="354">
        <f>+Hirdetmény!$AA$46</f>
        <v>0.13400000000000001</v>
      </c>
      <c r="T380" s="302">
        <f t="shared" si="8"/>
        <v>12798.178117660431</v>
      </c>
      <c r="U380" s="302">
        <f t="shared" si="19"/>
        <v>132830.88944498898</v>
      </c>
      <c r="V380" s="302">
        <f t="shared" si="20"/>
        <v>145629.0675626494</v>
      </c>
      <c r="W380" s="302">
        <f t="shared" si="21"/>
        <v>145629.0675626494</v>
      </c>
      <c r="AA380" s="10">
        <f t="shared" si="22"/>
        <v>11350375.319904355</v>
      </c>
      <c r="AB380" s="354">
        <f>+paraméterek!$B$346</f>
        <v>6.4600000000000005E-2</v>
      </c>
      <c r="AC380" s="302">
        <f t="shared" si="9"/>
        <v>27717.607015611364</v>
      </c>
      <c r="AD380" s="302">
        <f t="shared" si="25"/>
        <v>62102.790074964338</v>
      </c>
      <c r="AE380" s="302">
        <f t="shared" si="23"/>
        <v>89820.397090575701</v>
      </c>
      <c r="AF380" s="478">
        <f t="shared" si="10"/>
        <v>89820.397090575701</v>
      </c>
      <c r="AI380" s="543">
        <f t="shared" si="24"/>
        <v>146437.0675626494</v>
      </c>
      <c r="AJ380" s="543"/>
      <c r="AK380" s="300"/>
      <c r="AL380" s="543"/>
      <c r="AM380" s="10"/>
    </row>
    <row r="381" spans="1:39" s="11" customFormat="1" ht="13.8" hidden="1" x14ac:dyDescent="0.25">
      <c r="A381" s="11">
        <v>26</v>
      </c>
      <c r="B381" s="11">
        <f t="shared" si="11"/>
        <v>3</v>
      </c>
      <c r="C381" s="354">
        <f t="shared" si="1"/>
        <v>0</v>
      </c>
      <c r="D381" s="300">
        <f t="shared" si="3"/>
        <v>11023383.169038609</v>
      </c>
      <c r="E381" s="354">
        <f t="shared" si="26"/>
        <v>0.13400000000000001</v>
      </c>
      <c r="F381" s="354">
        <f t="shared" si="2"/>
        <v>0.03</v>
      </c>
      <c r="H381" s="436">
        <f t="shared" si="4"/>
        <v>38762.820535237261</v>
      </c>
      <c r="I381" s="302">
        <f t="shared" si="5"/>
        <v>0</v>
      </c>
      <c r="K381" s="426">
        <f t="shared" si="13"/>
        <v>66802.287800476523</v>
      </c>
      <c r="L381" s="10">
        <f t="shared" si="14"/>
        <v>66802.287800476523</v>
      </c>
      <c r="M381" s="436">
        <f t="shared" si="15"/>
        <v>66802.287800476523</v>
      </c>
      <c r="N381" s="301">
        <f t="shared" si="16"/>
        <v>28039.467265239262</v>
      </c>
      <c r="O381" s="302">
        <f t="shared" si="6"/>
        <v>66802.287800476508</v>
      </c>
      <c r="P381" s="436">
        <f t="shared" si="7"/>
        <v>0</v>
      </c>
      <c r="Q381" s="11">
        <f t="shared" si="17"/>
        <v>0</v>
      </c>
      <c r="R381" s="426">
        <f t="shared" si="18"/>
        <v>11706612.914802788</v>
      </c>
      <c r="S381" s="354">
        <f>+Hirdetmény!$AA$46</f>
        <v>0.13400000000000001</v>
      </c>
      <c r="T381" s="302">
        <f t="shared" si="8"/>
        <v>12943.0760092657</v>
      </c>
      <c r="U381" s="302">
        <f t="shared" si="19"/>
        <v>132685.9915533837</v>
      </c>
      <c r="V381" s="302">
        <f t="shared" si="20"/>
        <v>145629.0675626494</v>
      </c>
      <c r="W381" s="302">
        <f t="shared" si="21"/>
        <v>145629.0675626494</v>
      </c>
      <c r="AA381" s="10">
        <f t="shared" si="22"/>
        <v>11322506.427366564</v>
      </c>
      <c r="AB381" s="354">
        <f>+paraméterek!$B$346</f>
        <v>6.4600000000000005E-2</v>
      </c>
      <c r="AC381" s="302">
        <f t="shared" si="9"/>
        <v>27868.892537792181</v>
      </c>
      <c r="AD381" s="302">
        <f t="shared" si="25"/>
        <v>61951.504552783517</v>
      </c>
      <c r="AE381" s="302">
        <f t="shared" si="23"/>
        <v>89820.397090575701</v>
      </c>
      <c r="AF381" s="478">
        <f t="shared" si="10"/>
        <v>89820.397090575701</v>
      </c>
      <c r="AI381" s="543">
        <f t="shared" si="24"/>
        <v>146437.0675626494</v>
      </c>
      <c r="AJ381" s="543"/>
      <c r="AK381" s="300"/>
      <c r="AL381" s="543"/>
      <c r="AM381" s="10"/>
    </row>
    <row r="382" spans="1:39" s="11" customFormat="1" ht="13.8" hidden="1" x14ac:dyDescent="0.25">
      <c r="A382" s="11">
        <v>27</v>
      </c>
      <c r="B382" s="11">
        <f t="shared" si="11"/>
        <v>3</v>
      </c>
      <c r="C382" s="354">
        <f t="shared" si="1"/>
        <v>0</v>
      </c>
      <c r="D382" s="300">
        <f t="shared" si="3"/>
        <v>10984522.095520765</v>
      </c>
      <c r="E382" s="354">
        <f t="shared" si="26"/>
        <v>0.13400000000000001</v>
      </c>
      <c r="F382" s="354">
        <f t="shared" si="2"/>
        <v>0.03</v>
      </c>
      <c r="H382" s="436">
        <f t="shared" si="4"/>
        <v>38861.073517843935</v>
      </c>
      <c r="I382" s="302">
        <f t="shared" si="5"/>
        <v>0</v>
      </c>
      <c r="K382" s="426">
        <f t="shared" si="13"/>
        <v>66802.287800476523</v>
      </c>
      <c r="L382" s="10">
        <f t="shared" si="14"/>
        <v>66802.287800476523</v>
      </c>
      <c r="M382" s="436">
        <f t="shared" si="15"/>
        <v>66802.287800476523</v>
      </c>
      <c r="N382" s="301">
        <f t="shared" si="16"/>
        <v>27941.214282632583</v>
      </c>
      <c r="O382" s="302">
        <f t="shared" si="6"/>
        <v>66802.287800476508</v>
      </c>
      <c r="P382" s="436">
        <f t="shared" si="7"/>
        <v>0</v>
      </c>
      <c r="Q382" s="11">
        <f t="shared" si="17"/>
        <v>0</v>
      </c>
      <c r="R382" s="426">
        <f t="shared" si="18"/>
        <v>11693523.30040287</v>
      </c>
      <c r="S382" s="354">
        <f>+Hirdetmény!$AA$46</f>
        <v>0.13400000000000001</v>
      </c>
      <c r="T382" s="302">
        <f t="shared" si="8"/>
        <v>13089.614399916898</v>
      </c>
      <c r="U382" s="302">
        <f t="shared" si="19"/>
        <v>132539.45316273251</v>
      </c>
      <c r="V382" s="302">
        <f t="shared" si="20"/>
        <v>145629.0675626494</v>
      </c>
      <c r="W382" s="302">
        <f t="shared" si="21"/>
        <v>145629.0675626494</v>
      </c>
      <c r="AA382" s="10">
        <f t="shared" si="22"/>
        <v>11294485.423574802</v>
      </c>
      <c r="AB382" s="354">
        <f>+paraméterek!$B$346</f>
        <v>6.4600000000000005E-2</v>
      </c>
      <c r="AC382" s="302">
        <f t="shared" si="9"/>
        <v>28021.003791761748</v>
      </c>
      <c r="AD382" s="302">
        <f t="shared" si="25"/>
        <v>61799.39329881395</v>
      </c>
      <c r="AE382" s="302">
        <f t="shared" si="23"/>
        <v>89820.397090575701</v>
      </c>
      <c r="AF382" s="478">
        <f t="shared" si="10"/>
        <v>89820.397090575701</v>
      </c>
      <c r="AI382" s="543">
        <f t="shared" si="24"/>
        <v>146437.0675626494</v>
      </c>
      <c r="AJ382" s="543"/>
      <c r="AK382" s="300"/>
      <c r="AL382" s="543"/>
      <c r="AM382" s="10"/>
    </row>
    <row r="383" spans="1:39" s="11" customFormat="1" ht="13.8" hidden="1" x14ac:dyDescent="0.25">
      <c r="A383" s="11">
        <v>28</v>
      </c>
      <c r="B383" s="11">
        <f t="shared" si="11"/>
        <v>3</v>
      </c>
      <c r="C383" s="354">
        <f t="shared" si="1"/>
        <v>0</v>
      </c>
      <c r="D383" s="300">
        <f t="shared" si="3"/>
        <v>10945562.519976296</v>
      </c>
      <c r="E383" s="354">
        <f t="shared" si="26"/>
        <v>0.13400000000000001</v>
      </c>
      <c r="F383" s="354">
        <f t="shared" si="2"/>
        <v>0.03</v>
      </c>
      <c r="H383" s="436">
        <f t="shared" si="4"/>
        <v>38959.575544469029</v>
      </c>
      <c r="I383" s="302">
        <f t="shared" si="5"/>
        <v>0</v>
      </c>
      <c r="K383" s="426">
        <f t="shared" si="13"/>
        <v>66802.287800476523</v>
      </c>
      <c r="L383" s="10">
        <f t="shared" si="14"/>
        <v>66802.287800476523</v>
      </c>
      <c r="M383" s="436">
        <f t="shared" si="15"/>
        <v>66802.287800476523</v>
      </c>
      <c r="N383" s="301">
        <f t="shared" si="16"/>
        <v>27842.712256007493</v>
      </c>
      <c r="O383" s="302">
        <f t="shared" si="6"/>
        <v>66802.287800476508</v>
      </c>
      <c r="P383" s="436">
        <f t="shared" si="7"/>
        <v>0</v>
      </c>
      <c r="Q383" s="11">
        <f t="shared" si="17"/>
        <v>0</v>
      </c>
      <c r="R383" s="426">
        <f t="shared" si="18"/>
        <v>11680285.488539921</v>
      </c>
      <c r="S383" s="354">
        <f>+Hirdetmény!$AA$46</f>
        <v>0.13400000000000001</v>
      </c>
      <c r="T383" s="302">
        <f t="shared" si="8"/>
        <v>13237.811862949296</v>
      </c>
      <c r="U383" s="302">
        <f t="shared" si="19"/>
        <v>132391.25569970009</v>
      </c>
      <c r="V383" s="302">
        <f t="shared" si="20"/>
        <v>145629.06756264938</v>
      </c>
      <c r="W383" s="302">
        <f t="shared" si="21"/>
        <v>145629.06756264938</v>
      </c>
      <c r="AA383" s="10">
        <f t="shared" si="22"/>
        <v>11266311.478290353</v>
      </c>
      <c r="AB383" s="354">
        <f>+paraméterek!$B$346</f>
        <v>6.4600000000000005E-2</v>
      </c>
      <c r="AC383" s="302">
        <f t="shared" si="9"/>
        <v>28173.94528444832</v>
      </c>
      <c r="AD383" s="302">
        <f t="shared" si="25"/>
        <v>61646.451806127377</v>
      </c>
      <c r="AE383" s="302">
        <f t="shared" si="23"/>
        <v>89820.397090575701</v>
      </c>
      <c r="AF383" s="478">
        <f t="shared" si="10"/>
        <v>89820.397090575701</v>
      </c>
      <c r="AI383" s="543">
        <f t="shared" si="24"/>
        <v>146437.06756264938</v>
      </c>
      <c r="AJ383" s="543"/>
      <c r="AK383" s="300"/>
      <c r="AL383" s="543"/>
      <c r="AM383" s="10"/>
    </row>
    <row r="384" spans="1:39" s="11" customFormat="1" ht="13.8" hidden="1" x14ac:dyDescent="0.25">
      <c r="A384" s="11">
        <v>29</v>
      </c>
      <c r="B384" s="11">
        <f t="shared" si="11"/>
        <v>3</v>
      </c>
      <c r="C384" s="354">
        <f t="shared" si="1"/>
        <v>0</v>
      </c>
      <c r="D384" s="300">
        <f t="shared" si="3"/>
        <v>10906504.192729926</v>
      </c>
      <c r="E384" s="354">
        <f t="shared" si="26"/>
        <v>0.13400000000000001</v>
      </c>
      <c r="F384" s="354">
        <f t="shared" si="2"/>
        <v>0.03</v>
      </c>
      <c r="H384" s="436">
        <f t="shared" si="4"/>
        <v>39058.32724636994</v>
      </c>
      <c r="I384" s="302">
        <f t="shared" si="5"/>
        <v>0</v>
      </c>
      <c r="K384" s="426">
        <f t="shared" si="13"/>
        <v>66802.287800476523</v>
      </c>
      <c r="L384" s="10">
        <f t="shared" si="14"/>
        <v>66802.287800476523</v>
      </c>
      <c r="M384" s="436">
        <f t="shared" si="15"/>
        <v>66802.287800476523</v>
      </c>
      <c r="N384" s="301">
        <f t="shared" si="16"/>
        <v>27743.960554106583</v>
      </c>
      <c r="O384" s="302">
        <f t="shared" si="6"/>
        <v>66802.287800476508</v>
      </c>
      <c r="P384" s="436">
        <f t="shared" si="7"/>
        <v>0</v>
      </c>
      <c r="Q384" s="11">
        <f t="shared" si="17"/>
        <v>0</v>
      </c>
      <c r="R384" s="426">
        <f t="shared" si="18"/>
        <v>11666897.80135794</v>
      </c>
      <c r="S384" s="354">
        <f>+Hirdetmény!$AA$46</f>
        <v>0.13400000000000001</v>
      </c>
      <c r="T384" s="302">
        <f t="shared" si="8"/>
        <v>13387.687181980977</v>
      </c>
      <c r="U384" s="302">
        <f t="shared" si="19"/>
        <v>132241.38038066842</v>
      </c>
      <c r="V384" s="302">
        <f t="shared" si="20"/>
        <v>145629.0675626494</v>
      </c>
      <c r="W384" s="302">
        <f t="shared" si="21"/>
        <v>145629.0675626494</v>
      </c>
      <c r="AA384" s="10">
        <f t="shared" si="22"/>
        <v>11237983.756742973</v>
      </c>
      <c r="AB384" s="354">
        <f>+paraméterek!$B$346</f>
        <v>6.4600000000000005E-2</v>
      </c>
      <c r="AC384" s="302">
        <f t="shared" si="9"/>
        <v>28327.721547379344</v>
      </c>
      <c r="AD384" s="302">
        <f t="shared" si="25"/>
        <v>61492.675543196361</v>
      </c>
      <c r="AE384" s="302">
        <f t="shared" si="23"/>
        <v>89820.397090575701</v>
      </c>
      <c r="AF384" s="478">
        <f t="shared" si="10"/>
        <v>89820.397090575701</v>
      </c>
      <c r="AI384" s="543">
        <f t="shared" si="24"/>
        <v>146437.0675626494</v>
      </c>
      <c r="AJ384" s="543"/>
      <c r="AK384" s="300"/>
      <c r="AL384" s="543"/>
      <c r="AM384" s="10"/>
    </row>
    <row r="385" spans="1:39" s="11" customFormat="1" ht="13.8" hidden="1" x14ac:dyDescent="0.25">
      <c r="A385" s="11">
        <v>30</v>
      </c>
      <c r="B385" s="11">
        <f t="shared" si="11"/>
        <v>3</v>
      </c>
      <c r="C385" s="354">
        <f t="shared" si="1"/>
        <v>0</v>
      </c>
      <c r="D385" s="300">
        <f t="shared" si="3"/>
        <v>10867346.863473522</v>
      </c>
      <c r="E385" s="354">
        <f t="shared" si="26"/>
        <v>0.13400000000000001</v>
      </c>
      <c r="F385" s="354">
        <f t="shared" si="2"/>
        <v>0.03</v>
      </c>
      <c r="H385" s="436">
        <f t="shared" si="4"/>
        <v>39157.32925640414</v>
      </c>
      <c r="I385" s="302">
        <f t="shared" si="5"/>
        <v>0</v>
      </c>
      <c r="K385" s="426">
        <f t="shared" si="13"/>
        <v>66802.287800476523</v>
      </c>
      <c r="L385" s="10">
        <f t="shared" si="14"/>
        <v>66802.287800476523</v>
      </c>
      <c r="M385" s="436">
        <f t="shared" si="15"/>
        <v>66802.287800476523</v>
      </c>
      <c r="N385" s="301">
        <f t="shared" si="16"/>
        <v>27644.958544072379</v>
      </c>
      <c r="O385" s="302">
        <f t="shared" si="6"/>
        <v>66802.287800476508</v>
      </c>
      <c r="P385" s="436">
        <f t="shared" si="7"/>
        <v>0</v>
      </c>
      <c r="Q385" s="11">
        <f t="shared" si="17"/>
        <v>0</v>
      </c>
      <c r="R385" s="426">
        <f t="shared" si="18"/>
        <v>11653358.542004647</v>
      </c>
      <c r="S385" s="354">
        <f>+Hirdetmény!$AA$46</f>
        <v>0.13400000000000001</v>
      </c>
      <c r="T385" s="302">
        <f t="shared" si="8"/>
        <v>13539.25935329363</v>
      </c>
      <c r="U385" s="302">
        <f t="shared" si="19"/>
        <v>132089.80820935575</v>
      </c>
      <c r="V385" s="302">
        <f t="shared" si="20"/>
        <v>145629.06756264938</v>
      </c>
      <c r="W385" s="302">
        <f t="shared" si="21"/>
        <v>145629.06756264938</v>
      </c>
      <c r="AA385" s="10">
        <f t="shared" si="22"/>
        <v>11209501.419606157</v>
      </c>
      <c r="AB385" s="354">
        <f>+paraméterek!$B$346</f>
        <v>6.4600000000000005E-2</v>
      </c>
      <c r="AC385" s="302">
        <f t="shared" si="9"/>
        <v>28482.337136815837</v>
      </c>
      <c r="AD385" s="302">
        <f t="shared" si="25"/>
        <v>61338.059953759861</v>
      </c>
      <c r="AE385" s="302">
        <f t="shared" si="23"/>
        <v>89820.397090575701</v>
      </c>
      <c r="AF385" s="478">
        <f t="shared" si="10"/>
        <v>89820.397090575701</v>
      </c>
      <c r="AI385" s="543">
        <f t="shared" si="24"/>
        <v>146437.06756264938</v>
      </c>
      <c r="AJ385" s="543"/>
      <c r="AK385" s="300"/>
      <c r="AL385" s="543"/>
      <c r="AM385" s="10"/>
    </row>
    <row r="386" spans="1:39" s="11" customFormat="1" ht="13.8" hidden="1" x14ac:dyDescent="0.25">
      <c r="A386" s="11">
        <v>31</v>
      </c>
      <c r="B386" s="11">
        <f t="shared" si="11"/>
        <v>3</v>
      </c>
      <c r="C386" s="354">
        <f t="shared" si="1"/>
        <v>0</v>
      </c>
      <c r="D386" s="300">
        <f t="shared" si="3"/>
        <v>10828090.281264488</v>
      </c>
      <c r="E386" s="354">
        <f t="shared" si="26"/>
        <v>0.13400000000000001</v>
      </c>
      <c r="F386" s="354">
        <f t="shared" si="2"/>
        <v>0.03</v>
      </c>
      <c r="H386" s="436">
        <f t="shared" si="4"/>
        <v>39256.582209033215</v>
      </c>
      <c r="I386" s="302">
        <f t="shared" si="5"/>
        <v>0</v>
      </c>
      <c r="K386" s="426">
        <f t="shared" si="13"/>
        <v>66802.287800476508</v>
      </c>
      <c r="L386" s="10">
        <f t="shared" si="14"/>
        <v>66802.287800476508</v>
      </c>
      <c r="M386" s="436">
        <f t="shared" si="15"/>
        <v>66802.287800476508</v>
      </c>
      <c r="N386" s="301">
        <f t="shared" si="16"/>
        <v>27545.7055914433</v>
      </c>
      <c r="O386" s="302">
        <f t="shared" si="6"/>
        <v>66802.287800476508</v>
      </c>
      <c r="P386" s="436">
        <f t="shared" si="7"/>
        <v>0</v>
      </c>
      <c r="Q386" s="11">
        <f t="shared" si="17"/>
        <v>0</v>
      </c>
      <c r="R386" s="426">
        <f t="shared" si="18"/>
        <v>11639665.994416406</v>
      </c>
      <c r="S386" s="354">
        <f>+Hirdetmény!$AA$46</f>
        <v>0.13400000000000001</v>
      </c>
      <c r="T386" s="302">
        <f t="shared" si="8"/>
        <v>13692.547588240299</v>
      </c>
      <c r="U386" s="302">
        <f t="shared" si="19"/>
        <v>131936.51997440911</v>
      </c>
      <c r="V386" s="302">
        <f t="shared" si="20"/>
        <v>145629.0675626494</v>
      </c>
      <c r="W386" s="302">
        <f t="shared" si="21"/>
        <v>145629.0675626494</v>
      </c>
      <c r="AA386" s="10">
        <f t="shared" si="22"/>
        <v>11180863.622972269</v>
      </c>
      <c r="AB386" s="354">
        <f>+paraméterek!$B$346</f>
        <v>6.4600000000000005E-2</v>
      </c>
      <c r="AC386" s="302">
        <f t="shared" si="9"/>
        <v>28637.796633887356</v>
      </c>
      <c r="AD386" s="302">
        <f t="shared" si="25"/>
        <v>61182.600456688328</v>
      </c>
      <c r="AE386" s="302">
        <f t="shared" si="23"/>
        <v>89820.397090575687</v>
      </c>
      <c r="AF386" s="478">
        <f t="shared" si="10"/>
        <v>89820.397090575687</v>
      </c>
      <c r="AI386" s="543">
        <f t="shared" si="24"/>
        <v>146437.0675626494</v>
      </c>
      <c r="AJ386" s="543"/>
      <c r="AK386" s="300"/>
      <c r="AL386" s="543"/>
      <c r="AM386" s="10"/>
    </row>
    <row r="387" spans="1:39" s="11" customFormat="1" ht="13.8" hidden="1" x14ac:dyDescent="0.25">
      <c r="A387" s="11">
        <v>32</v>
      </c>
      <c r="B387" s="11">
        <f t="shared" si="11"/>
        <v>3</v>
      </c>
      <c r="C387" s="354">
        <f t="shared" si="1"/>
        <v>0</v>
      </c>
      <c r="D387" s="300">
        <f t="shared" si="3"/>
        <v>10788734.194524162</v>
      </c>
      <c r="E387" s="354">
        <f t="shared" si="26"/>
        <v>0.13400000000000001</v>
      </c>
      <c r="F387" s="354">
        <f t="shared" si="2"/>
        <v>0.03</v>
      </c>
      <c r="H387" s="436">
        <f t="shared" si="4"/>
        <v>39356.086740326951</v>
      </c>
      <c r="I387" s="302">
        <f t="shared" si="5"/>
        <v>0</v>
      </c>
      <c r="K387" s="426">
        <f t="shared" si="13"/>
        <v>66802.287800476523</v>
      </c>
      <c r="L387" s="10">
        <f t="shared" si="14"/>
        <v>66802.287800476523</v>
      </c>
      <c r="M387" s="436">
        <f t="shared" si="15"/>
        <v>66802.287800476523</v>
      </c>
      <c r="N387" s="301">
        <f t="shared" si="16"/>
        <v>27446.201060149571</v>
      </c>
      <c r="O387" s="302">
        <f t="shared" si="6"/>
        <v>66802.287800476508</v>
      </c>
      <c r="P387" s="436">
        <f t="shared" si="7"/>
        <v>0</v>
      </c>
      <c r="Q387" s="11">
        <f t="shared" si="17"/>
        <v>0</v>
      </c>
      <c r="R387" s="426">
        <f t="shared" si="18"/>
        <v>11625818.423100727</v>
      </c>
      <c r="S387" s="354">
        <f>+Hirdetmény!$AA$46</f>
        <v>0.13400000000000001</v>
      </c>
      <c r="T387" s="302">
        <f t="shared" si="8"/>
        <v>13847.571315680305</v>
      </c>
      <c r="U387" s="302">
        <f t="shared" si="19"/>
        <v>131781.49624696909</v>
      </c>
      <c r="V387" s="302">
        <f t="shared" si="20"/>
        <v>145629.0675626494</v>
      </c>
      <c r="W387" s="302">
        <f t="shared" si="21"/>
        <v>145629.0675626494</v>
      </c>
      <c r="AA387" s="10">
        <f t="shared" si="22"/>
        <v>11152069.518327542</v>
      </c>
      <c r="AB387" s="354">
        <f>+paraméterek!$B$346</f>
        <v>6.4600000000000005E-2</v>
      </c>
      <c r="AC387" s="302">
        <f t="shared" si="9"/>
        <v>28794.104644727729</v>
      </c>
      <c r="AD387" s="302">
        <f t="shared" si="25"/>
        <v>61026.292445847954</v>
      </c>
      <c r="AE387" s="302">
        <f t="shared" si="23"/>
        <v>89820.397090575687</v>
      </c>
      <c r="AF387" s="478">
        <f t="shared" si="10"/>
        <v>89820.397090575687</v>
      </c>
      <c r="AI387" s="543">
        <f t="shared" si="24"/>
        <v>146437.0675626494</v>
      </c>
      <c r="AJ387" s="543"/>
      <c r="AK387" s="300"/>
      <c r="AL387" s="543"/>
      <c r="AM387" s="10"/>
    </row>
    <row r="388" spans="1:39" s="11" customFormat="1" ht="13.8" hidden="1" x14ac:dyDescent="0.25">
      <c r="A388" s="11">
        <v>33</v>
      </c>
      <c r="B388" s="11">
        <f t="shared" si="11"/>
        <v>3</v>
      </c>
      <c r="C388" s="354">
        <f t="shared" si="1"/>
        <v>0</v>
      </c>
      <c r="D388" s="300">
        <f t="shared" si="3"/>
        <v>10749278.351036195</v>
      </c>
      <c r="E388" s="354">
        <f t="shared" si="26"/>
        <v>0.13400000000000001</v>
      </c>
      <c r="F388" s="354">
        <f t="shared" si="2"/>
        <v>0.03</v>
      </c>
      <c r="H388" s="436">
        <f t="shared" si="4"/>
        <v>39455.843487967366</v>
      </c>
      <c r="I388" s="302">
        <f t="shared" si="5"/>
        <v>0</v>
      </c>
      <c r="K388" s="426">
        <f t="shared" si="13"/>
        <v>66802.287800476523</v>
      </c>
      <c r="L388" s="10">
        <f t="shared" si="14"/>
        <v>66802.287800476523</v>
      </c>
      <c r="M388" s="436">
        <f t="shared" si="15"/>
        <v>66802.287800476523</v>
      </c>
      <c r="N388" s="301">
        <f t="shared" si="16"/>
        <v>27346.44431250916</v>
      </c>
      <c r="O388" s="302">
        <f t="shared" si="6"/>
        <v>66802.287800476508</v>
      </c>
      <c r="P388" s="436">
        <f t="shared" si="7"/>
        <v>0</v>
      </c>
      <c r="Q388" s="11">
        <f t="shared" si="17"/>
        <v>0</v>
      </c>
      <c r="R388" s="426">
        <f t="shared" si="18"/>
        <v>11611814.072916284</v>
      </c>
      <c r="S388" s="354">
        <f>+Hirdetmény!$AA$46</f>
        <v>0.13400000000000001</v>
      </c>
      <c r="T388" s="302">
        <f t="shared" si="8"/>
        <v>14004.350184441862</v>
      </c>
      <c r="U388" s="302">
        <f t="shared" si="19"/>
        <v>131624.71737820754</v>
      </c>
      <c r="V388" s="302">
        <f t="shared" si="20"/>
        <v>145629.0675626494</v>
      </c>
      <c r="W388" s="302">
        <f t="shared" si="21"/>
        <v>145629.0675626494</v>
      </c>
      <c r="AA388" s="10">
        <f t="shared" si="22"/>
        <v>11123118.25252693</v>
      </c>
      <c r="AB388" s="354">
        <f>+paraméterek!$B$346</f>
        <v>6.4600000000000005E-2</v>
      </c>
      <c r="AC388" s="302">
        <f t="shared" si="9"/>
        <v>28951.265800611534</v>
      </c>
      <c r="AD388" s="302">
        <f t="shared" si="25"/>
        <v>60869.131289964156</v>
      </c>
      <c r="AE388" s="302">
        <f t="shared" si="23"/>
        <v>89820.397090575687</v>
      </c>
      <c r="AF388" s="478">
        <f t="shared" si="10"/>
        <v>89820.397090575687</v>
      </c>
      <c r="AI388" s="543">
        <f t="shared" si="24"/>
        <v>146437.0675626494</v>
      </c>
      <c r="AJ388" s="543"/>
      <c r="AK388" s="300"/>
      <c r="AL388" s="543"/>
      <c r="AM388" s="10"/>
    </row>
    <row r="389" spans="1:39" s="11" customFormat="1" ht="13.8" hidden="1" x14ac:dyDescent="0.25">
      <c r="A389" s="11">
        <v>34</v>
      </c>
      <c r="B389" s="11">
        <f t="shared" si="11"/>
        <v>3</v>
      </c>
      <c r="C389" s="354">
        <f t="shared" si="1"/>
        <v>0</v>
      </c>
      <c r="D389" s="300">
        <f t="shared" si="3"/>
        <v>10709722.497944942</v>
      </c>
      <c r="E389" s="354">
        <f t="shared" ref="E389:E404" si="27">E388</f>
        <v>0.13400000000000001</v>
      </c>
      <c r="F389" s="354">
        <f t="shared" si="2"/>
        <v>0.03</v>
      </c>
      <c r="H389" s="436">
        <f t="shared" si="4"/>
        <v>39555.853091252829</v>
      </c>
      <c r="I389" s="302">
        <f t="shared" si="5"/>
        <v>0</v>
      </c>
      <c r="K389" s="426">
        <f t="shared" si="13"/>
        <v>66802.287800476508</v>
      </c>
      <c r="L389" s="10">
        <f t="shared" si="14"/>
        <v>66802.287800476508</v>
      </c>
      <c r="M389" s="436">
        <f t="shared" si="15"/>
        <v>66802.287800476508</v>
      </c>
      <c r="N389" s="301">
        <f t="shared" si="16"/>
        <v>27246.434709223686</v>
      </c>
      <c r="O389" s="302">
        <f t="shared" si="6"/>
        <v>66802.287800476508</v>
      </c>
      <c r="P389" s="436">
        <f t="shared" si="7"/>
        <v>0</v>
      </c>
      <c r="Q389" s="11">
        <f t="shared" si="17"/>
        <v>0</v>
      </c>
      <c r="R389" s="426">
        <f t="shared" si="18"/>
        <v>11597651.168850472</v>
      </c>
      <c r="S389" s="354">
        <f>+Hirdetmény!$AA$46</f>
        <v>0.13400000000000001</v>
      </c>
      <c r="T389" s="302">
        <f t="shared" si="8"/>
        <v>14162.904065812478</v>
      </c>
      <c r="U389" s="302">
        <f t="shared" si="19"/>
        <v>131466.16349683693</v>
      </c>
      <c r="V389" s="302">
        <f t="shared" si="20"/>
        <v>145629.0675626494</v>
      </c>
      <c r="W389" s="302">
        <f t="shared" si="21"/>
        <v>145629.0675626494</v>
      </c>
      <c r="AA389" s="10">
        <f t="shared" si="22"/>
        <v>11094008.967768839</v>
      </c>
      <c r="AB389" s="354">
        <f>+paraméterek!$B$346</f>
        <v>6.4600000000000005E-2</v>
      </c>
      <c r="AC389" s="302">
        <f t="shared" si="9"/>
        <v>29109.284758091304</v>
      </c>
      <c r="AD389" s="302">
        <f t="shared" si="25"/>
        <v>60711.112332484379</v>
      </c>
      <c r="AE389" s="302">
        <f t="shared" si="23"/>
        <v>89820.397090575687</v>
      </c>
      <c r="AF389" s="478">
        <f t="shared" si="10"/>
        <v>89820.397090575687</v>
      </c>
      <c r="AI389" s="543">
        <f t="shared" si="24"/>
        <v>146437.0675626494</v>
      </c>
      <c r="AJ389" s="543"/>
      <c r="AK389" s="300"/>
      <c r="AL389" s="543"/>
      <c r="AM389" s="10"/>
    </row>
    <row r="390" spans="1:39" s="11" customFormat="1" ht="13.8" hidden="1" x14ac:dyDescent="0.25">
      <c r="A390" s="11">
        <v>35</v>
      </c>
      <c r="B390" s="11">
        <f t="shared" si="11"/>
        <v>3</v>
      </c>
      <c r="C390" s="354">
        <f t="shared" si="1"/>
        <v>0</v>
      </c>
      <c r="D390" s="300">
        <f t="shared" si="3"/>
        <v>10670066.38175384</v>
      </c>
      <c r="E390" s="354">
        <f t="shared" si="27"/>
        <v>0.13400000000000001</v>
      </c>
      <c r="F390" s="354">
        <f t="shared" si="2"/>
        <v>0.03</v>
      </c>
      <c r="H390" s="436">
        <f t="shared" si="4"/>
        <v>39656.116191102185</v>
      </c>
      <c r="I390" s="302">
        <f t="shared" si="5"/>
        <v>0</v>
      </c>
      <c r="K390" s="426">
        <f t="shared" si="13"/>
        <v>66802.287800476508</v>
      </c>
      <c r="L390" s="10">
        <f t="shared" si="14"/>
        <v>66802.287800476508</v>
      </c>
      <c r="M390" s="436">
        <f t="shared" si="15"/>
        <v>66802.287800476508</v>
      </c>
      <c r="N390" s="301">
        <f t="shared" si="16"/>
        <v>27146.171609374331</v>
      </c>
      <c r="O390" s="302">
        <f t="shared" si="6"/>
        <v>66802.287800476508</v>
      </c>
      <c r="P390" s="436">
        <f t="shared" si="7"/>
        <v>0</v>
      </c>
      <c r="Q390" s="11">
        <f t="shared" si="17"/>
        <v>0</v>
      </c>
      <c r="R390" s="426">
        <f t="shared" si="18"/>
        <v>11583327.915794415</v>
      </c>
      <c r="S390" s="354">
        <f>+Hirdetmény!$AA$46</f>
        <v>0.13400000000000001</v>
      </c>
      <c r="T390" s="302">
        <f t="shared" si="8"/>
        <v>14323.253056057587</v>
      </c>
      <c r="U390" s="302">
        <f t="shared" si="19"/>
        <v>131305.81450659179</v>
      </c>
      <c r="V390" s="302">
        <f t="shared" si="20"/>
        <v>145629.06756264938</v>
      </c>
      <c r="W390" s="302">
        <f t="shared" si="21"/>
        <v>145629.06756264938</v>
      </c>
      <c r="AA390" s="10">
        <f t="shared" si="22"/>
        <v>11064740.801569704</v>
      </c>
      <c r="AB390" s="354">
        <f>+paraméterek!$B$346</f>
        <v>6.4600000000000005E-2</v>
      </c>
      <c r="AC390" s="302">
        <f t="shared" si="9"/>
        <v>29268.166199135532</v>
      </c>
      <c r="AD390" s="302">
        <f t="shared" si="25"/>
        <v>60552.230891440166</v>
      </c>
      <c r="AE390" s="302">
        <f t="shared" si="23"/>
        <v>89820.397090575701</v>
      </c>
      <c r="AF390" s="478">
        <f t="shared" si="10"/>
        <v>89820.397090575701</v>
      </c>
      <c r="AI390" s="543">
        <f t="shared" si="24"/>
        <v>146437.06756264938</v>
      </c>
      <c r="AJ390" s="543"/>
      <c r="AK390" s="300"/>
      <c r="AL390" s="543"/>
      <c r="AM390" s="10"/>
    </row>
    <row r="391" spans="1:39" s="11" customFormat="1" ht="13.8" hidden="1" x14ac:dyDescent="0.25">
      <c r="A391" s="11">
        <v>36</v>
      </c>
      <c r="B391" s="11">
        <f t="shared" si="11"/>
        <v>3</v>
      </c>
      <c r="C391" s="354">
        <f t="shared" si="1"/>
        <v>0</v>
      </c>
      <c r="D391" s="300">
        <f t="shared" si="3"/>
        <v>10630309.748323781</v>
      </c>
      <c r="E391" s="354">
        <f t="shared" si="27"/>
        <v>0.13400000000000001</v>
      </c>
      <c r="F391" s="354">
        <f t="shared" si="2"/>
        <v>0.03</v>
      </c>
      <c r="H391" s="436">
        <f t="shared" si="4"/>
        <v>39756.633430058806</v>
      </c>
      <c r="I391" s="302">
        <f t="shared" si="5"/>
        <v>0</v>
      </c>
      <c r="K391" s="426">
        <f t="shared" si="13"/>
        <v>66802.287800476523</v>
      </c>
      <c r="L391" s="10">
        <f t="shared" si="14"/>
        <v>66802.287800476523</v>
      </c>
      <c r="M391" s="436">
        <f t="shared" si="15"/>
        <v>66802.287800476523</v>
      </c>
      <c r="N391" s="301">
        <f t="shared" si="16"/>
        <v>27045.65437041772</v>
      </c>
      <c r="O391" s="302">
        <f t="shared" si="6"/>
        <v>66802.287800476508</v>
      </c>
      <c r="P391" s="436">
        <f t="shared" si="7"/>
        <v>0</v>
      </c>
      <c r="Q391" s="11">
        <f t="shared" si="17"/>
        <v>0</v>
      </c>
      <c r="R391" s="426">
        <f t="shared" si="18"/>
        <v>11568842.498315448</v>
      </c>
      <c r="S391" s="354">
        <f>+Hirdetmény!$AA$46</f>
        <v>0.13400000000000001</v>
      </c>
      <c r="T391" s="302">
        <f t="shared" si="8"/>
        <v>14485.417478967725</v>
      </c>
      <c r="U391" s="302">
        <f t="shared" si="19"/>
        <v>131143.65008368168</v>
      </c>
      <c r="V391" s="302">
        <f t="shared" si="20"/>
        <v>145629.0675626494</v>
      </c>
      <c r="W391" s="302">
        <f t="shared" si="21"/>
        <v>145629.0675626494</v>
      </c>
      <c r="AA391" s="10">
        <f t="shared" si="22"/>
        <v>11035312.886738436</v>
      </c>
      <c r="AB391" s="354">
        <f>+paraméterek!$B$346</f>
        <v>6.4600000000000005E-2</v>
      </c>
      <c r="AC391" s="302">
        <f t="shared" si="9"/>
        <v>29427.914831267339</v>
      </c>
      <c r="AD391" s="302">
        <f t="shared" si="25"/>
        <v>60392.482259308352</v>
      </c>
      <c r="AE391" s="302">
        <f t="shared" si="23"/>
        <v>89820.397090575687</v>
      </c>
      <c r="AF391" s="478">
        <f t="shared" si="10"/>
        <v>89820.397090575687</v>
      </c>
      <c r="AI391" s="543">
        <f t="shared" si="24"/>
        <v>146437.0675626494</v>
      </c>
      <c r="AJ391" s="543"/>
      <c r="AK391" s="300"/>
      <c r="AL391" s="543"/>
      <c r="AM391" s="10"/>
    </row>
    <row r="392" spans="1:39" s="11" customFormat="1" ht="13.8" hidden="1" x14ac:dyDescent="0.25">
      <c r="A392" s="11">
        <v>37</v>
      </c>
      <c r="B392" s="11">
        <f t="shared" si="11"/>
        <v>4</v>
      </c>
      <c r="C392" s="354">
        <f t="shared" si="1"/>
        <v>0</v>
      </c>
      <c r="D392" s="300">
        <f t="shared" si="3"/>
        <v>10590452.342871487</v>
      </c>
      <c r="E392" s="354">
        <f t="shared" si="27"/>
        <v>0.13400000000000001</v>
      </c>
      <c r="F392" s="354">
        <f t="shared" si="2"/>
        <v>0.03</v>
      </c>
      <c r="H392" s="436">
        <f t="shared" si="4"/>
        <v>39857.405452294719</v>
      </c>
      <c r="I392" s="302">
        <f t="shared" si="5"/>
        <v>0</v>
      </c>
      <c r="K392" s="426">
        <f t="shared" si="13"/>
        <v>66802.287800476523</v>
      </c>
      <c r="L392" s="10">
        <f t="shared" si="14"/>
        <v>66802.287800476523</v>
      </c>
      <c r="M392" s="436">
        <f t="shared" si="15"/>
        <v>66802.287800476523</v>
      </c>
      <c r="N392" s="301">
        <f t="shared" si="16"/>
        <v>26944.882348181807</v>
      </c>
      <c r="O392" s="302">
        <f t="shared" si="6"/>
        <v>66802.287800476508</v>
      </c>
      <c r="P392" s="436">
        <f t="shared" si="7"/>
        <v>0</v>
      </c>
      <c r="Q392" s="11">
        <f t="shared" si="17"/>
        <v>0</v>
      </c>
      <c r="R392" s="426">
        <f t="shared" si="18"/>
        <v>11554193.080427013</v>
      </c>
      <c r="S392" s="354">
        <f>+Hirdetmény!$AA$46</f>
        <v>0.13400000000000001</v>
      </c>
      <c r="T392" s="302">
        <f t="shared" si="8"/>
        <v>14649.417888434458</v>
      </c>
      <c r="U392" s="302">
        <f t="shared" si="19"/>
        <v>130979.64967421495</v>
      </c>
      <c r="V392" s="302">
        <f t="shared" si="20"/>
        <v>145629.0675626494</v>
      </c>
      <c r="W392" s="302">
        <f t="shared" si="21"/>
        <v>145629.0675626494</v>
      </c>
      <c r="AA392" s="10">
        <f t="shared" si="22"/>
        <v>11005724.351350732</v>
      </c>
      <c r="AB392" s="354">
        <f>+paraméterek!$B$346</f>
        <v>6.4600000000000005E-2</v>
      </c>
      <c r="AC392" s="302">
        <f t="shared" si="9"/>
        <v>29588.535387704025</v>
      </c>
      <c r="AD392" s="302">
        <f t="shared" si="25"/>
        <v>60231.861702871669</v>
      </c>
      <c r="AE392" s="302">
        <f t="shared" si="23"/>
        <v>89820.397090575687</v>
      </c>
      <c r="AF392" s="478">
        <f t="shared" si="10"/>
        <v>89820.397090575687</v>
      </c>
      <c r="AI392" s="543">
        <f t="shared" si="24"/>
        <v>146437.0675626494</v>
      </c>
      <c r="AJ392" s="543"/>
      <c r="AK392" s="300"/>
      <c r="AL392" s="543"/>
      <c r="AM392" s="10"/>
    </row>
    <row r="393" spans="1:39" s="11" customFormat="1" ht="13.8" hidden="1" x14ac:dyDescent="0.25">
      <c r="A393" s="11">
        <v>38</v>
      </c>
      <c r="B393" s="11">
        <f t="shared" si="11"/>
        <v>4</v>
      </c>
      <c r="C393" s="354">
        <f t="shared" si="1"/>
        <v>0</v>
      </c>
      <c r="D393" s="300">
        <f t="shared" si="3"/>
        <v>10550493.909967873</v>
      </c>
      <c r="E393" s="354">
        <f t="shared" si="27"/>
        <v>0.13400000000000001</v>
      </c>
      <c r="F393" s="354">
        <f t="shared" si="2"/>
        <v>0.03</v>
      </c>
      <c r="H393" s="436">
        <f t="shared" si="4"/>
        <v>39958.432903614768</v>
      </c>
      <c r="I393" s="302">
        <f t="shared" si="5"/>
        <v>0</v>
      </c>
      <c r="K393" s="426">
        <f t="shared" si="13"/>
        <v>66802.287800476523</v>
      </c>
      <c r="L393" s="10">
        <f t="shared" si="14"/>
        <v>66802.287800476523</v>
      </c>
      <c r="M393" s="436">
        <f t="shared" si="15"/>
        <v>66802.287800476523</v>
      </c>
      <c r="N393" s="301">
        <f t="shared" si="16"/>
        <v>26843.854896861758</v>
      </c>
      <c r="O393" s="302">
        <f t="shared" si="6"/>
        <v>66802.287800476508</v>
      </c>
      <c r="P393" s="436">
        <f t="shared" si="7"/>
        <v>0</v>
      </c>
      <c r="Q393" s="11">
        <f t="shared" si="17"/>
        <v>0</v>
      </c>
      <c r="R393" s="426">
        <f t="shared" si="18"/>
        <v>11539377.805355959</v>
      </c>
      <c r="S393" s="354">
        <f>+Hirdetmény!$AA$46</f>
        <v>0.13400000000000001</v>
      </c>
      <c r="T393" s="302">
        <f t="shared" si="8"/>
        <v>14815.275071055607</v>
      </c>
      <c r="U393" s="302">
        <f t="shared" si="19"/>
        <v>130813.79249159381</v>
      </c>
      <c r="V393" s="302">
        <f t="shared" si="20"/>
        <v>145629.0675626494</v>
      </c>
      <c r="W393" s="302">
        <f t="shared" si="21"/>
        <v>145629.0675626494</v>
      </c>
      <c r="AA393" s="10">
        <f t="shared" si="22"/>
        <v>10975974.318723235</v>
      </c>
      <c r="AB393" s="354">
        <f>+paraméterek!$B$346</f>
        <v>6.4600000000000005E-2</v>
      </c>
      <c r="AC393" s="302">
        <f t="shared" si="9"/>
        <v>29750.032627497232</v>
      </c>
      <c r="AD393" s="302">
        <f t="shared" si="25"/>
        <v>60070.364463078462</v>
      </c>
      <c r="AE393" s="302">
        <f t="shared" si="23"/>
        <v>89820.397090575687</v>
      </c>
      <c r="AF393" s="478">
        <f t="shared" si="10"/>
        <v>89820.397090575687</v>
      </c>
      <c r="AI393" s="543">
        <f t="shared" si="24"/>
        <v>146437.0675626494</v>
      </c>
      <c r="AJ393" s="543"/>
      <c r="AK393" s="300"/>
      <c r="AL393" s="543"/>
      <c r="AM393" s="10"/>
    </row>
    <row r="394" spans="1:39" s="11" customFormat="1" ht="13.8" hidden="1" x14ac:dyDescent="0.25">
      <c r="A394" s="11">
        <v>39</v>
      </c>
      <c r="B394" s="11">
        <f t="shared" si="11"/>
        <v>4</v>
      </c>
      <c r="C394" s="354">
        <f t="shared" si="1"/>
        <v>0</v>
      </c>
      <c r="D394" s="300">
        <f t="shared" si="3"/>
        <v>10510434.193536412</v>
      </c>
      <c r="E394" s="354">
        <f t="shared" si="27"/>
        <v>0.13400000000000001</v>
      </c>
      <c r="F394" s="354">
        <f t="shared" si="2"/>
        <v>0.03</v>
      </c>
      <c r="H394" s="436">
        <f t="shared" si="4"/>
        <v>40059.716431460743</v>
      </c>
      <c r="I394" s="302">
        <f t="shared" si="5"/>
        <v>0</v>
      </c>
      <c r="K394" s="426">
        <f t="shared" si="13"/>
        <v>66802.287800476537</v>
      </c>
      <c r="L394" s="10">
        <f t="shared" si="14"/>
        <v>66802.287800476537</v>
      </c>
      <c r="M394" s="436">
        <f t="shared" si="15"/>
        <v>66802.287800476537</v>
      </c>
      <c r="N394" s="301">
        <f t="shared" si="16"/>
        <v>26742.57136901579</v>
      </c>
      <c r="O394" s="302">
        <f t="shared" si="6"/>
        <v>66802.287800476508</v>
      </c>
      <c r="P394" s="436">
        <f t="shared" si="7"/>
        <v>0</v>
      </c>
      <c r="Q394" s="11">
        <f t="shared" si="17"/>
        <v>0</v>
      </c>
      <c r="R394" s="426">
        <f t="shared" si="18"/>
        <v>11524394.795307189</v>
      </c>
      <c r="S394" s="354">
        <f>+Hirdetmény!$AA$46</f>
        <v>0.13400000000000001</v>
      </c>
      <c r="T394" s="302">
        <f t="shared" si="8"/>
        <v>14983.010048769798</v>
      </c>
      <c r="U394" s="302">
        <f t="shared" si="19"/>
        <v>130646.05751387963</v>
      </c>
      <c r="V394" s="302">
        <f t="shared" si="20"/>
        <v>145629.06756264943</v>
      </c>
      <c r="W394" s="302">
        <f t="shared" si="21"/>
        <v>145629.06756264943</v>
      </c>
      <c r="AA394" s="10">
        <f t="shared" si="22"/>
        <v>10946061.907387562</v>
      </c>
      <c r="AB394" s="354">
        <f>+paraméterek!$B$346</f>
        <v>6.4600000000000005E-2</v>
      </c>
      <c r="AC394" s="302">
        <f t="shared" si="9"/>
        <v>29912.411335674031</v>
      </c>
      <c r="AD394" s="302">
        <f t="shared" si="25"/>
        <v>59907.985754901667</v>
      </c>
      <c r="AE394" s="302">
        <f t="shared" si="23"/>
        <v>89820.397090575701</v>
      </c>
      <c r="AF394" s="478">
        <f t="shared" si="10"/>
        <v>89820.397090575701</v>
      </c>
      <c r="AI394" s="543">
        <f t="shared" si="24"/>
        <v>146437.06756264943</v>
      </c>
      <c r="AJ394" s="543"/>
      <c r="AK394" s="300"/>
      <c r="AL394" s="543"/>
      <c r="AM394" s="10"/>
    </row>
    <row r="395" spans="1:39" s="11" customFormat="1" ht="13.8" hidden="1" x14ac:dyDescent="0.25">
      <c r="A395" s="11">
        <v>40</v>
      </c>
      <c r="B395" s="11">
        <f t="shared" si="11"/>
        <v>4</v>
      </c>
      <c r="C395" s="354">
        <f t="shared" si="1"/>
        <v>0</v>
      </c>
      <c r="D395" s="300">
        <f t="shared" si="3"/>
        <v>10470272.936851496</v>
      </c>
      <c r="E395" s="354">
        <f t="shared" si="27"/>
        <v>0.13400000000000001</v>
      </c>
      <c r="F395" s="354">
        <f t="shared" si="2"/>
        <v>0.03</v>
      </c>
      <c r="H395" s="436">
        <f t="shared" si="4"/>
        <v>40161.256684915483</v>
      </c>
      <c r="I395" s="302">
        <f t="shared" si="5"/>
        <v>0</v>
      </c>
      <c r="K395" s="426">
        <f t="shared" si="13"/>
        <v>66802.287800476523</v>
      </c>
      <c r="L395" s="10">
        <f t="shared" si="14"/>
        <v>66802.287800476523</v>
      </c>
      <c r="M395" s="436">
        <f t="shared" si="15"/>
        <v>66802.287800476523</v>
      </c>
      <c r="N395" s="301">
        <f t="shared" si="16"/>
        <v>26641.031115561043</v>
      </c>
      <c r="O395" s="302">
        <f t="shared" si="6"/>
        <v>66802.287800476508</v>
      </c>
      <c r="P395" s="436">
        <f t="shared" si="7"/>
        <v>0</v>
      </c>
      <c r="Q395" s="11">
        <f t="shared" si="17"/>
        <v>0</v>
      </c>
      <c r="R395" s="426">
        <f t="shared" si="18"/>
        <v>11509242.151225667</v>
      </c>
      <c r="S395" s="354">
        <f>+Hirdetmény!$AA$46</f>
        <v>0.13400000000000001</v>
      </c>
      <c r="T395" s="302">
        <f t="shared" si="8"/>
        <v>15152.644081521035</v>
      </c>
      <c r="U395" s="302">
        <f t="shared" si="19"/>
        <v>130476.42348112838</v>
      </c>
      <c r="V395" s="302">
        <f t="shared" si="20"/>
        <v>145629.0675626494</v>
      </c>
      <c r="W395" s="302">
        <f t="shared" si="21"/>
        <v>145629.0675626494</v>
      </c>
      <c r="AA395" s="10">
        <f t="shared" si="22"/>
        <v>10915986.231064184</v>
      </c>
      <c r="AB395" s="354">
        <f>+paraméterek!$B$346</f>
        <v>6.4600000000000005E-2</v>
      </c>
      <c r="AC395" s="302">
        <f t="shared" si="9"/>
        <v>30075.676323378626</v>
      </c>
      <c r="AD395" s="302">
        <f t="shared" si="25"/>
        <v>59744.720767197068</v>
      </c>
      <c r="AE395" s="302">
        <f t="shared" si="23"/>
        <v>89820.397090575687</v>
      </c>
      <c r="AF395" s="478">
        <f t="shared" si="10"/>
        <v>89820.397090575687</v>
      </c>
      <c r="AI395" s="543">
        <f t="shared" si="24"/>
        <v>146437.0675626494</v>
      </c>
      <c r="AJ395" s="543"/>
      <c r="AK395" s="300"/>
      <c r="AL395" s="543"/>
      <c r="AM395" s="10"/>
    </row>
    <row r="396" spans="1:39" s="11" customFormat="1" ht="13.8" hidden="1" x14ac:dyDescent="0.25">
      <c r="A396" s="11">
        <v>41</v>
      </c>
      <c r="B396" s="11">
        <f t="shared" si="11"/>
        <v>4</v>
      </c>
      <c r="C396" s="354">
        <f t="shared" si="1"/>
        <v>0</v>
      </c>
      <c r="D396" s="300">
        <f t="shared" si="3"/>
        <v>10430009.882536789</v>
      </c>
      <c r="E396" s="354">
        <f t="shared" si="27"/>
        <v>0.13400000000000001</v>
      </c>
      <c r="F396" s="354">
        <f t="shared" si="2"/>
        <v>0.03</v>
      </c>
      <c r="H396" s="436">
        <f t="shared" si="4"/>
        <v>40263.054314707108</v>
      </c>
      <c r="I396" s="302">
        <f t="shared" si="5"/>
        <v>0</v>
      </c>
      <c r="K396" s="426">
        <f t="shared" si="13"/>
        <v>66802.287800476537</v>
      </c>
      <c r="L396" s="10">
        <f t="shared" si="14"/>
        <v>66802.287800476537</v>
      </c>
      <c r="M396" s="436">
        <f t="shared" si="15"/>
        <v>66802.287800476537</v>
      </c>
      <c r="N396" s="301">
        <f t="shared" si="16"/>
        <v>26539.233485769422</v>
      </c>
      <c r="O396" s="302">
        <f t="shared" si="6"/>
        <v>66802.287800476508</v>
      </c>
      <c r="P396" s="436">
        <f t="shared" si="7"/>
        <v>0</v>
      </c>
      <c r="Q396" s="11">
        <f t="shared" si="17"/>
        <v>0</v>
      </c>
      <c r="R396" s="426">
        <f t="shared" si="18"/>
        <v>11493917.952555714</v>
      </c>
      <c r="S396" s="354">
        <f>+Hirdetmény!$AA$46</f>
        <v>0.13400000000000001</v>
      </c>
      <c r="T396" s="302">
        <f t="shared" si="8"/>
        <v>15324.198669953257</v>
      </c>
      <c r="U396" s="302">
        <f t="shared" si="19"/>
        <v>130304.86889269618</v>
      </c>
      <c r="V396" s="302">
        <f t="shared" si="20"/>
        <v>145629.06756264943</v>
      </c>
      <c r="W396" s="302">
        <f t="shared" si="21"/>
        <v>145629.06756264943</v>
      </c>
      <c r="AA396" s="10">
        <f t="shared" si="22"/>
        <v>10885746.398636168</v>
      </c>
      <c r="AB396" s="354">
        <f>+paraméterek!$B$346</f>
        <v>6.4600000000000005E-2</v>
      </c>
      <c r="AC396" s="302">
        <f t="shared" si="9"/>
        <v>30239.832428014957</v>
      </c>
      <c r="AD396" s="302">
        <f t="shared" si="25"/>
        <v>59580.564662560748</v>
      </c>
      <c r="AE396" s="302">
        <f t="shared" si="23"/>
        <v>89820.397090575701</v>
      </c>
      <c r="AF396" s="478">
        <f t="shared" si="10"/>
        <v>89820.397090575701</v>
      </c>
      <c r="AI396" s="543">
        <f t="shared" si="24"/>
        <v>146437.06756264943</v>
      </c>
      <c r="AJ396" s="543"/>
      <c r="AK396" s="300"/>
      <c r="AL396" s="543"/>
      <c r="AM396" s="10"/>
    </row>
    <row r="397" spans="1:39" s="11" customFormat="1" ht="13.8" hidden="1" x14ac:dyDescent="0.25">
      <c r="A397" s="11">
        <v>42</v>
      </c>
      <c r="B397" s="11">
        <f t="shared" si="11"/>
        <v>4</v>
      </c>
      <c r="C397" s="354">
        <f t="shared" si="1"/>
        <v>0</v>
      </c>
      <c r="D397" s="300">
        <f t="shared" si="3"/>
        <v>10389644.772563577</v>
      </c>
      <c r="E397" s="354">
        <f t="shared" si="27"/>
        <v>0.13400000000000001</v>
      </c>
      <c r="F397" s="354">
        <f t="shared" si="2"/>
        <v>0.03</v>
      </c>
      <c r="H397" s="436">
        <f t="shared" si="4"/>
        <v>40365.109973213133</v>
      </c>
      <c r="I397" s="302">
        <f t="shared" si="5"/>
        <v>0</v>
      </c>
      <c r="K397" s="426">
        <f t="shared" si="13"/>
        <v>66802.287800476523</v>
      </c>
      <c r="L397" s="10">
        <f t="shared" si="14"/>
        <v>66802.287800476523</v>
      </c>
      <c r="M397" s="436">
        <f t="shared" si="15"/>
        <v>66802.287800476523</v>
      </c>
      <c r="N397" s="301">
        <f t="shared" si="16"/>
        <v>26437.177827263389</v>
      </c>
      <c r="O397" s="302">
        <f t="shared" si="6"/>
        <v>66802.287800476508</v>
      </c>
      <c r="P397" s="436">
        <f t="shared" si="7"/>
        <v>0</v>
      </c>
      <c r="Q397" s="11">
        <f t="shared" si="17"/>
        <v>0</v>
      </c>
      <c r="R397" s="426">
        <f t="shared" si="18"/>
        <v>11478420.256997578</v>
      </c>
      <c r="S397" s="354">
        <f>+Hirdetmény!$AA$46</f>
        <v>0.13400000000000001</v>
      </c>
      <c r="T397" s="302">
        <f t="shared" si="8"/>
        <v>15497.695558135527</v>
      </c>
      <c r="U397" s="302">
        <f t="shared" si="19"/>
        <v>130131.37200451391</v>
      </c>
      <c r="V397" s="302">
        <f t="shared" si="20"/>
        <v>145629.06756264943</v>
      </c>
      <c r="W397" s="302">
        <f t="shared" si="21"/>
        <v>145629.06756264943</v>
      </c>
      <c r="AA397" s="10">
        <f t="shared" si="22"/>
        <v>10855341.514122779</v>
      </c>
      <c r="AB397" s="354">
        <f>+paraméterek!$B$346</f>
        <v>6.4600000000000005E-2</v>
      </c>
      <c r="AC397" s="302">
        <f t="shared" si="9"/>
        <v>30404.884513389999</v>
      </c>
      <c r="AD397" s="302">
        <f t="shared" si="25"/>
        <v>59415.512577185698</v>
      </c>
      <c r="AE397" s="302">
        <f t="shared" si="23"/>
        <v>89820.397090575701</v>
      </c>
      <c r="AF397" s="478">
        <f t="shared" si="10"/>
        <v>89820.397090575701</v>
      </c>
      <c r="AI397" s="543">
        <f t="shared" si="24"/>
        <v>146437.06756264943</v>
      </c>
      <c r="AJ397" s="543"/>
      <c r="AK397" s="300"/>
      <c r="AL397" s="543"/>
      <c r="AM397" s="10"/>
    </row>
    <row r="398" spans="1:39" s="11" customFormat="1" ht="13.8" hidden="1" x14ac:dyDescent="0.25">
      <c r="A398" s="11">
        <v>43</v>
      </c>
      <c r="B398" s="11">
        <f t="shared" si="11"/>
        <v>4</v>
      </c>
      <c r="C398" s="354">
        <f t="shared" si="1"/>
        <v>0</v>
      </c>
      <c r="D398" s="300">
        <f t="shared" si="3"/>
        <v>10349177.348249111</v>
      </c>
      <c r="E398" s="354">
        <f t="shared" si="27"/>
        <v>0.13400000000000001</v>
      </c>
      <c r="F398" s="354">
        <f t="shared" si="2"/>
        <v>0.03</v>
      </c>
      <c r="H398" s="436">
        <f t="shared" si="4"/>
        <v>40467.42431446469</v>
      </c>
      <c r="I398" s="302">
        <f t="shared" si="5"/>
        <v>0</v>
      </c>
      <c r="K398" s="426">
        <f t="shared" si="13"/>
        <v>66802.287800476537</v>
      </c>
      <c r="L398" s="10">
        <f t="shared" si="14"/>
        <v>66802.287800476537</v>
      </c>
      <c r="M398" s="436">
        <f t="shared" si="15"/>
        <v>66802.287800476537</v>
      </c>
      <c r="N398" s="301">
        <f t="shared" si="16"/>
        <v>26334.863486011844</v>
      </c>
      <c r="O398" s="302">
        <f t="shared" si="6"/>
        <v>66802.287800476508</v>
      </c>
      <c r="P398" s="436">
        <f t="shared" si="7"/>
        <v>0</v>
      </c>
      <c r="Q398" s="11">
        <f t="shared" si="17"/>
        <v>0</v>
      </c>
      <c r="R398" s="426">
        <f t="shared" si="18"/>
        <v>11462747.10026126</v>
      </c>
      <c r="S398" s="354">
        <f>+Hirdetmény!$AA$46</f>
        <v>0.13400000000000001</v>
      </c>
      <c r="T398" s="302">
        <f t="shared" si="8"/>
        <v>15673.156736318033</v>
      </c>
      <c r="U398" s="302">
        <f t="shared" si="19"/>
        <v>129955.9108263314</v>
      </c>
      <c r="V398" s="302">
        <f t="shared" si="20"/>
        <v>145629.06756264943</v>
      </c>
      <c r="W398" s="302">
        <f t="shared" si="21"/>
        <v>145629.06756264943</v>
      </c>
      <c r="AA398" s="10">
        <f t="shared" si="22"/>
        <v>10824770.676652921</v>
      </c>
      <c r="AB398" s="354">
        <f>+paraméterek!$B$346</f>
        <v>6.4600000000000005E-2</v>
      </c>
      <c r="AC398" s="302">
        <f t="shared" si="9"/>
        <v>30570.837469857874</v>
      </c>
      <c r="AD398" s="302">
        <f t="shared" si="25"/>
        <v>59249.559620717831</v>
      </c>
      <c r="AE398" s="302">
        <f t="shared" si="23"/>
        <v>89820.397090575701</v>
      </c>
      <c r="AF398" s="478">
        <f t="shared" si="10"/>
        <v>89820.397090575701</v>
      </c>
      <c r="AI398" s="543">
        <f t="shared" si="24"/>
        <v>146437.06756264943</v>
      </c>
      <c r="AJ398" s="543"/>
      <c r="AK398" s="300"/>
      <c r="AL398" s="543"/>
      <c r="AM398" s="10"/>
    </row>
    <row r="399" spans="1:39" s="11" customFormat="1" ht="13.8" hidden="1" x14ac:dyDescent="0.25">
      <c r="A399" s="11">
        <v>44</v>
      </c>
      <c r="B399" s="11">
        <f t="shared" si="11"/>
        <v>4</v>
      </c>
      <c r="C399" s="354">
        <f t="shared" si="1"/>
        <v>0</v>
      </c>
      <c r="D399" s="300">
        <f t="shared" si="3"/>
        <v>10308607.35025496</v>
      </c>
      <c r="E399" s="354">
        <f t="shared" si="27"/>
        <v>0.13400000000000001</v>
      </c>
      <c r="F399" s="354">
        <f t="shared" si="2"/>
        <v>0.03</v>
      </c>
      <c r="H399" s="436">
        <f t="shared" si="4"/>
        <v>40569.997994150646</v>
      </c>
      <c r="I399" s="302">
        <f t="shared" si="5"/>
        <v>0</v>
      </c>
      <c r="K399" s="426">
        <f t="shared" si="13"/>
        <v>66802.287800476523</v>
      </c>
      <c r="L399" s="10">
        <f t="shared" si="14"/>
        <v>66802.287800476523</v>
      </c>
      <c r="M399" s="436">
        <f t="shared" si="15"/>
        <v>66802.287800476523</v>
      </c>
      <c r="N399" s="301">
        <f t="shared" si="16"/>
        <v>26232.289806325873</v>
      </c>
      <c r="O399" s="302">
        <f t="shared" si="6"/>
        <v>66802.287800476508</v>
      </c>
      <c r="P399" s="436">
        <f t="shared" si="7"/>
        <v>0</v>
      </c>
      <c r="Q399" s="11">
        <f t="shared" si="17"/>
        <v>0</v>
      </c>
      <c r="R399" s="426">
        <f t="shared" si="18"/>
        <v>11446896.49581754</v>
      </c>
      <c r="S399" s="354">
        <f>+Hirdetmény!$AA$46</f>
        <v>0.13400000000000001</v>
      </c>
      <c r="T399" s="302">
        <f t="shared" si="8"/>
        <v>15850.604443719258</v>
      </c>
      <c r="U399" s="302">
        <f t="shared" si="19"/>
        <v>129778.46311893016</v>
      </c>
      <c r="V399" s="302">
        <f t="shared" si="20"/>
        <v>145629.0675626494</v>
      </c>
      <c r="W399" s="302">
        <f t="shared" si="21"/>
        <v>145629.0675626494</v>
      </c>
      <c r="AA399" s="10">
        <f t="shared" si="22"/>
        <v>10794032.980438456</v>
      </c>
      <c r="AB399" s="354">
        <f>+paraméterek!$B$346</f>
        <v>6.4600000000000005E-2</v>
      </c>
      <c r="AC399" s="302">
        <f t="shared" si="9"/>
        <v>30737.696214464766</v>
      </c>
      <c r="AD399" s="302">
        <f t="shared" si="25"/>
        <v>59082.700876110946</v>
      </c>
      <c r="AE399" s="302">
        <f t="shared" si="23"/>
        <v>89820.397090575716</v>
      </c>
      <c r="AF399" s="478">
        <f t="shared" si="10"/>
        <v>89820.397090575716</v>
      </c>
      <c r="AI399" s="543">
        <f t="shared" si="24"/>
        <v>146437.0675626494</v>
      </c>
      <c r="AJ399" s="543"/>
      <c r="AK399" s="300"/>
      <c r="AL399" s="543"/>
      <c r="AM399" s="10"/>
    </row>
    <row r="400" spans="1:39" s="11" customFormat="1" ht="13.8" hidden="1" x14ac:dyDescent="0.25">
      <c r="A400" s="11">
        <v>45</v>
      </c>
      <c r="B400" s="11">
        <f t="shared" si="11"/>
        <v>4</v>
      </c>
      <c r="C400" s="354">
        <f t="shared" si="1"/>
        <v>0</v>
      </c>
      <c r="D400" s="300">
        <f t="shared" si="3"/>
        <v>10267934.518585339</v>
      </c>
      <c r="E400" s="354">
        <f t="shared" si="27"/>
        <v>0.13400000000000001</v>
      </c>
      <c r="F400" s="354">
        <f t="shared" si="2"/>
        <v>0.03</v>
      </c>
      <c r="H400" s="436">
        <f t="shared" si="4"/>
        <v>40672.831669621941</v>
      </c>
      <c r="I400" s="302">
        <f t="shared" si="5"/>
        <v>0</v>
      </c>
      <c r="K400" s="426">
        <f t="shared" si="13"/>
        <v>66802.287800476523</v>
      </c>
      <c r="L400" s="10">
        <f t="shared" si="14"/>
        <v>66802.287800476523</v>
      </c>
      <c r="M400" s="436">
        <f t="shared" si="15"/>
        <v>66802.287800476523</v>
      </c>
      <c r="N400" s="301">
        <f t="shared" si="16"/>
        <v>26129.456130854585</v>
      </c>
      <c r="O400" s="302">
        <f t="shared" si="6"/>
        <v>66802.287800476508</v>
      </c>
      <c r="P400" s="436">
        <f t="shared" si="7"/>
        <v>0</v>
      </c>
      <c r="Q400" s="11">
        <f t="shared" si="17"/>
        <v>0</v>
      </c>
      <c r="R400" s="426">
        <f t="shared" si="18"/>
        <v>11430866.434646195</v>
      </c>
      <c r="S400" s="354">
        <f>+Hirdetmény!$AA$46</f>
        <v>0.13400000000000001</v>
      </c>
      <c r="T400" s="302">
        <f t="shared" si="8"/>
        <v>16030.061171344792</v>
      </c>
      <c r="U400" s="302">
        <f t="shared" si="19"/>
        <v>129599.00639130462</v>
      </c>
      <c r="V400" s="302">
        <f t="shared" si="20"/>
        <v>145629.0675626494</v>
      </c>
      <c r="W400" s="302">
        <f t="shared" si="21"/>
        <v>145629.0675626494</v>
      </c>
      <c r="AA400" s="10">
        <f t="shared" si="22"/>
        <v>10763127.514747361</v>
      </c>
      <c r="AB400" s="354">
        <f>+paraméterek!$B$346</f>
        <v>6.4600000000000005E-2</v>
      </c>
      <c r="AC400" s="302">
        <f t="shared" si="9"/>
        <v>30905.465691094592</v>
      </c>
      <c r="AD400" s="302">
        <f t="shared" si="25"/>
        <v>58914.931399481102</v>
      </c>
      <c r="AE400" s="302">
        <f t="shared" si="23"/>
        <v>89820.397090575687</v>
      </c>
      <c r="AF400" s="478">
        <f t="shared" si="10"/>
        <v>89820.397090575687</v>
      </c>
      <c r="AI400" s="543">
        <f t="shared" si="24"/>
        <v>146437.0675626494</v>
      </c>
      <c r="AJ400" s="543"/>
      <c r="AK400" s="300"/>
      <c r="AL400" s="543"/>
      <c r="AM400" s="10"/>
    </row>
    <row r="401" spans="1:39" s="11" customFormat="1" ht="13.8" hidden="1" x14ac:dyDescent="0.25">
      <c r="A401" s="11">
        <v>46</v>
      </c>
      <c r="B401" s="11">
        <f t="shared" si="11"/>
        <v>4</v>
      </c>
      <c r="C401" s="354">
        <f t="shared" si="1"/>
        <v>0</v>
      </c>
      <c r="D401" s="300">
        <f t="shared" si="3"/>
        <v>10227158.592585444</v>
      </c>
      <c r="E401" s="354">
        <f t="shared" si="27"/>
        <v>0.13400000000000001</v>
      </c>
      <c r="F401" s="354">
        <f t="shared" si="2"/>
        <v>0.03</v>
      </c>
      <c r="H401" s="436">
        <f t="shared" si="4"/>
        <v>40775.925999895633</v>
      </c>
      <c r="I401" s="302">
        <f t="shared" si="5"/>
        <v>0</v>
      </c>
      <c r="K401" s="426">
        <f t="shared" si="13"/>
        <v>66802.287800476523</v>
      </c>
      <c r="L401" s="10">
        <f t="shared" si="14"/>
        <v>66802.287800476523</v>
      </c>
      <c r="M401" s="436">
        <f t="shared" si="15"/>
        <v>66802.287800476523</v>
      </c>
      <c r="N401" s="301">
        <f t="shared" si="16"/>
        <v>26026.361800580893</v>
      </c>
      <c r="O401" s="302">
        <f t="shared" si="6"/>
        <v>66802.287800476508</v>
      </c>
      <c r="P401" s="436">
        <f t="shared" si="7"/>
        <v>0</v>
      </c>
      <c r="Q401" s="11">
        <f t="shared" si="17"/>
        <v>0</v>
      </c>
      <c r="R401" s="426">
        <f t="shared" si="18"/>
        <v>11414654.884981357</v>
      </c>
      <c r="S401" s="354">
        <f>+Hirdetmény!$AA$46</f>
        <v>0.13400000000000001</v>
      </c>
      <c r="T401" s="302">
        <f t="shared" si="8"/>
        <v>16211.549664837963</v>
      </c>
      <c r="U401" s="302">
        <f t="shared" si="19"/>
        <v>129417.51789781143</v>
      </c>
      <c r="V401" s="302">
        <f t="shared" si="20"/>
        <v>145629.06756264938</v>
      </c>
      <c r="W401" s="302">
        <f t="shared" si="21"/>
        <v>145629.06756264938</v>
      </c>
      <c r="AA401" s="10">
        <f t="shared" si="22"/>
        <v>10732053.363876745</v>
      </c>
      <c r="AB401" s="354">
        <f>+paraméterek!$B$346</f>
        <v>6.4600000000000005E-2</v>
      </c>
      <c r="AC401" s="302">
        <f t="shared" si="9"/>
        <v>31074.150870615504</v>
      </c>
      <c r="AD401" s="302">
        <f t="shared" si="25"/>
        <v>58746.246219960201</v>
      </c>
      <c r="AE401" s="302">
        <f t="shared" si="23"/>
        <v>89820.397090575701</v>
      </c>
      <c r="AF401" s="478">
        <f t="shared" si="10"/>
        <v>89820.397090575701</v>
      </c>
      <c r="AI401" s="543">
        <f t="shared" si="24"/>
        <v>146437.06756264938</v>
      </c>
      <c r="AJ401" s="543"/>
      <c r="AK401" s="300"/>
      <c r="AL401" s="543"/>
      <c r="AM401" s="10"/>
    </row>
    <row r="402" spans="1:39" s="11" customFormat="1" ht="13.8" hidden="1" x14ac:dyDescent="0.25">
      <c r="A402" s="11">
        <v>47</v>
      </c>
      <c r="B402" s="11">
        <f t="shared" si="11"/>
        <v>4</v>
      </c>
      <c r="C402" s="354">
        <f t="shared" si="1"/>
        <v>0</v>
      </c>
      <c r="D402" s="300">
        <f t="shared" si="3"/>
        <v>10186279.310939785</v>
      </c>
      <c r="E402" s="354">
        <f t="shared" si="27"/>
        <v>0.13400000000000001</v>
      </c>
      <c r="F402" s="354">
        <f t="shared" si="2"/>
        <v>0.03</v>
      </c>
      <c r="H402" s="436">
        <f t="shared" si="4"/>
        <v>40879.281645659255</v>
      </c>
      <c r="I402" s="302">
        <f t="shared" si="5"/>
        <v>0</v>
      </c>
      <c r="K402" s="426">
        <f t="shared" si="13"/>
        <v>66802.287800476523</v>
      </c>
      <c r="L402" s="10">
        <f t="shared" si="14"/>
        <v>66802.287800476523</v>
      </c>
      <c r="M402" s="436">
        <f t="shared" si="15"/>
        <v>66802.287800476523</v>
      </c>
      <c r="N402" s="301">
        <f t="shared" si="16"/>
        <v>25923.006154817271</v>
      </c>
      <c r="O402" s="302">
        <f t="shared" si="6"/>
        <v>66802.287800476508</v>
      </c>
      <c r="P402" s="436">
        <f t="shared" si="7"/>
        <v>0</v>
      </c>
      <c r="Q402" s="11">
        <f t="shared" si="17"/>
        <v>0</v>
      </c>
      <c r="R402" s="426">
        <f t="shared" si="18"/>
        <v>11398259.792053994</v>
      </c>
      <c r="S402" s="354">
        <f>+Hirdetmény!$AA$46</f>
        <v>0.13400000000000001</v>
      </c>
      <c r="T402" s="302">
        <f t="shared" si="8"/>
        <v>16395.092927362777</v>
      </c>
      <c r="U402" s="302">
        <f t="shared" si="19"/>
        <v>129233.97463528664</v>
      </c>
      <c r="V402" s="302">
        <f t="shared" si="20"/>
        <v>145629.0675626494</v>
      </c>
      <c r="W402" s="302">
        <f t="shared" si="21"/>
        <v>145629.0675626494</v>
      </c>
      <c r="AA402" s="10">
        <f t="shared" si="22"/>
        <v>10700809.607125718</v>
      </c>
      <c r="AB402" s="354">
        <f>+paraméterek!$B$346</f>
        <v>6.4600000000000005E-2</v>
      </c>
      <c r="AC402" s="302">
        <f t="shared" si="9"/>
        <v>31243.756751027126</v>
      </c>
      <c r="AD402" s="302">
        <f t="shared" si="25"/>
        <v>58576.640339548569</v>
      </c>
      <c r="AE402" s="302">
        <f t="shared" si="23"/>
        <v>89820.397090575687</v>
      </c>
      <c r="AF402" s="478">
        <f t="shared" si="10"/>
        <v>89820.397090575687</v>
      </c>
      <c r="AI402" s="543">
        <f t="shared" si="24"/>
        <v>146437.0675626494</v>
      </c>
      <c r="AJ402" s="543"/>
      <c r="AK402" s="300"/>
      <c r="AL402" s="543"/>
      <c r="AM402" s="10"/>
    </row>
    <row r="403" spans="1:39" s="11" customFormat="1" ht="13.8" hidden="1" x14ac:dyDescent="0.25">
      <c r="A403" s="11">
        <v>48</v>
      </c>
      <c r="B403" s="11">
        <f t="shared" si="11"/>
        <v>4</v>
      </c>
      <c r="C403" s="354">
        <f t="shared" si="1"/>
        <v>0</v>
      </c>
      <c r="D403" s="300">
        <f t="shared" si="3"/>
        <v>10145296.41167051</v>
      </c>
      <c r="E403" s="354">
        <f t="shared" si="27"/>
        <v>0.13400000000000001</v>
      </c>
      <c r="F403" s="354">
        <f t="shared" si="2"/>
        <v>0.03</v>
      </c>
      <c r="H403" s="436">
        <f t="shared" si="4"/>
        <v>40982.899269274989</v>
      </c>
      <c r="I403" s="302">
        <f t="shared" si="5"/>
        <v>0</v>
      </c>
      <c r="K403" s="426">
        <f t="shared" si="13"/>
        <v>66802.287800476537</v>
      </c>
      <c r="L403" s="10">
        <f t="shared" si="14"/>
        <v>66802.287800476537</v>
      </c>
      <c r="M403" s="436">
        <f t="shared" si="15"/>
        <v>66802.287800476537</v>
      </c>
      <c r="N403" s="301">
        <f t="shared" si="16"/>
        <v>25819.388531201541</v>
      </c>
      <c r="O403" s="302">
        <f t="shared" si="6"/>
        <v>66802.287800476508</v>
      </c>
      <c r="P403" s="436">
        <f t="shared" si="7"/>
        <v>0</v>
      </c>
      <c r="Q403" s="11">
        <f t="shared" si="17"/>
        <v>0</v>
      </c>
      <c r="R403" s="426">
        <f t="shared" si="18"/>
        <v>11381679.077831475</v>
      </c>
      <c r="S403" s="354">
        <f>+Hirdetmény!$AA$46</f>
        <v>0.13400000000000001</v>
      </c>
      <c r="T403" s="302">
        <f t="shared" si="8"/>
        <v>16580.714222519568</v>
      </c>
      <c r="U403" s="302">
        <f t="shared" si="19"/>
        <v>129048.35334012982</v>
      </c>
      <c r="V403" s="302">
        <f t="shared" si="20"/>
        <v>145629.06756264938</v>
      </c>
      <c r="W403" s="302">
        <f t="shared" si="21"/>
        <v>145629.06756264938</v>
      </c>
      <c r="AA403" s="10">
        <f t="shared" si="22"/>
        <v>10669395.31876811</v>
      </c>
      <c r="AB403" s="354">
        <f>+paraméterek!$B$346</f>
        <v>6.4600000000000005E-2</v>
      </c>
      <c r="AC403" s="302">
        <f t="shared" si="9"/>
        <v>31414.28835760873</v>
      </c>
      <c r="AD403" s="302">
        <f t="shared" si="25"/>
        <v>58406.108732966975</v>
      </c>
      <c r="AE403" s="302">
        <f t="shared" si="23"/>
        <v>89820.397090575701</v>
      </c>
      <c r="AF403" s="478">
        <f t="shared" si="10"/>
        <v>89820.397090575701</v>
      </c>
      <c r="AI403" s="543">
        <f t="shared" si="24"/>
        <v>146437.06756264938</v>
      </c>
      <c r="AJ403" s="543"/>
      <c r="AK403" s="300"/>
      <c r="AL403" s="543"/>
      <c r="AM403" s="10"/>
    </row>
    <row r="404" spans="1:39" s="11" customFormat="1" ht="13.8" hidden="1" x14ac:dyDescent="0.25">
      <c r="A404" s="11">
        <v>49</v>
      </c>
      <c r="B404" s="11">
        <f t="shared" si="11"/>
        <v>5</v>
      </c>
      <c r="C404" s="354">
        <f t="shared" si="1"/>
        <v>0</v>
      </c>
      <c r="D404" s="300">
        <f t="shared" si="3"/>
        <v>10104209.632135727</v>
      </c>
      <c r="E404" s="354">
        <f t="shared" si="27"/>
        <v>0.13400000000000001</v>
      </c>
      <c r="F404" s="354">
        <f t="shared" si="2"/>
        <v>0.03</v>
      </c>
      <c r="H404" s="436">
        <f t="shared" si="4"/>
        <v>41086.779534783913</v>
      </c>
      <c r="I404" s="302">
        <f t="shared" si="5"/>
        <v>0</v>
      </c>
      <c r="K404" s="426">
        <f t="shared" si="13"/>
        <v>66802.287800476523</v>
      </c>
      <c r="L404" s="10">
        <f t="shared" si="14"/>
        <v>66802.287800476523</v>
      </c>
      <c r="M404" s="436">
        <f t="shared" si="15"/>
        <v>66802.287800476523</v>
      </c>
      <c r="N404" s="301">
        <f t="shared" si="16"/>
        <v>25715.508265692613</v>
      </c>
      <c r="O404" s="302">
        <f t="shared" si="6"/>
        <v>66802.287800476508</v>
      </c>
      <c r="P404" s="436">
        <f t="shared" si="7"/>
        <v>0</v>
      </c>
      <c r="Q404" s="11">
        <f t="shared" si="17"/>
        <v>0</v>
      </c>
      <c r="R404" s="426">
        <f t="shared" si="18"/>
        <v>11364910.640754182</v>
      </c>
      <c r="S404" s="354">
        <f>+Hirdetmény!$AA$46</f>
        <v>0.13400000000000001</v>
      </c>
      <c r="T404" s="302">
        <f t="shared" si="8"/>
        <v>16768.437077293507</v>
      </c>
      <c r="U404" s="302">
        <f t="shared" si="19"/>
        <v>128860.63048535591</v>
      </c>
      <c r="V404" s="302">
        <f t="shared" si="20"/>
        <v>145629.06756264943</v>
      </c>
      <c r="W404" s="302">
        <f t="shared" si="21"/>
        <v>145629.06756264943</v>
      </c>
      <c r="AA404" s="10">
        <f t="shared" si="22"/>
        <v>10637809.568025041</v>
      </c>
      <c r="AB404" s="354">
        <f>+paraméterek!$B$346</f>
        <v>6.4600000000000005E-2</v>
      </c>
      <c r="AC404" s="302">
        <f t="shared" si="9"/>
        <v>31585.750743067998</v>
      </c>
      <c r="AD404" s="302">
        <f t="shared" si="25"/>
        <v>58234.646347507703</v>
      </c>
      <c r="AE404" s="302">
        <f t="shared" si="23"/>
        <v>89820.397090575701</v>
      </c>
      <c r="AF404" s="478">
        <f t="shared" si="10"/>
        <v>89820.397090575701</v>
      </c>
      <c r="AI404" s="543">
        <f t="shared" si="24"/>
        <v>146437.06756264943</v>
      </c>
      <c r="AJ404" s="543"/>
      <c r="AK404" s="300"/>
      <c r="AL404" s="543"/>
      <c r="AM404" s="10"/>
    </row>
    <row r="405" spans="1:39" s="11" customFormat="1" ht="13.8" hidden="1" x14ac:dyDescent="0.25">
      <c r="A405" s="11">
        <v>50</v>
      </c>
      <c r="B405" s="11">
        <f t="shared" si="11"/>
        <v>5</v>
      </c>
      <c r="C405" s="354">
        <f t="shared" si="1"/>
        <v>0</v>
      </c>
      <c r="D405" s="300">
        <f t="shared" si="3"/>
        <v>10063018.709027816</v>
      </c>
      <c r="E405" s="354">
        <f t="shared" ref="E405:E420" si="28">E404</f>
        <v>0.13400000000000001</v>
      </c>
      <c r="F405" s="354">
        <f t="shared" si="2"/>
        <v>0.03</v>
      </c>
      <c r="H405" s="436">
        <f t="shared" si="4"/>
        <v>41190.923107910276</v>
      </c>
      <c r="I405" s="302">
        <f t="shared" si="5"/>
        <v>0</v>
      </c>
      <c r="K405" s="426">
        <f t="shared" si="13"/>
        <v>66802.287800476523</v>
      </c>
      <c r="L405" s="10">
        <f t="shared" si="14"/>
        <v>66802.287800476523</v>
      </c>
      <c r="M405" s="436">
        <f t="shared" si="15"/>
        <v>66802.287800476523</v>
      </c>
      <c r="N405" s="301">
        <f t="shared" si="16"/>
        <v>25611.364692566251</v>
      </c>
      <c r="O405" s="302">
        <f t="shared" si="6"/>
        <v>66802.287800476508</v>
      </c>
      <c r="P405" s="436">
        <f t="shared" si="7"/>
        <v>0</v>
      </c>
      <c r="Q405" s="11">
        <f t="shared" si="17"/>
        <v>0</v>
      </c>
      <c r="R405" s="426">
        <f t="shared" si="18"/>
        <v>11347952.355469145</v>
      </c>
      <c r="S405" s="354">
        <f>+Hirdetmény!$AA$46</f>
        <v>0.13400000000000001</v>
      </c>
      <c r="T405" s="302">
        <f t="shared" si="8"/>
        <v>16958.285285036665</v>
      </c>
      <c r="U405" s="302">
        <f t="shared" si="19"/>
        <v>128670.78227761277</v>
      </c>
      <c r="V405" s="302">
        <f t="shared" si="20"/>
        <v>145629.06756264943</v>
      </c>
      <c r="W405" s="302">
        <f t="shared" si="21"/>
        <v>145629.06756264943</v>
      </c>
      <c r="AA405" s="10">
        <f t="shared" si="22"/>
        <v>10606051.419037351</v>
      </c>
      <c r="AB405" s="354">
        <f>+paraméterek!$B$346</f>
        <v>6.4600000000000005E-2</v>
      </c>
      <c r="AC405" s="302">
        <f t="shared" si="9"/>
        <v>31758.148987690871</v>
      </c>
      <c r="AD405" s="302">
        <f t="shared" si="25"/>
        <v>58062.248102884834</v>
      </c>
      <c r="AE405" s="302">
        <f t="shared" si="23"/>
        <v>89820.397090575701</v>
      </c>
      <c r="AF405" s="478">
        <f t="shared" si="10"/>
        <v>89820.397090575701</v>
      </c>
      <c r="AI405" s="543">
        <f t="shared" si="24"/>
        <v>146437.06756264943</v>
      </c>
      <c r="AJ405" s="543"/>
      <c r="AK405" s="300"/>
      <c r="AL405" s="543"/>
      <c r="AM405" s="10"/>
    </row>
    <row r="406" spans="1:39" s="11" customFormat="1" ht="13.8" hidden="1" x14ac:dyDescent="0.25">
      <c r="A406" s="11">
        <v>51</v>
      </c>
      <c r="B406" s="11">
        <f t="shared" si="11"/>
        <v>5</v>
      </c>
      <c r="C406" s="354">
        <f t="shared" si="1"/>
        <v>0</v>
      </c>
      <c r="D406" s="300">
        <f t="shared" si="3"/>
        <v>10021723.378371749</v>
      </c>
      <c r="E406" s="354">
        <f t="shared" si="28"/>
        <v>0.13400000000000001</v>
      </c>
      <c r="F406" s="354">
        <f t="shared" si="2"/>
        <v>0.03</v>
      </c>
      <c r="H406" s="436">
        <f t="shared" si="4"/>
        <v>41295.330656065751</v>
      </c>
      <c r="I406" s="302">
        <f t="shared" si="5"/>
        <v>0</v>
      </c>
      <c r="K406" s="426">
        <f t="shared" si="13"/>
        <v>66802.287800476537</v>
      </c>
      <c r="L406" s="10">
        <f t="shared" si="14"/>
        <v>66802.287800476537</v>
      </c>
      <c r="M406" s="436">
        <f t="shared" si="15"/>
        <v>66802.287800476537</v>
      </c>
      <c r="N406" s="301">
        <f t="shared" si="16"/>
        <v>25506.957144410782</v>
      </c>
      <c r="O406" s="302">
        <f t="shared" si="6"/>
        <v>66802.287800476508</v>
      </c>
      <c r="P406" s="436">
        <f t="shared" si="7"/>
        <v>0</v>
      </c>
      <c r="Q406" s="11">
        <f t="shared" si="17"/>
        <v>0</v>
      </c>
      <c r="R406" s="426">
        <f t="shared" si="18"/>
        <v>11330802.072560661</v>
      </c>
      <c r="S406" s="354">
        <f>+Hirdetmény!$AA$46</f>
        <v>0.13400000000000001</v>
      </c>
      <c r="T406" s="302">
        <f t="shared" si="8"/>
        <v>17150.282908483681</v>
      </c>
      <c r="U406" s="302">
        <f t="shared" si="19"/>
        <v>128478.78465416573</v>
      </c>
      <c r="V406" s="302">
        <f t="shared" si="20"/>
        <v>145629.0675626494</v>
      </c>
      <c r="W406" s="302">
        <f t="shared" si="21"/>
        <v>145629.0675626494</v>
      </c>
      <c r="AA406" s="10">
        <f t="shared" si="22"/>
        <v>10574119.93083786</v>
      </c>
      <c r="AB406" s="354">
        <f>+paraméterek!$B$346</f>
        <v>6.4600000000000005E-2</v>
      </c>
      <c r="AC406" s="302">
        <f t="shared" si="9"/>
        <v>31931.488199491963</v>
      </c>
      <c r="AD406" s="302">
        <f t="shared" si="25"/>
        <v>57888.908891083738</v>
      </c>
      <c r="AE406" s="302">
        <f t="shared" si="23"/>
        <v>89820.397090575701</v>
      </c>
      <c r="AF406" s="478">
        <f t="shared" si="10"/>
        <v>89820.397090575701</v>
      </c>
      <c r="AI406" s="543">
        <f t="shared" si="24"/>
        <v>146437.0675626494</v>
      </c>
      <c r="AJ406" s="543"/>
      <c r="AK406" s="300"/>
      <c r="AL406" s="543"/>
      <c r="AM406" s="10"/>
    </row>
    <row r="407" spans="1:39" s="11" customFormat="1" ht="13.8" hidden="1" x14ac:dyDescent="0.25">
      <c r="A407" s="11">
        <v>52</v>
      </c>
      <c r="B407" s="11">
        <f t="shared" si="11"/>
        <v>5</v>
      </c>
      <c r="C407" s="354">
        <f t="shared" si="1"/>
        <v>0</v>
      </c>
      <c r="D407" s="300">
        <f t="shared" si="3"/>
        <v>9980323.3755233958</v>
      </c>
      <c r="E407" s="354">
        <f t="shared" si="28"/>
        <v>0.13400000000000001</v>
      </c>
      <c r="F407" s="354">
        <f t="shared" si="2"/>
        <v>0.03</v>
      </c>
      <c r="H407" s="436">
        <f t="shared" si="4"/>
        <v>41400.002848353688</v>
      </c>
      <c r="I407" s="302">
        <f t="shared" si="5"/>
        <v>0</v>
      </c>
      <c r="K407" s="426">
        <f t="shared" si="13"/>
        <v>66802.287800476523</v>
      </c>
      <c r="L407" s="10">
        <f t="shared" si="14"/>
        <v>66802.287800476523</v>
      </c>
      <c r="M407" s="436">
        <f t="shared" si="15"/>
        <v>66802.287800476523</v>
      </c>
      <c r="N407" s="301">
        <f t="shared" si="16"/>
        <v>25402.284952122835</v>
      </c>
      <c r="O407" s="302">
        <f t="shared" si="6"/>
        <v>66802.287800476508</v>
      </c>
      <c r="P407" s="436">
        <f t="shared" si="7"/>
        <v>0</v>
      </c>
      <c r="Q407" s="11">
        <f t="shared" si="17"/>
        <v>0</v>
      </c>
      <c r="R407" s="426">
        <f t="shared" si="18"/>
        <v>11313457.618277859</v>
      </c>
      <c r="S407" s="354">
        <f>+Hirdetmény!$AA$46</f>
        <v>0.13400000000000001</v>
      </c>
      <c r="T407" s="302">
        <f t="shared" si="8"/>
        <v>17344.454282801726</v>
      </c>
      <c r="U407" s="302">
        <f t="shared" si="19"/>
        <v>128284.61327984769</v>
      </c>
      <c r="V407" s="302">
        <f t="shared" si="20"/>
        <v>145629.0675626494</v>
      </c>
      <c r="W407" s="302">
        <f t="shared" si="21"/>
        <v>145629.0675626494</v>
      </c>
      <c r="AA407" s="10">
        <f t="shared" si="22"/>
        <v>10542014.157323495</v>
      </c>
      <c r="AB407" s="354">
        <f>+paraméterek!$B$346</f>
        <v>6.4600000000000005E-2</v>
      </c>
      <c r="AC407" s="302">
        <f t="shared" si="9"/>
        <v>32105.773514366007</v>
      </c>
      <c r="AD407" s="302">
        <f t="shared" si="25"/>
        <v>57714.623576209706</v>
      </c>
      <c r="AE407" s="302">
        <f t="shared" si="23"/>
        <v>89820.397090575716</v>
      </c>
      <c r="AF407" s="478">
        <f t="shared" si="10"/>
        <v>89820.397090575716</v>
      </c>
      <c r="AI407" s="543">
        <f t="shared" si="24"/>
        <v>146437.0675626494</v>
      </c>
      <c r="AJ407" s="543"/>
      <c r="AK407" s="300"/>
      <c r="AL407" s="543"/>
      <c r="AM407" s="10"/>
    </row>
    <row r="408" spans="1:39" s="11" customFormat="1" ht="13.8" hidden="1" x14ac:dyDescent="0.25">
      <c r="A408" s="11">
        <v>53</v>
      </c>
      <c r="B408" s="11">
        <f t="shared" si="11"/>
        <v>5</v>
      </c>
      <c r="C408" s="354">
        <f t="shared" si="1"/>
        <v>0</v>
      </c>
      <c r="D408" s="300">
        <f t="shared" si="3"/>
        <v>9938818.435167823</v>
      </c>
      <c r="E408" s="354">
        <f t="shared" si="28"/>
        <v>0.13400000000000001</v>
      </c>
      <c r="F408" s="354">
        <f t="shared" si="2"/>
        <v>0.03</v>
      </c>
      <c r="H408" s="436">
        <f t="shared" si="4"/>
        <v>41504.940355573475</v>
      </c>
      <c r="I408" s="302">
        <f t="shared" si="5"/>
        <v>0</v>
      </c>
      <c r="K408" s="426">
        <f t="shared" si="13"/>
        <v>66802.287800476523</v>
      </c>
      <c r="L408" s="10">
        <f t="shared" si="14"/>
        <v>66802.287800476523</v>
      </c>
      <c r="M408" s="436">
        <f t="shared" si="15"/>
        <v>66802.287800476523</v>
      </c>
      <c r="N408" s="301">
        <f t="shared" si="16"/>
        <v>25297.347444903051</v>
      </c>
      <c r="O408" s="302">
        <f t="shared" si="6"/>
        <v>66802.287800476508</v>
      </c>
      <c r="P408" s="436">
        <f t="shared" si="7"/>
        <v>0</v>
      </c>
      <c r="Q408" s="11">
        <f t="shared" si="17"/>
        <v>0</v>
      </c>
      <c r="R408" s="426">
        <f t="shared" si="18"/>
        <v>11295916.794259185</v>
      </c>
      <c r="S408" s="354">
        <f>+Hirdetmény!$AA$46</f>
        <v>0.13400000000000001</v>
      </c>
      <c r="T408" s="302">
        <f t="shared" si="8"/>
        <v>17540.824018674841</v>
      </c>
      <c r="U408" s="302">
        <f t="shared" si="19"/>
        <v>128088.24354397456</v>
      </c>
      <c r="V408" s="302">
        <f t="shared" si="20"/>
        <v>145629.0675626494</v>
      </c>
      <c r="W408" s="302">
        <f t="shared" si="21"/>
        <v>145629.0675626494</v>
      </c>
      <c r="AA408" s="10">
        <f t="shared" si="22"/>
        <v>10509733.147227254</v>
      </c>
      <c r="AB408" s="354">
        <f>+paraméterek!$B$346</f>
        <v>6.4600000000000005E-2</v>
      </c>
      <c r="AC408" s="302">
        <f t="shared" si="9"/>
        <v>32281.010096239897</v>
      </c>
      <c r="AD408" s="302">
        <f t="shared" si="25"/>
        <v>57539.386994335815</v>
      </c>
      <c r="AE408" s="302">
        <f t="shared" si="23"/>
        <v>89820.397090575716</v>
      </c>
      <c r="AF408" s="478">
        <f t="shared" si="10"/>
        <v>89820.397090575716</v>
      </c>
      <c r="AI408" s="543">
        <f t="shared" si="24"/>
        <v>146437.0675626494</v>
      </c>
      <c r="AJ408" s="543"/>
      <c r="AK408" s="300"/>
      <c r="AL408" s="543"/>
      <c r="AM408" s="10"/>
    </row>
    <row r="409" spans="1:39" s="11" customFormat="1" ht="13.8" hidden="1" x14ac:dyDescent="0.25">
      <c r="A409" s="11">
        <v>54</v>
      </c>
      <c r="B409" s="11">
        <f t="shared" si="11"/>
        <v>5</v>
      </c>
      <c r="C409" s="354">
        <f t="shared" si="1"/>
        <v>0</v>
      </c>
      <c r="D409" s="300">
        <f t="shared" si="3"/>
        <v>9897208.2913175989</v>
      </c>
      <c r="E409" s="354">
        <f t="shared" si="28"/>
        <v>0.13400000000000001</v>
      </c>
      <c r="F409" s="354">
        <f t="shared" si="2"/>
        <v>0.03</v>
      </c>
      <c r="H409" s="436">
        <f t="shared" si="4"/>
        <v>41610.143850224755</v>
      </c>
      <c r="I409" s="302">
        <f t="shared" si="5"/>
        <v>0</v>
      </c>
      <c r="K409" s="426">
        <f t="shared" si="13"/>
        <v>66802.287800476523</v>
      </c>
      <c r="L409" s="10">
        <f t="shared" si="14"/>
        <v>66802.287800476523</v>
      </c>
      <c r="M409" s="436">
        <f t="shared" si="15"/>
        <v>66802.287800476523</v>
      </c>
      <c r="N409" s="301">
        <f t="shared" si="16"/>
        <v>25192.143950251771</v>
      </c>
      <c r="O409" s="302">
        <f t="shared" si="6"/>
        <v>66802.287800476508</v>
      </c>
      <c r="P409" s="436">
        <f t="shared" si="7"/>
        <v>0</v>
      </c>
      <c r="Q409" s="11">
        <f t="shared" si="17"/>
        <v>0</v>
      </c>
      <c r="R409" s="426">
        <f t="shared" si="18"/>
        <v>11278177.377253762</v>
      </c>
      <c r="S409" s="354">
        <f>+Hirdetmény!$AA$46</f>
        <v>0.13400000000000001</v>
      </c>
      <c r="T409" s="302">
        <f t="shared" si="8"/>
        <v>17739.417005423304</v>
      </c>
      <c r="U409" s="302">
        <f t="shared" si="19"/>
        <v>127889.65055722612</v>
      </c>
      <c r="V409" s="302">
        <f t="shared" si="20"/>
        <v>145629.06756264943</v>
      </c>
      <c r="W409" s="302">
        <f t="shared" si="21"/>
        <v>145629.06756264943</v>
      </c>
      <c r="AA409" s="10">
        <f t="shared" si="22"/>
        <v>10477275.944090027</v>
      </c>
      <c r="AB409" s="354">
        <f>+paraméterek!$B$346</f>
        <v>6.4600000000000005E-2</v>
      </c>
      <c r="AC409" s="302">
        <f t="shared" si="9"/>
        <v>32457.203137225843</v>
      </c>
      <c r="AD409" s="302">
        <f t="shared" si="25"/>
        <v>57363.193953349866</v>
      </c>
      <c r="AE409" s="302">
        <f t="shared" si="23"/>
        <v>89820.397090575716</v>
      </c>
      <c r="AF409" s="478">
        <f t="shared" si="10"/>
        <v>89820.397090575716</v>
      </c>
      <c r="AI409" s="543">
        <f t="shared" si="24"/>
        <v>146437.06756264943</v>
      </c>
      <c r="AJ409" s="543"/>
      <c r="AK409" s="300"/>
      <c r="AL409" s="543"/>
      <c r="AM409" s="10"/>
    </row>
    <row r="410" spans="1:39" s="11" customFormat="1" ht="13.8" hidden="1" x14ac:dyDescent="0.25">
      <c r="A410" s="11">
        <v>55</v>
      </c>
      <c r="B410" s="11">
        <f t="shared" si="11"/>
        <v>5</v>
      </c>
      <c r="C410" s="354">
        <f t="shared" si="1"/>
        <v>0</v>
      </c>
      <c r="D410" s="300">
        <f t="shared" si="3"/>
        <v>9855492.677311087</v>
      </c>
      <c r="E410" s="354">
        <f t="shared" si="28"/>
        <v>0.13400000000000001</v>
      </c>
      <c r="F410" s="354">
        <f t="shared" si="2"/>
        <v>0.03</v>
      </c>
      <c r="H410" s="436">
        <f t="shared" si="4"/>
        <v>41715.61400651178</v>
      </c>
      <c r="I410" s="302">
        <f t="shared" si="5"/>
        <v>0</v>
      </c>
      <c r="K410" s="426">
        <f t="shared" si="13"/>
        <v>66802.287800476523</v>
      </c>
      <c r="L410" s="10">
        <f t="shared" si="14"/>
        <v>66802.287800476523</v>
      </c>
      <c r="M410" s="436">
        <f t="shared" si="15"/>
        <v>66802.287800476523</v>
      </c>
      <c r="N410" s="301">
        <f t="shared" si="16"/>
        <v>25086.673793964746</v>
      </c>
      <c r="O410" s="302">
        <f t="shared" si="6"/>
        <v>66802.287800476508</v>
      </c>
      <c r="P410" s="436">
        <f t="shared" si="7"/>
        <v>0</v>
      </c>
      <c r="Q410" s="11">
        <f t="shared" si="17"/>
        <v>0</v>
      </c>
      <c r="R410" s="426">
        <f t="shared" si="18"/>
        <v>11260237.118839603</v>
      </c>
      <c r="S410" s="354">
        <f>+Hirdetmény!$AA$46</f>
        <v>0.13400000000000001</v>
      </c>
      <c r="T410" s="302">
        <f t="shared" si="8"/>
        <v>17940.258414158321</v>
      </c>
      <c r="U410" s="302">
        <f t="shared" si="19"/>
        <v>127688.80914849108</v>
      </c>
      <c r="V410" s="302">
        <f t="shared" si="20"/>
        <v>145629.0675626494</v>
      </c>
      <c r="W410" s="302">
        <f t="shared" si="21"/>
        <v>145629.0675626494</v>
      </c>
      <c r="AA410" s="10">
        <f t="shared" si="22"/>
        <v>10444641.586232252</v>
      </c>
      <c r="AB410" s="354">
        <f>+paraméterek!$B$346</f>
        <v>6.4600000000000005E-2</v>
      </c>
      <c r="AC410" s="302">
        <f t="shared" si="9"/>
        <v>32634.357857775056</v>
      </c>
      <c r="AD410" s="302">
        <f t="shared" si="25"/>
        <v>57186.039232800642</v>
      </c>
      <c r="AE410" s="302">
        <f t="shared" si="23"/>
        <v>89820.397090575701</v>
      </c>
      <c r="AF410" s="478">
        <f t="shared" si="10"/>
        <v>89820.397090575701</v>
      </c>
      <c r="AI410" s="543">
        <f t="shared" si="24"/>
        <v>146437.0675626494</v>
      </c>
      <c r="AJ410" s="543"/>
      <c r="AK410" s="300"/>
      <c r="AL410" s="543"/>
      <c r="AM410" s="10"/>
    </row>
    <row r="411" spans="1:39" s="11" customFormat="1" ht="13.8" hidden="1" x14ac:dyDescent="0.25">
      <c r="A411" s="11">
        <v>56</v>
      </c>
      <c r="B411" s="11">
        <f t="shared" si="11"/>
        <v>5</v>
      </c>
      <c r="C411" s="354">
        <f t="shared" si="1"/>
        <v>0</v>
      </c>
      <c r="D411" s="300">
        <f t="shared" si="3"/>
        <v>9813671.3258107398</v>
      </c>
      <c r="E411" s="354">
        <f t="shared" si="28"/>
        <v>0.13400000000000001</v>
      </c>
      <c r="F411" s="354">
        <f t="shared" si="2"/>
        <v>0.03</v>
      </c>
      <c r="H411" s="436">
        <f t="shared" si="4"/>
        <v>41821.35150034773</v>
      </c>
      <c r="I411" s="302">
        <f t="shared" si="5"/>
        <v>0</v>
      </c>
      <c r="K411" s="426">
        <f t="shared" si="13"/>
        <v>66802.287800476537</v>
      </c>
      <c r="L411" s="10">
        <f t="shared" si="14"/>
        <v>66802.287800476537</v>
      </c>
      <c r="M411" s="436">
        <f t="shared" si="15"/>
        <v>66802.287800476537</v>
      </c>
      <c r="N411" s="301">
        <f t="shared" si="16"/>
        <v>24980.9363001288</v>
      </c>
      <c r="O411" s="302">
        <f t="shared" si="6"/>
        <v>66802.287800476508</v>
      </c>
      <c r="P411" s="436">
        <f t="shared" si="7"/>
        <v>0</v>
      </c>
      <c r="Q411" s="11">
        <f t="shared" si="17"/>
        <v>0</v>
      </c>
      <c r="R411" s="426">
        <f t="shared" si="18"/>
        <v>11242093.74513863</v>
      </c>
      <c r="S411" s="354">
        <f>+Hirdetmény!$AA$46</f>
        <v>0.13400000000000001</v>
      </c>
      <c r="T411" s="302">
        <f t="shared" si="8"/>
        <v>18143.373700972315</v>
      </c>
      <c r="U411" s="302">
        <f t="shared" si="19"/>
        <v>127485.69386167711</v>
      </c>
      <c r="V411" s="302">
        <f t="shared" si="20"/>
        <v>145629.06756264943</v>
      </c>
      <c r="W411" s="302">
        <f t="shared" si="21"/>
        <v>145629.06756264943</v>
      </c>
      <c r="AA411" s="10">
        <f t="shared" si="22"/>
        <v>10411829.106725419</v>
      </c>
      <c r="AB411" s="354">
        <f>+paraméterek!$B$346</f>
        <v>6.4600000000000005E-2</v>
      </c>
      <c r="AC411" s="302">
        <f t="shared" si="9"/>
        <v>32812.479506832569</v>
      </c>
      <c r="AD411" s="302">
        <f t="shared" si="25"/>
        <v>57007.917583743132</v>
      </c>
      <c r="AE411" s="302">
        <f t="shared" si="23"/>
        <v>89820.397090575701</v>
      </c>
      <c r="AF411" s="478">
        <f t="shared" si="10"/>
        <v>89820.397090575701</v>
      </c>
      <c r="AI411" s="543">
        <f t="shared" si="24"/>
        <v>146437.06756264943</v>
      </c>
      <c r="AJ411" s="543"/>
      <c r="AK411" s="300"/>
      <c r="AL411" s="543"/>
      <c r="AM411" s="10"/>
    </row>
    <row r="412" spans="1:39" s="11" customFormat="1" ht="13.8" hidden="1" x14ac:dyDescent="0.25">
      <c r="A412" s="11">
        <v>57</v>
      </c>
      <c r="B412" s="11">
        <f t="shared" si="11"/>
        <v>5</v>
      </c>
      <c r="C412" s="354">
        <f t="shared" si="1"/>
        <v>0</v>
      </c>
      <c r="D412" s="300">
        <f t="shared" si="3"/>
        <v>9771743.9688013811</v>
      </c>
      <c r="E412" s="354">
        <f t="shared" si="28"/>
        <v>0.13400000000000001</v>
      </c>
      <c r="F412" s="354">
        <f t="shared" si="2"/>
        <v>0.03</v>
      </c>
      <c r="H412" s="436">
        <f t="shared" si="4"/>
        <v>41927.357009359032</v>
      </c>
      <c r="I412" s="302">
        <f t="shared" si="5"/>
        <v>0</v>
      </c>
      <c r="K412" s="426">
        <f t="shared" si="13"/>
        <v>66802.287800476537</v>
      </c>
      <c r="L412" s="10">
        <f t="shared" si="14"/>
        <v>66802.287800476537</v>
      </c>
      <c r="M412" s="436">
        <f t="shared" si="15"/>
        <v>66802.287800476537</v>
      </c>
      <c r="N412" s="301">
        <f t="shared" si="16"/>
        <v>24874.930791117498</v>
      </c>
      <c r="O412" s="302">
        <f t="shared" si="6"/>
        <v>66802.287800476508</v>
      </c>
      <c r="P412" s="436">
        <f t="shared" si="7"/>
        <v>0</v>
      </c>
      <c r="Q412" s="11">
        <f t="shared" si="17"/>
        <v>0</v>
      </c>
      <c r="R412" s="426">
        <f t="shared" si="18"/>
        <v>11223744.956528464</v>
      </c>
      <c r="S412" s="354">
        <f>+Hirdetmény!$AA$46</f>
        <v>0.13400000000000001</v>
      </c>
      <c r="T412" s="302">
        <f t="shared" si="8"/>
        <v>18348.788610165506</v>
      </c>
      <c r="U412" s="302">
        <f t="shared" si="19"/>
        <v>127280.27895248392</v>
      </c>
      <c r="V412" s="302">
        <f t="shared" si="20"/>
        <v>145629.06756264943</v>
      </c>
      <c r="W412" s="302">
        <f t="shared" si="21"/>
        <v>145629.06756264943</v>
      </c>
      <c r="AA412" s="10">
        <f t="shared" si="22"/>
        <v>10378837.533363426</v>
      </c>
      <c r="AB412" s="354">
        <f>+paraméterek!$B$346</f>
        <v>6.4600000000000005E-2</v>
      </c>
      <c r="AC412" s="302">
        <f t="shared" si="9"/>
        <v>32991.573361992661</v>
      </c>
      <c r="AD412" s="302">
        <f t="shared" si="25"/>
        <v>56828.823728583026</v>
      </c>
      <c r="AE412" s="302">
        <f t="shared" si="23"/>
        <v>89820.397090575687</v>
      </c>
      <c r="AF412" s="478">
        <f t="shared" si="10"/>
        <v>89820.397090575687</v>
      </c>
      <c r="AI412" s="543">
        <f t="shared" si="24"/>
        <v>146437.06756264943</v>
      </c>
      <c r="AJ412" s="543"/>
      <c r="AK412" s="300"/>
      <c r="AL412" s="543"/>
      <c r="AM412" s="10"/>
    </row>
    <row r="413" spans="1:39" s="11" customFormat="1" ht="13.8" hidden="1" x14ac:dyDescent="0.25">
      <c r="A413" s="11">
        <v>58</v>
      </c>
      <c r="B413" s="11">
        <f t="shared" si="11"/>
        <v>5</v>
      </c>
      <c r="C413" s="354">
        <f t="shared" si="1"/>
        <v>0</v>
      </c>
      <c r="D413" s="300">
        <f t="shared" si="3"/>
        <v>9729710.3375884909</v>
      </c>
      <c r="E413" s="354">
        <f t="shared" si="28"/>
        <v>0.13400000000000001</v>
      </c>
      <c r="F413" s="354">
        <f t="shared" si="2"/>
        <v>0.03</v>
      </c>
      <c r="H413" s="436">
        <f t="shared" si="4"/>
        <v>42033.631212889697</v>
      </c>
      <c r="I413" s="302">
        <f t="shared" si="5"/>
        <v>0</v>
      </c>
      <c r="K413" s="426">
        <f t="shared" si="13"/>
        <v>66802.287800476537</v>
      </c>
      <c r="L413" s="10">
        <f t="shared" si="14"/>
        <v>66802.287800476537</v>
      </c>
      <c r="M413" s="436">
        <f t="shared" si="15"/>
        <v>66802.287800476537</v>
      </c>
      <c r="N413" s="301">
        <f t="shared" si="16"/>
        <v>24768.656587586833</v>
      </c>
      <c r="O413" s="302">
        <f t="shared" si="6"/>
        <v>66802.287800476508</v>
      </c>
      <c r="P413" s="436">
        <f t="shared" si="7"/>
        <v>0</v>
      </c>
      <c r="Q413" s="11">
        <f t="shared" si="17"/>
        <v>0</v>
      </c>
      <c r="R413" s="426">
        <f t="shared" si="18"/>
        <v>11205188.427350955</v>
      </c>
      <c r="S413" s="354">
        <f>+Hirdetmény!$AA$46</f>
        <v>0.13400000000000001</v>
      </c>
      <c r="T413" s="302">
        <f t="shared" si="8"/>
        <v>18556.52917750883</v>
      </c>
      <c r="U413" s="302">
        <f t="shared" si="19"/>
        <v>127072.53838514058</v>
      </c>
      <c r="V413" s="302">
        <f t="shared" si="20"/>
        <v>145629.0675626494</v>
      </c>
      <c r="W413" s="302">
        <f t="shared" si="21"/>
        <v>145629.0675626494</v>
      </c>
      <c r="AA413" s="10">
        <f t="shared" si="22"/>
        <v>10345665.888633771</v>
      </c>
      <c r="AB413" s="354">
        <f>+paraméterek!$B$346</f>
        <v>6.4600000000000005E-2</v>
      </c>
      <c r="AC413" s="302">
        <f t="shared" si="9"/>
        <v>33171.644729655265</v>
      </c>
      <c r="AD413" s="302">
        <f t="shared" si="25"/>
        <v>56648.752360920429</v>
      </c>
      <c r="AE413" s="302">
        <f t="shared" si="23"/>
        <v>89820.397090575687</v>
      </c>
      <c r="AF413" s="478">
        <f t="shared" si="10"/>
        <v>89820.397090575687</v>
      </c>
      <c r="AI413" s="543">
        <f t="shared" si="24"/>
        <v>146437.0675626494</v>
      </c>
      <c r="AJ413" s="543"/>
      <c r="AK413" s="300"/>
      <c r="AL413" s="543"/>
      <c r="AM413" s="10"/>
    </row>
    <row r="414" spans="1:39" s="11" customFormat="1" ht="13.8" hidden="1" x14ac:dyDescent="0.25">
      <c r="A414" s="11">
        <v>59</v>
      </c>
      <c r="B414" s="11">
        <f t="shared" si="11"/>
        <v>5</v>
      </c>
      <c r="C414" s="354">
        <f t="shared" si="1"/>
        <v>0</v>
      </c>
      <c r="D414" s="300">
        <f t="shared" si="3"/>
        <v>9687570.1627964843</v>
      </c>
      <c r="E414" s="354">
        <f t="shared" si="28"/>
        <v>0.13400000000000001</v>
      </c>
      <c r="F414" s="354">
        <f t="shared" si="2"/>
        <v>0.03</v>
      </c>
      <c r="H414" s="436">
        <f t="shared" si="4"/>
        <v>42140.174792005702</v>
      </c>
      <c r="I414" s="302">
        <f t="shared" si="5"/>
        <v>0</v>
      </c>
      <c r="K414" s="426">
        <f t="shared" si="13"/>
        <v>66802.287800476537</v>
      </c>
      <c r="L414" s="10">
        <f t="shared" si="14"/>
        <v>66802.287800476537</v>
      </c>
      <c r="M414" s="436">
        <f t="shared" si="15"/>
        <v>66802.287800476537</v>
      </c>
      <c r="N414" s="301">
        <f t="shared" si="16"/>
        <v>24662.113008470827</v>
      </c>
      <c r="O414" s="302">
        <f t="shared" si="6"/>
        <v>66802.287800476508</v>
      </c>
      <c r="P414" s="436">
        <f t="shared" si="7"/>
        <v>0</v>
      </c>
      <c r="Q414" s="11">
        <f t="shared" si="17"/>
        <v>0</v>
      </c>
      <c r="R414" s="426">
        <f t="shared" si="18"/>
        <v>11186421.805617411</v>
      </c>
      <c r="S414" s="354">
        <f>+Hirdetmény!$AA$46</f>
        <v>0.13400000000000001</v>
      </c>
      <c r="T414" s="302">
        <f t="shared" si="8"/>
        <v>18766.621733544009</v>
      </c>
      <c r="U414" s="302">
        <f t="shared" si="19"/>
        <v>126862.44582910539</v>
      </c>
      <c r="V414" s="302">
        <f t="shared" si="20"/>
        <v>145629.0675626494</v>
      </c>
      <c r="W414" s="302">
        <f t="shared" si="21"/>
        <v>145629.0675626494</v>
      </c>
      <c r="AA414" s="10">
        <f t="shared" si="22"/>
        <v>10312313.189688588</v>
      </c>
      <c r="AB414" s="354">
        <f>+paraméterek!$B$346</f>
        <v>6.4600000000000005E-2</v>
      </c>
      <c r="AC414" s="302">
        <f t="shared" si="9"/>
        <v>33352.698945183161</v>
      </c>
      <c r="AD414" s="302">
        <f t="shared" si="25"/>
        <v>56467.698145392525</v>
      </c>
      <c r="AE414" s="302">
        <f t="shared" si="23"/>
        <v>89820.397090575687</v>
      </c>
      <c r="AF414" s="478">
        <f t="shared" si="10"/>
        <v>89820.397090575687</v>
      </c>
      <c r="AI414" s="543">
        <f t="shared" si="24"/>
        <v>146437.0675626494</v>
      </c>
      <c r="AJ414" s="543"/>
      <c r="AK414" s="300"/>
      <c r="AL414" s="543"/>
      <c r="AM414" s="10"/>
    </row>
    <row r="415" spans="1:39" s="11" customFormat="1" ht="13.8" hidden="1" x14ac:dyDescent="0.25">
      <c r="A415" s="11">
        <v>60</v>
      </c>
      <c r="B415" s="11">
        <f t="shared" si="11"/>
        <v>5</v>
      </c>
      <c r="C415" s="354">
        <f t="shared" si="1"/>
        <v>0</v>
      </c>
      <c r="D415" s="300">
        <f t="shared" si="3"/>
        <v>9645323.1743669845</v>
      </c>
      <c r="E415" s="354">
        <f t="shared" si="28"/>
        <v>0.13400000000000001</v>
      </c>
      <c r="F415" s="354">
        <f t="shared" si="2"/>
        <v>0.03</v>
      </c>
      <c r="H415" s="436">
        <f t="shared" si="4"/>
        <v>42246.988429499332</v>
      </c>
      <c r="I415" s="302">
        <f t="shared" si="5"/>
        <v>0</v>
      </c>
      <c r="K415" s="426">
        <f t="shared" si="13"/>
        <v>66802.287800476537</v>
      </c>
      <c r="L415" s="10">
        <f t="shared" si="14"/>
        <v>66802.287800476537</v>
      </c>
      <c r="M415" s="436">
        <f t="shared" si="15"/>
        <v>66802.287800476537</v>
      </c>
      <c r="N415" s="301">
        <f t="shared" si="16"/>
        <v>24555.299370977198</v>
      </c>
      <c r="O415" s="302">
        <f t="shared" si="6"/>
        <v>66802.287800476508</v>
      </c>
      <c r="P415" s="436">
        <f t="shared" si="7"/>
        <v>0</v>
      </c>
      <c r="Q415" s="11">
        <f t="shared" si="17"/>
        <v>0</v>
      </c>
      <c r="R415" s="426">
        <f t="shared" si="18"/>
        <v>11167442.71271049</v>
      </c>
      <c r="S415" s="354">
        <f>+Hirdetmény!$AA$46</f>
        <v>0.13400000000000001</v>
      </c>
      <c r="T415" s="302">
        <f t="shared" si="8"/>
        <v>18979.092906920781</v>
      </c>
      <c r="U415" s="302">
        <f t="shared" si="19"/>
        <v>126649.97465572861</v>
      </c>
      <c r="V415" s="302">
        <f t="shared" si="20"/>
        <v>145629.0675626494</v>
      </c>
      <c r="W415" s="302">
        <f t="shared" si="21"/>
        <v>145629.0675626494</v>
      </c>
      <c r="AA415" s="10">
        <f t="shared" si="22"/>
        <v>10278778.448315527</v>
      </c>
      <c r="AB415" s="354">
        <f>+paraméterek!$B$346</f>
        <v>6.4600000000000005E-2</v>
      </c>
      <c r="AC415" s="302">
        <f t="shared" si="9"/>
        <v>33534.741373060133</v>
      </c>
      <c r="AD415" s="302">
        <f t="shared" si="25"/>
        <v>56285.655717515569</v>
      </c>
      <c r="AE415" s="302">
        <f t="shared" si="23"/>
        <v>89820.397090575701</v>
      </c>
      <c r="AF415" s="478">
        <f t="shared" si="10"/>
        <v>89820.397090575701</v>
      </c>
      <c r="AI415" s="543">
        <f t="shared" si="24"/>
        <v>146437.0675626494</v>
      </c>
      <c r="AJ415" s="543"/>
      <c r="AK415" s="300"/>
      <c r="AL415" s="543"/>
      <c r="AM415" s="10"/>
    </row>
    <row r="416" spans="1:39" s="11" customFormat="1" ht="13.8" hidden="1" x14ac:dyDescent="0.25">
      <c r="A416" s="11">
        <v>61</v>
      </c>
      <c r="B416" s="11">
        <f t="shared" si="11"/>
        <v>6</v>
      </c>
      <c r="C416" s="354">
        <f t="shared" si="1"/>
        <v>0</v>
      </c>
      <c r="D416" s="300">
        <f t="shared" si="3"/>
        <v>9602969.1015570909</v>
      </c>
      <c r="E416" s="354">
        <f t="shared" si="28"/>
        <v>0.13400000000000001</v>
      </c>
      <c r="F416" s="354">
        <f t="shared" si="2"/>
        <v>0.03</v>
      </c>
      <c r="H416" s="436">
        <f t="shared" si="4"/>
        <v>42354.072809893551</v>
      </c>
      <c r="I416" s="302">
        <f t="shared" si="5"/>
        <v>0</v>
      </c>
      <c r="K416" s="426">
        <f t="shared" si="13"/>
        <v>66802.287800476537</v>
      </c>
      <c r="L416" s="10">
        <f t="shared" si="14"/>
        <v>66802.287800476537</v>
      </c>
      <c r="M416" s="436">
        <f t="shared" si="15"/>
        <v>66802.287800476537</v>
      </c>
      <c r="N416" s="301">
        <f t="shared" si="16"/>
        <v>24448.214990582979</v>
      </c>
      <c r="O416" s="302">
        <f t="shared" si="6"/>
        <v>66802.287800476508</v>
      </c>
      <c r="P416" s="436">
        <f t="shared" si="7"/>
        <v>0</v>
      </c>
      <c r="Q416" s="11">
        <f t="shared" si="17"/>
        <v>0</v>
      </c>
      <c r="R416" s="426">
        <f t="shared" si="18"/>
        <v>11148248.743082719</v>
      </c>
      <c r="S416" s="354">
        <f>+Hirdetmény!$AA$46</f>
        <v>0.13400000000000001</v>
      </c>
      <c r="T416" s="302">
        <f t="shared" si="8"/>
        <v>19193.96962777205</v>
      </c>
      <c r="U416" s="302">
        <f t="shared" si="19"/>
        <v>126435.09793487735</v>
      </c>
      <c r="V416" s="302">
        <f t="shared" si="20"/>
        <v>145629.0675626494</v>
      </c>
      <c r="W416" s="302">
        <f t="shared" si="21"/>
        <v>145629.0675626494</v>
      </c>
      <c r="AA416" s="10">
        <f t="shared" si="22"/>
        <v>10245060.670908477</v>
      </c>
      <c r="AB416" s="354">
        <f>+paraméterek!$B$346</f>
        <v>6.4600000000000005E-2</v>
      </c>
      <c r="AC416" s="302">
        <f t="shared" si="9"/>
        <v>33717.777407049798</v>
      </c>
      <c r="AD416" s="302">
        <f t="shared" si="25"/>
        <v>56102.619683525889</v>
      </c>
      <c r="AE416" s="302">
        <f t="shared" si="23"/>
        <v>89820.397090575687</v>
      </c>
      <c r="AF416" s="478">
        <f t="shared" si="10"/>
        <v>89820.397090575687</v>
      </c>
      <c r="AI416" s="543">
        <f t="shared" si="24"/>
        <v>146437.0675626494</v>
      </c>
      <c r="AJ416" s="543"/>
      <c r="AK416" s="300"/>
      <c r="AL416" s="543"/>
      <c r="AM416" s="10"/>
    </row>
    <row r="417" spans="1:39" s="11" customFormat="1" ht="13.8" hidden="1" x14ac:dyDescent="0.25">
      <c r="A417" s="11">
        <v>62</v>
      </c>
      <c r="B417" s="11">
        <f t="shared" si="11"/>
        <v>6</v>
      </c>
      <c r="C417" s="354">
        <f t="shared" si="1"/>
        <v>0</v>
      </c>
      <c r="D417" s="300">
        <f t="shared" si="3"/>
        <v>9560507.6729376446</v>
      </c>
      <c r="E417" s="354">
        <f t="shared" si="28"/>
        <v>0.13400000000000001</v>
      </c>
      <c r="F417" s="354">
        <f t="shared" si="2"/>
        <v>0.03</v>
      </c>
      <c r="H417" s="436">
        <f t="shared" si="4"/>
        <v>42461.428619446408</v>
      </c>
      <c r="I417" s="302">
        <f t="shared" si="5"/>
        <v>0</v>
      </c>
      <c r="K417" s="426">
        <f t="shared" si="13"/>
        <v>66802.287800476537</v>
      </c>
      <c r="L417" s="10">
        <f t="shared" si="14"/>
        <v>66802.287800476537</v>
      </c>
      <c r="M417" s="436">
        <f t="shared" si="15"/>
        <v>66802.287800476537</v>
      </c>
      <c r="N417" s="301">
        <f t="shared" si="16"/>
        <v>24340.85918103013</v>
      </c>
      <c r="O417" s="302">
        <f t="shared" si="6"/>
        <v>66802.287800476508</v>
      </c>
      <c r="P417" s="436">
        <f t="shared" si="7"/>
        <v>0</v>
      </c>
      <c r="Q417" s="11">
        <f t="shared" si="17"/>
        <v>0</v>
      </c>
      <c r="R417" s="426">
        <f t="shared" si="18"/>
        <v>11128837.463951591</v>
      </c>
      <c r="S417" s="354">
        <f>+Hirdetmény!$AA$46</f>
        <v>0.13400000000000001</v>
      </c>
      <c r="T417" s="302">
        <f t="shared" si="8"/>
        <v>19411.279131127219</v>
      </c>
      <c r="U417" s="302">
        <f t="shared" si="19"/>
        <v>126217.78843152219</v>
      </c>
      <c r="V417" s="302">
        <f t="shared" si="20"/>
        <v>145629.0675626494</v>
      </c>
      <c r="W417" s="302">
        <f t="shared" si="21"/>
        <v>145629.0675626494</v>
      </c>
      <c r="AA417" s="10">
        <f t="shared" si="22"/>
        <v>10211158.858438121</v>
      </c>
      <c r="AB417" s="354">
        <f>+paraméterek!$B$346</f>
        <v>6.4600000000000005E-2</v>
      </c>
      <c r="AC417" s="302">
        <f t="shared" si="9"/>
        <v>33901.812470355544</v>
      </c>
      <c r="AD417" s="302">
        <f t="shared" si="25"/>
        <v>55918.584620220143</v>
      </c>
      <c r="AE417" s="302">
        <f t="shared" si="23"/>
        <v>89820.397090575687</v>
      </c>
      <c r="AF417" s="478">
        <f t="shared" si="10"/>
        <v>89820.397090575687</v>
      </c>
      <c r="AI417" s="543">
        <f t="shared" si="24"/>
        <v>146437.0675626494</v>
      </c>
      <c r="AJ417" s="543"/>
      <c r="AK417" s="300"/>
      <c r="AL417" s="543"/>
      <c r="AM417" s="10"/>
    </row>
    <row r="418" spans="1:39" s="11" customFormat="1" ht="13.8" hidden="1" x14ac:dyDescent="0.25">
      <c r="A418" s="11">
        <v>63</v>
      </c>
      <c r="B418" s="11">
        <f t="shared" si="11"/>
        <v>6</v>
      </c>
      <c r="C418" s="354">
        <f t="shared" si="1"/>
        <v>0</v>
      </c>
      <c r="D418" s="300">
        <f t="shared" si="3"/>
        <v>9517938.6163914893</v>
      </c>
      <c r="E418" s="354">
        <f t="shared" si="28"/>
        <v>0.13400000000000001</v>
      </c>
      <c r="F418" s="354">
        <f t="shared" si="2"/>
        <v>0.03</v>
      </c>
      <c r="H418" s="436">
        <f t="shared" si="4"/>
        <v>42569.056546155407</v>
      </c>
      <c r="I418" s="302">
        <f t="shared" si="5"/>
        <v>0</v>
      </c>
      <c r="K418" s="426">
        <f t="shared" si="13"/>
        <v>66802.287800476523</v>
      </c>
      <c r="L418" s="10">
        <f t="shared" si="14"/>
        <v>66802.287800476523</v>
      </c>
      <c r="M418" s="436">
        <f t="shared" si="15"/>
        <v>66802.287800476523</v>
      </c>
      <c r="N418" s="301">
        <f t="shared" si="16"/>
        <v>24233.231254321116</v>
      </c>
      <c r="O418" s="302">
        <f t="shared" si="6"/>
        <v>66802.287800476508</v>
      </c>
      <c r="P418" s="436">
        <f t="shared" si="7"/>
        <v>0</v>
      </c>
      <c r="Q418" s="11">
        <f t="shared" si="17"/>
        <v>0</v>
      </c>
      <c r="R418" s="426">
        <f t="shared" si="18"/>
        <v>11109206.414991228</v>
      </c>
      <c r="S418" s="354">
        <f>+Hirdetmény!$AA$46</f>
        <v>0.13400000000000001</v>
      </c>
      <c r="T418" s="302">
        <f t="shared" si="8"/>
        <v>19631.048960364118</v>
      </c>
      <c r="U418" s="302">
        <f t="shared" si="19"/>
        <v>125998.01860228526</v>
      </c>
      <c r="V418" s="302">
        <f t="shared" si="20"/>
        <v>145629.06756264938</v>
      </c>
      <c r="W418" s="302">
        <f t="shared" si="21"/>
        <v>145629.06756264938</v>
      </c>
      <c r="AA418" s="10">
        <f t="shared" si="22"/>
        <v>10177072.006422341</v>
      </c>
      <c r="AB418" s="354">
        <f>+paraméterek!$B$346</f>
        <v>6.4600000000000005E-2</v>
      </c>
      <c r="AC418" s="302">
        <f t="shared" si="9"/>
        <v>34086.852015781129</v>
      </c>
      <c r="AD418" s="302">
        <f t="shared" si="25"/>
        <v>55733.545074794558</v>
      </c>
      <c r="AE418" s="302">
        <f t="shared" si="23"/>
        <v>89820.397090575687</v>
      </c>
      <c r="AF418" s="478">
        <f t="shared" si="10"/>
        <v>89820.397090575687</v>
      </c>
      <c r="AI418" s="543">
        <f t="shared" si="24"/>
        <v>146437.06756264938</v>
      </c>
      <c r="AJ418" s="543"/>
      <c r="AK418" s="300"/>
      <c r="AL418" s="543"/>
      <c r="AM418" s="10"/>
    </row>
    <row r="419" spans="1:39" s="11" customFormat="1" ht="13.8" hidden="1" x14ac:dyDescent="0.25">
      <c r="A419" s="11">
        <v>64</v>
      </c>
      <c r="B419" s="11">
        <f t="shared" si="11"/>
        <v>6</v>
      </c>
      <c r="C419" s="354">
        <f t="shared" ref="C419:C482" si="29">aktualisbubor</f>
        <v>0</v>
      </c>
      <c r="D419" s="300">
        <f t="shared" si="3"/>
        <v>9475261.659111727</v>
      </c>
      <c r="E419" s="354">
        <f t="shared" si="28"/>
        <v>0.13400000000000001</v>
      </c>
      <c r="F419" s="354">
        <f t="shared" ref="F419:F482" si="30">$N$292</f>
        <v>0.03</v>
      </c>
      <c r="H419" s="436">
        <f t="shared" si="4"/>
        <v>42676.957279761991</v>
      </c>
      <c r="I419" s="302">
        <f t="shared" si="5"/>
        <v>0</v>
      </c>
      <c r="K419" s="426">
        <f t="shared" si="13"/>
        <v>66802.287800476537</v>
      </c>
      <c r="L419" s="10">
        <f t="shared" si="14"/>
        <v>66802.287800476537</v>
      </c>
      <c r="M419" s="436">
        <f t="shared" si="15"/>
        <v>66802.287800476537</v>
      </c>
      <c r="N419" s="301">
        <f t="shared" si="16"/>
        <v>24125.330520714539</v>
      </c>
      <c r="O419" s="302">
        <f t="shared" si="6"/>
        <v>66802.287800476508</v>
      </c>
      <c r="P419" s="436">
        <f t="shared" si="7"/>
        <v>0</v>
      </c>
      <c r="Q419" s="11">
        <f t="shared" si="17"/>
        <v>0</v>
      </c>
      <c r="R419" s="426">
        <f t="shared" si="18"/>
        <v>11089353.108020527</v>
      </c>
      <c r="S419" s="354">
        <f>+Hirdetmény!$AA$46</f>
        <v>0.13400000000000001</v>
      </c>
      <c r="T419" s="302">
        <f t="shared" si="8"/>
        <v>19853.306970700101</v>
      </c>
      <c r="U419" s="302">
        <f t="shared" si="19"/>
        <v>125775.76059194932</v>
      </c>
      <c r="V419" s="302">
        <f t="shared" si="20"/>
        <v>145629.06756264943</v>
      </c>
      <c r="W419" s="302">
        <f t="shared" si="21"/>
        <v>145629.06756264943</v>
      </c>
      <c r="AA419" s="10">
        <f t="shared" si="22"/>
        <v>10142799.104896449</v>
      </c>
      <c r="AB419" s="354">
        <f>+paraméterek!$B$346</f>
        <v>6.4600000000000005E-2</v>
      </c>
      <c r="AC419" s="302">
        <f t="shared" si="9"/>
        <v>34272.901525892266</v>
      </c>
      <c r="AD419" s="302">
        <f t="shared" si="25"/>
        <v>55547.495564683428</v>
      </c>
      <c r="AE419" s="302">
        <f t="shared" si="23"/>
        <v>89820.397090575687</v>
      </c>
      <c r="AF419" s="478">
        <f t="shared" si="10"/>
        <v>89820.397090575687</v>
      </c>
      <c r="AI419" s="543">
        <f t="shared" si="24"/>
        <v>146437.06756264943</v>
      </c>
      <c r="AJ419" s="543"/>
      <c r="AK419" s="300"/>
      <c r="AL419" s="543"/>
      <c r="AM419" s="10"/>
    </row>
    <row r="420" spans="1:39" s="11" customFormat="1" ht="13.8" hidden="1" x14ac:dyDescent="0.25">
      <c r="A420" s="11">
        <v>65</v>
      </c>
      <c r="B420" s="11">
        <f t="shared" si="11"/>
        <v>6</v>
      </c>
      <c r="C420" s="354">
        <f t="shared" si="29"/>
        <v>0</v>
      </c>
      <c r="D420" s="300">
        <f t="shared" ref="D420:D483" si="31">+D419-H420-I420</f>
        <v>9432476.5275999717</v>
      </c>
      <c r="E420" s="354">
        <f t="shared" si="28"/>
        <v>0.13400000000000001</v>
      </c>
      <c r="F420" s="354">
        <f t="shared" si="30"/>
        <v>0.03</v>
      </c>
      <c r="H420" s="436">
        <f t="shared" ref="H420:H483" si="32">IF(A420&lt;=$E$295,0,IF(A420&lt;=$K$5,PPMT(F420/360*(365/12),A420-$E$295,$K$5-$E$295,-$D$355),0))</f>
        <v>42785.131511755826</v>
      </c>
      <c r="I420" s="302">
        <f t="shared" ref="I420:I483" si="33">+IF(A420=$K$5,$K$11,0)</f>
        <v>0</v>
      </c>
      <c r="K420" s="426">
        <f t="shared" si="13"/>
        <v>66802.287800476523</v>
      </c>
      <c r="L420" s="10">
        <f t="shared" si="14"/>
        <v>66802.287800476523</v>
      </c>
      <c r="M420" s="436">
        <f t="shared" si="15"/>
        <v>66802.287800476523</v>
      </c>
      <c r="N420" s="301">
        <f t="shared" ref="N420:N483" si="34">+D419*F420/360*(365/12)</f>
        <v>24017.156288720696</v>
      </c>
      <c r="O420" s="302">
        <f t="shared" ref="O420:O483" si="35">IF(A420&lt;=$K$5,PMT($N$292*365/360/12,$K$5,-$N$18)+P420+Q420+$N$27)+IF($K$6="nem",$E$29,IF(A419&lt;$E$295+1,$E$28,$E$29))</f>
        <v>66802.287800476508</v>
      </c>
      <c r="P420" s="436">
        <f t="shared" ref="P420:P483" si="36">IF(A420&lt;=$K$5,$E$25,0)</f>
        <v>0</v>
      </c>
      <c r="Q420" s="11">
        <f t="shared" si="17"/>
        <v>0</v>
      </c>
      <c r="R420" s="426">
        <f t="shared" si="18"/>
        <v>11069275.026687805</v>
      </c>
      <c r="S420" s="354">
        <f>+Hirdetmény!$AA$46</f>
        <v>0.13400000000000001</v>
      </c>
      <c r="T420" s="302">
        <f t="shared" ref="T420:T483" si="37">IF(A420&lt;=$K$5,IF(A420&gt;$E$295,PPMT(S420/360*(365/12),1,$K$5-A419,R419,$K$11*-1),0)*-1,0)</f>
        <v>20078.081332722533</v>
      </c>
      <c r="U420" s="302">
        <f t="shared" si="19"/>
        <v>125550.98622992684</v>
      </c>
      <c r="V420" s="302">
        <f t="shared" si="20"/>
        <v>145629.06756264938</v>
      </c>
      <c r="W420" s="302">
        <f t="shared" si="21"/>
        <v>145629.06756264938</v>
      </c>
      <c r="AA420" s="10">
        <f t="shared" si="22"/>
        <v>10108339.138383269</v>
      </c>
      <c r="AB420" s="354">
        <f>+paraméterek!$B$346</f>
        <v>6.4600000000000005E-2</v>
      </c>
      <c r="AC420" s="302">
        <f t="shared" ref="AC420:AC483" si="38">IF(A420&lt;=$K$5,IF(A420&gt;$E$295,PPMT(AB420/360*(365/12),1,$K$5-A419,AA419,$K$11*-1),0)*-1,0)</f>
        <v>34459.966513179068</v>
      </c>
      <c r="AD420" s="302">
        <f t="shared" si="25"/>
        <v>55360.430577396612</v>
      </c>
      <c r="AE420" s="302">
        <f t="shared" si="23"/>
        <v>89820.397090575687</v>
      </c>
      <c r="AF420" s="478">
        <f t="shared" ref="AF420:AF483" si="39">+AE420+IF($K$6="nem",$E$29,IF(A420&lt;$E$295+1,$E$28,$E$29)+IF(A420&lt;=$K$5,$E$25+Q420+$N$27,0))</f>
        <v>89820.397090575687</v>
      </c>
      <c r="AI420" s="543">
        <f t="shared" si="24"/>
        <v>146437.06756264938</v>
      </c>
      <c r="AJ420" s="543"/>
      <c r="AK420" s="300"/>
      <c r="AL420" s="543"/>
      <c r="AM420" s="10"/>
    </row>
    <row r="421" spans="1:39" s="11" customFormat="1" ht="13.8" hidden="1" x14ac:dyDescent="0.25">
      <c r="A421" s="11">
        <v>66</v>
      </c>
      <c r="B421" s="11">
        <f t="shared" ref="B421:B484" si="40">+ROUNDUP(A421/12,0)</f>
        <v>6</v>
      </c>
      <c r="C421" s="354">
        <f t="shared" si="29"/>
        <v>0</v>
      </c>
      <c r="D421" s="300">
        <f t="shared" si="31"/>
        <v>9389582.9476645924</v>
      </c>
      <c r="E421" s="354">
        <f t="shared" ref="E421:E484" si="41">E420</f>
        <v>0.13400000000000001</v>
      </c>
      <c r="F421" s="354">
        <f t="shared" si="30"/>
        <v>0.03</v>
      </c>
      <c r="H421" s="436">
        <f t="shared" si="32"/>
        <v>42893.579935379377</v>
      </c>
      <c r="I421" s="302">
        <f t="shared" si="33"/>
        <v>0</v>
      </c>
      <c r="K421" s="426">
        <f t="shared" ref="K421:K484" si="42">+(H421+N421)+IF($K$6="nem",$E$29,IF(A421&lt;$E$295+1,$E$28,$E$29)+P421)+Q421+$N$27+I421</f>
        <v>66802.287800476537</v>
      </c>
      <c r="L421" s="10">
        <f t="shared" ref="L421:L484" si="43">K421</f>
        <v>66802.287800476537</v>
      </c>
      <c r="M421" s="436">
        <f t="shared" ref="M421:M484" si="44">H421+N421</f>
        <v>66802.287800476537</v>
      </c>
      <c r="N421" s="301">
        <f t="shared" si="34"/>
        <v>23908.707865097153</v>
      </c>
      <c r="O421" s="302">
        <f t="shared" si="35"/>
        <v>66802.287800476508</v>
      </c>
      <c r="P421" s="436">
        <f t="shared" si="36"/>
        <v>0</v>
      </c>
      <c r="Q421" s="11">
        <f t="shared" ref="Q421:Q484" si="45">IF(A421&gt;$K$5,0,+IF($K$25="havi",$K$23,0)+IF($K$25="negyedéves",$K$23,0)+IF($K$25="féléves",$K$23,0)+IF($K$25="éves",$K$23,0)+IF($E$223="havi",$E$221,0)+IF($E$223="negyedéves",$E$221,0)+IF($E$223="féléves",$E$221,0)+IF($E$223="éves",$E$221,0)+IF($H$223="havi",$H$221,0)+IF($H$223="negyedéves",$H$221,0)+IF($H$223="féléves",$H$221,0)+IF($H$223="éves",$H$221,0)+IF($K$223="havi",$K$221,0)+IF($K$223="negyedéves",$K$221,0)+IF($K$223="féléves",$K$221,0)+IF($K$223="éves",$K$221,0)+IF($N$223="havi",$N$221,0)+IF($N$223="negyedéves",$N$221,0)+IF($N$223="féléves",$N$221,0)+IF($N$223="éves",$N$221,0))</f>
        <v>0</v>
      </c>
      <c r="R421" s="426">
        <f t="shared" ref="R421:R484" si="46">+R420-T421</f>
        <v>11048969.626151845</v>
      </c>
      <c r="S421" s="354">
        <f>+Hirdetmény!$AA$46</f>
        <v>0.13400000000000001</v>
      </c>
      <c r="T421" s="302">
        <f t="shared" si="37"/>
        <v>20305.400535959445</v>
      </c>
      <c r="U421" s="302">
        <f t="shared" ref="U421:U484" si="47">+R420*S421/360*(365/12)</f>
        <v>125323.66702668995</v>
      </c>
      <c r="V421" s="302">
        <f t="shared" ref="V421:V484" si="48">+T421+U421</f>
        <v>145629.06756264938</v>
      </c>
      <c r="W421" s="302">
        <f t="shared" ref="W421:W484" si="49">+V421+IF($K$6="nem",$E$29,IF(A421&lt;$E$295+1,$E$28,$E$29))+IF(A421&lt;=$K$5,$E$25+Q421+$N$27,0)</f>
        <v>145629.06756264938</v>
      </c>
      <c r="AA421" s="10">
        <f t="shared" ref="AA421:AA484" si="50">+AA420-AC421</f>
        <v>10073691.08586305</v>
      </c>
      <c r="AB421" s="354">
        <f>+paraméterek!$B$346</f>
        <v>6.4600000000000005E-2</v>
      </c>
      <c r="AC421" s="302">
        <f t="shared" si="38"/>
        <v>34648.052520219411</v>
      </c>
      <c r="AD421" s="302">
        <f t="shared" si="25"/>
        <v>55172.344570356283</v>
      </c>
      <c r="AE421" s="302">
        <f t="shared" ref="AE421:AE484" si="51">+AC421+AD421</f>
        <v>89820.397090575687</v>
      </c>
      <c r="AF421" s="478">
        <f t="shared" si="39"/>
        <v>89820.397090575687</v>
      </c>
      <c r="AI421" s="543">
        <f t="shared" ref="AI421:AI484" si="52">+V421+IF($K$6="nem",$E$29,IF(A421&lt;$E$295+1,$E$28,$E$29)+P421)+IF(A421&gt;$K$5,0,IF($E$221=0,$E$222,$E$221)+$N$27)+I421</f>
        <v>146437.06756264938</v>
      </c>
      <c r="AJ421" s="543"/>
      <c r="AK421" s="300"/>
      <c r="AL421" s="543"/>
      <c r="AM421" s="10"/>
    </row>
    <row r="422" spans="1:39" s="11" customFormat="1" ht="13.8" hidden="1" x14ac:dyDescent="0.25">
      <c r="A422" s="11">
        <v>67</v>
      </c>
      <c r="B422" s="11">
        <f t="shared" si="40"/>
        <v>6</v>
      </c>
      <c r="C422" s="354">
        <f t="shared" si="29"/>
        <v>0</v>
      </c>
      <c r="D422" s="300">
        <f t="shared" si="31"/>
        <v>9346580.6444189604</v>
      </c>
      <c r="E422" s="354">
        <f t="shared" si="41"/>
        <v>0.13400000000000001</v>
      </c>
      <c r="F422" s="354">
        <f t="shared" si="30"/>
        <v>0.03</v>
      </c>
      <c r="H422" s="436">
        <f t="shared" si="32"/>
        <v>43002.303245632254</v>
      </c>
      <c r="I422" s="302">
        <f t="shared" si="33"/>
        <v>0</v>
      </c>
      <c r="K422" s="426">
        <f t="shared" si="42"/>
        <v>66802.287800476537</v>
      </c>
      <c r="L422" s="10">
        <f t="shared" si="43"/>
        <v>66802.287800476537</v>
      </c>
      <c r="M422" s="436">
        <f t="shared" si="44"/>
        <v>66802.287800476537</v>
      </c>
      <c r="N422" s="301">
        <f t="shared" si="34"/>
        <v>23799.984554844279</v>
      </c>
      <c r="O422" s="302">
        <f t="shared" si="35"/>
        <v>66802.287800476508</v>
      </c>
      <c r="P422" s="436">
        <f t="shared" si="36"/>
        <v>0</v>
      </c>
      <c r="Q422" s="11">
        <f t="shared" si="45"/>
        <v>0</v>
      </c>
      <c r="R422" s="426">
        <f t="shared" si="46"/>
        <v>11028434.332759354</v>
      </c>
      <c r="S422" s="354">
        <f>+Hirdetmény!$AA$46</f>
        <v>0.13400000000000001</v>
      </c>
      <c r="T422" s="302">
        <f t="shared" si="37"/>
        <v>20535.293392490414</v>
      </c>
      <c r="U422" s="302">
        <f t="shared" si="47"/>
        <v>125093.77417015898</v>
      </c>
      <c r="V422" s="302">
        <f t="shared" si="48"/>
        <v>145629.0675626494</v>
      </c>
      <c r="W422" s="302">
        <f t="shared" si="49"/>
        <v>145629.0675626494</v>
      </c>
      <c r="AA422" s="10">
        <f t="shared" si="50"/>
        <v>10038853.920743207</v>
      </c>
      <c r="AB422" s="354">
        <f>+paraméterek!$B$346</f>
        <v>6.4600000000000005E-2</v>
      </c>
      <c r="AC422" s="302">
        <f t="shared" si="38"/>
        <v>34837.165119843077</v>
      </c>
      <c r="AD422" s="302">
        <f t="shared" ref="AD422:AD485" si="53">+AA421*AB422/360*(365/12)</f>
        <v>54983.23197073261</v>
      </c>
      <c r="AE422" s="302">
        <f t="shared" si="51"/>
        <v>89820.397090575687</v>
      </c>
      <c r="AF422" s="478">
        <f t="shared" si="39"/>
        <v>89820.397090575687</v>
      </c>
      <c r="AI422" s="543">
        <f t="shared" si="52"/>
        <v>146437.0675626494</v>
      </c>
      <c r="AJ422" s="543"/>
      <c r="AK422" s="300"/>
      <c r="AL422" s="543"/>
      <c r="AM422" s="10"/>
    </row>
    <row r="423" spans="1:39" s="11" customFormat="1" ht="13.8" hidden="1" x14ac:dyDescent="0.25">
      <c r="A423" s="11">
        <v>68</v>
      </c>
      <c r="B423" s="11">
        <f t="shared" si="40"/>
        <v>6</v>
      </c>
      <c r="C423" s="354">
        <f t="shared" si="29"/>
        <v>0</v>
      </c>
      <c r="D423" s="300">
        <f t="shared" si="31"/>
        <v>9303469.3422796857</v>
      </c>
      <c r="E423" s="354">
        <f t="shared" si="41"/>
        <v>0.13400000000000001</v>
      </c>
      <c r="F423" s="354">
        <f t="shared" si="30"/>
        <v>0.03</v>
      </c>
      <c r="H423" s="436">
        <f t="shared" si="32"/>
        <v>43111.302139275693</v>
      </c>
      <c r="I423" s="302">
        <f t="shared" si="33"/>
        <v>0</v>
      </c>
      <c r="K423" s="426">
        <f t="shared" si="42"/>
        <v>66802.287800476537</v>
      </c>
      <c r="L423" s="10">
        <f t="shared" si="43"/>
        <v>66802.287800476537</v>
      </c>
      <c r="M423" s="436">
        <f t="shared" si="44"/>
        <v>66802.287800476537</v>
      </c>
      <c r="N423" s="301">
        <f t="shared" si="34"/>
        <v>23690.985661200841</v>
      </c>
      <c r="O423" s="302">
        <f t="shared" si="35"/>
        <v>66802.287800476508</v>
      </c>
      <c r="P423" s="436">
        <f t="shared" si="36"/>
        <v>0</v>
      </c>
      <c r="Q423" s="11">
        <f t="shared" si="45"/>
        <v>0</v>
      </c>
      <c r="R423" s="426">
        <f t="shared" si="46"/>
        <v>11007666.543718755</v>
      </c>
      <c r="S423" s="354">
        <f>+Hirdetmény!$AA$46</f>
        <v>0.13400000000000001</v>
      </c>
      <c r="T423" s="302">
        <f t="shared" si="37"/>
        <v>20767.789040598454</v>
      </c>
      <c r="U423" s="302">
        <f t="shared" si="47"/>
        <v>124861.27852205092</v>
      </c>
      <c r="V423" s="302">
        <f t="shared" si="48"/>
        <v>145629.06756264938</v>
      </c>
      <c r="W423" s="302">
        <f t="shared" si="49"/>
        <v>145629.06756264938</v>
      </c>
      <c r="AA423" s="10">
        <f t="shared" si="50"/>
        <v>10003826.61082791</v>
      </c>
      <c r="AB423" s="354">
        <f>+paraméterek!$B$346</f>
        <v>6.4600000000000005E-2</v>
      </c>
      <c r="AC423" s="302">
        <f t="shared" si="38"/>
        <v>35027.309915296966</v>
      </c>
      <c r="AD423" s="302">
        <f t="shared" si="53"/>
        <v>54793.087175278721</v>
      </c>
      <c r="AE423" s="302">
        <f t="shared" si="51"/>
        <v>89820.397090575687</v>
      </c>
      <c r="AF423" s="478">
        <f t="shared" si="39"/>
        <v>89820.397090575687</v>
      </c>
      <c r="AI423" s="543">
        <f t="shared" si="52"/>
        <v>146437.06756264938</v>
      </c>
      <c r="AJ423" s="543"/>
      <c r="AK423" s="300"/>
      <c r="AL423" s="543"/>
      <c r="AM423" s="10"/>
    </row>
    <row r="424" spans="1:39" s="11" customFormat="1" ht="13.8" hidden="1" x14ac:dyDescent="0.25">
      <c r="A424" s="11">
        <v>69</v>
      </c>
      <c r="B424" s="11">
        <f t="shared" si="40"/>
        <v>6</v>
      </c>
      <c r="C424" s="354">
        <f t="shared" si="29"/>
        <v>0</v>
      </c>
      <c r="D424" s="300">
        <f t="shared" si="31"/>
        <v>9260248.7649648488</v>
      </c>
      <c r="E424" s="354">
        <f t="shared" si="41"/>
        <v>0.13400000000000001</v>
      </c>
      <c r="F424" s="354">
        <f t="shared" si="30"/>
        <v>0.03</v>
      </c>
      <c r="H424" s="436">
        <f t="shared" si="32"/>
        <v>43220.57731483705</v>
      </c>
      <c r="I424" s="302">
        <f t="shared" si="33"/>
        <v>0</v>
      </c>
      <c r="K424" s="426">
        <f t="shared" si="42"/>
        <v>66802.287800476537</v>
      </c>
      <c r="L424" s="10">
        <f t="shared" si="43"/>
        <v>66802.287800476537</v>
      </c>
      <c r="M424" s="436">
        <f t="shared" si="44"/>
        <v>66802.287800476537</v>
      </c>
      <c r="N424" s="301">
        <f t="shared" si="34"/>
        <v>23581.71048563948</v>
      </c>
      <c r="O424" s="302">
        <f t="shared" si="35"/>
        <v>66802.287800476508</v>
      </c>
      <c r="P424" s="436">
        <f t="shared" si="36"/>
        <v>0</v>
      </c>
      <c r="Q424" s="11">
        <f t="shared" si="45"/>
        <v>0</v>
      </c>
      <c r="R424" s="426">
        <f t="shared" si="46"/>
        <v>10986663.626770291</v>
      </c>
      <c r="S424" s="354">
        <f>+Hirdetmény!$AA$46</f>
        <v>0.13400000000000001</v>
      </c>
      <c r="T424" s="302">
        <f t="shared" si="37"/>
        <v>21002.916948463189</v>
      </c>
      <c r="U424" s="302">
        <f t="shared" si="47"/>
        <v>124626.1506141862</v>
      </c>
      <c r="V424" s="302">
        <f t="shared" si="48"/>
        <v>145629.0675626494</v>
      </c>
      <c r="W424" s="302">
        <f t="shared" si="49"/>
        <v>145629.0675626494</v>
      </c>
      <c r="AA424" s="10">
        <f t="shared" si="50"/>
        <v>9968608.1182874981</v>
      </c>
      <c r="AB424" s="354">
        <f>+paraméterek!$B$346</f>
        <v>6.4600000000000005E-2</v>
      </c>
      <c r="AC424" s="302">
        <f t="shared" si="38"/>
        <v>35218.492540411025</v>
      </c>
      <c r="AD424" s="302">
        <f t="shared" si="53"/>
        <v>54601.904550164654</v>
      </c>
      <c r="AE424" s="302">
        <f t="shared" si="51"/>
        <v>89820.397090575687</v>
      </c>
      <c r="AF424" s="478">
        <f t="shared" si="39"/>
        <v>89820.397090575687</v>
      </c>
      <c r="AI424" s="543">
        <f t="shared" si="52"/>
        <v>146437.0675626494</v>
      </c>
      <c r="AJ424" s="543"/>
      <c r="AK424" s="300"/>
      <c r="AL424" s="543"/>
      <c r="AM424" s="10"/>
    </row>
    <row r="425" spans="1:39" s="11" customFormat="1" ht="13.8" hidden="1" x14ac:dyDescent="0.25">
      <c r="A425" s="11">
        <v>70</v>
      </c>
      <c r="B425" s="11">
        <f t="shared" si="40"/>
        <v>6</v>
      </c>
      <c r="C425" s="354">
        <f t="shared" si="29"/>
        <v>0</v>
      </c>
      <c r="D425" s="300">
        <f t="shared" si="31"/>
        <v>9216918.6354922354</v>
      </c>
      <c r="E425" s="354">
        <f t="shared" si="41"/>
        <v>0.13400000000000001</v>
      </c>
      <c r="F425" s="354">
        <f t="shared" si="30"/>
        <v>0.03</v>
      </c>
      <c r="H425" s="436">
        <f t="shared" si="32"/>
        <v>43330.129472614237</v>
      </c>
      <c r="I425" s="302">
        <f t="shared" si="33"/>
        <v>0</v>
      </c>
      <c r="K425" s="426">
        <f t="shared" si="42"/>
        <v>66802.287800476523</v>
      </c>
      <c r="L425" s="10">
        <f t="shared" si="43"/>
        <v>66802.287800476523</v>
      </c>
      <c r="M425" s="436">
        <f t="shared" si="44"/>
        <v>66802.287800476523</v>
      </c>
      <c r="N425" s="301">
        <f t="shared" si="34"/>
        <v>23472.158327862289</v>
      </c>
      <c r="O425" s="302">
        <f t="shared" si="35"/>
        <v>66802.287800476508</v>
      </c>
      <c r="P425" s="436">
        <f t="shared" si="36"/>
        <v>0</v>
      </c>
      <c r="Q425" s="11">
        <f t="shared" si="45"/>
        <v>0</v>
      </c>
      <c r="R425" s="426">
        <f t="shared" si="46"/>
        <v>10965422.919852396</v>
      </c>
      <c r="S425" s="354">
        <f>+Hirdetmény!$AA$46</f>
        <v>0.13400000000000001</v>
      </c>
      <c r="T425" s="302">
        <f t="shared" si="37"/>
        <v>21240.706917895903</v>
      </c>
      <c r="U425" s="302">
        <f t="shared" si="47"/>
        <v>124388.36064475347</v>
      </c>
      <c r="V425" s="302">
        <f t="shared" si="48"/>
        <v>145629.06756264938</v>
      </c>
      <c r="W425" s="302">
        <f t="shared" si="49"/>
        <v>145629.06756264938</v>
      </c>
      <c r="AA425" s="10">
        <f t="shared" si="50"/>
        <v>9933197.3996277321</v>
      </c>
      <c r="AB425" s="354">
        <f>+paraméterek!$B$346</f>
        <v>6.4600000000000005E-2</v>
      </c>
      <c r="AC425" s="302">
        <f t="shared" si="38"/>
        <v>35410.718659765284</v>
      </c>
      <c r="AD425" s="302">
        <f t="shared" si="53"/>
        <v>54409.678430810403</v>
      </c>
      <c r="AE425" s="302">
        <f t="shared" si="51"/>
        <v>89820.397090575687</v>
      </c>
      <c r="AF425" s="478">
        <f t="shared" si="39"/>
        <v>89820.397090575687</v>
      </c>
      <c r="AI425" s="543">
        <f t="shared" si="52"/>
        <v>146437.06756264938</v>
      </c>
      <c r="AJ425" s="543"/>
      <c r="AK425" s="300"/>
      <c r="AL425" s="543"/>
      <c r="AM425" s="10"/>
    </row>
    <row r="426" spans="1:39" s="11" customFormat="1" ht="13.8" hidden="1" x14ac:dyDescent="0.25">
      <c r="A426" s="11">
        <v>71</v>
      </c>
      <c r="B426" s="11">
        <f t="shared" si="40"/>
        <v>6</v>
      </c>
      <c r="C426" s="354">
        <f t="shared" si="29"/>
        <v>0</v>
      </c>
      <c r="D426" s="300">
        <f t="shared" si="31"/>
        <v>9173478.6761775557</v>
      </c>
      <c r="E426" s="354">
        <f t="shared" si="41"/>
        <v>0.13400000000000001</v>
      </c>
      <c r="F426" s="354">
        <f t="shared" si="30"/>
        <v>0.03</v>
      </c>
      <c r="H426" s="436">
        <f t="shared" si="32"/>
        <v>43439.959314680236</v>
      </c>
      <c r="I426" s="302">
        <f t="shared" si="33"/>
        <v>0</v>
      </c>
      <c r="K426" s="426">
        <f t="shared" si="42"/>
        <v>66802.287800476523</v>
      </c>
      <c r="L426" s="10">
        <f t="shared" si="43"/>
        <v>66802.287800476523</v>
      </c>
      <c r="M426" s="436">
        <f t="shared" si="44"/>
        <v>66802.287800476523</v>
      </c>
      <c r="N426" s="301">
        <f t="shared" si="34"/>
        <v>23362.32848579629</v>
      </c>
      <c r="O426" s="302">
        <f t="shared" si="35"/>
        <v>66802.287800476508</v>
      </c>
      <c r="P426" s="436">
        <f t="shared" si="36"/>
        <v>0</v>
      </c>
      <c r="Q426" s="11">
        <f t="shared" si="45"/>
        <v>0</v>
      </c>
      <c r="R426" s="426">
        <f t="shared" si="46"/>
        <v>10943941.730764279</v>
      </c>
      <c r="S426" s="354">
        <f>+Hirdetmény!$AA$46</f>
        <v>0.13400000000000001</v>
      </c>
      <c r="T426" s="302">
        <f t="shared" si="37"/>
        <v>21481.189088116804</v>
      </c>
      <c r="U426" s="302">
        <f t="shared" si="47"/>
        <v>124147.87847453258</v>
      </c>
      <c r="V426" s="302">
        <f t="shared" si="48"/>
        <v>145629.06756264938</v>
      </c>
      <c r="W426" s="302">
        <f t="shared" si="49"/>
        <v>145629.06756264938</v>
      </c>
      <c r="AA426" s="10">
        <f t="shared" si="50"/>
        <v>9897593.4056588747</v>
      </c>
      <c r="AB426" s="354">
        <f>+paraméterek!$B$346</f>
        <v>6.4600000000000005E-2</v>
      </c>
      <c r="AC426" s="302">
        <f t="shared" si="38"/>
        <v>35603.993968857547</v>
      </c>
      <c r="AD426" s="302">
        <f t="shared" si="53"/>
        <v>54216.403121718125</v>
      </c>
      <c r="AE426" s="302">
        <f t="shared" si="51"/>
        <v>89820.397090575672</v>
      </c>
      <c r="AF426" s="478">
        <f t="shared" si="39"/>
        <v>89820.397090575672</v>
      </c>
      <c r="AI426" s="543">
        <f t="shared" si="52"/>
        <v>146437.06756264938</v>
      </c>
      <c r="AJ426" s="543"/>
      <c r="AK426" s="300"/>
      <c r="AL426" s="543"/>
      <c r="AM426" s="10"/>
    </row>
    <row r="427" spans="1:39" s="11" customFormat="1" ht="13.8" hidden="1" x14ac:dyDescent="0.25">
      <c r="A427" s="11">
        <v>72</v>
      </c>
      <c r="B427" s="11">
        <f t="shared" si="40"/>
        <v>6</v>
      </c>
      <c r="C427" s="354">
        <f t="shared" si="29"/>
        <v>0</v>
      </c>
      <c r="D427" s="300">
        <f t="shared" si="31"/>
        <v>9129928.6086326689</v>
      </c>
      <c r="E427" s="354">
        <f t="shared" si="41"/>
        <v>0.13400000000000001</v>
      </c>
      <c r="F427" s="354">
        <f t="shared" si="30"/>
        <v>0.03</v>
      </c>
      <c r="H427" s="436">
        <f t="shared" si="32"/>
        <v>43550.067544887585</v>
      </c>
      <c r="I427" s="302">
        <f t="shared" si="33"/>
        <v>0</v>
      </c>
      <c r="K427" s="426">
        <f t="shared" si="42"/>
        <v>66802.287800476537</v>
      </c>
      <c r="L427" s="10">
        <f t="shared" si="43"/>
        <v>66802.287800476537</v>
      </c>
      <c r="M427" s="436">
        <f t="shared" si="44"/>
        <v>66802.287800476537</v>
      </c>
      <c r="N427" s="301">
        <f t="shared" si="34"/>
        <v>23252.220255588945</v>
      </c>
      <c r="O427" s="302">
        <f t="shared" si="35"/>
        <v>66802.287800476508</v>
      </c>
      <c r="P427" s="436">
        <f t="shared" si="36"/>
        <v>0</v>
      </c>
      <c r="Q427" s="11">
        <f t="shared" si="45"/>
        <v>0</v>
      </c>
      <c r="R427" s="426">
        <f t="shared" si="46"/>
        <v>10922217.336824704</v>
      </c>
      <c r="S427" s="354">
        <f>+Hirdetmény!$AA$46</f>
        <v>0.13400000000000001</v>
      </c>
      <c r="T427" s="302">
        <f t="shared" si="37"/>
        <v>21724.393939575086</v>
      </c>
      <c r="U427" s="302">
        <f t="shared" si="47"/>
        <v>123904.6736230743</v>
      </c>
      <c r="V427" s="302">
        <f t="shared" si="48"/>
        <v>145629.06756264938</v>
      </c>
      <c r="W427" s="302">
        <f t="shared" si="49"/>
        <v>145629.06756264938</v>
      </c>
      <c r="AA427" s="10">
        <f t="shared" si="50"/>
        <v>9861795.0814646017</v>
      </c>
      <c r="AB427" s="354">
        <f>+paraméterek!$B$346</f>
        <v>6.4600000000000005E-2</v>
      </c>
      <c r="AC427" s="302">
        <f t="shared" si="38"/>
        <v>35798.324194272289</v>
      </c>
      <c r="AD427" s="302">
        <f t="shared" si="53"/>
        <v>54022.072896303383</v>
      </c>
      <c r="AE427" s="302">
        <f t="shared" si="51"/>
        <v>89820.397090575672</v>
      </c>
      <c r="AF427" s="478">
        <f t="shared" si="39"/>
        <v>89820.397090575672</v>
      </c>
      <c r="AI427" s="543">
        <f t="shared" si="52"/>
        <v>146437.06756264938</v>
      </c>
      <c r="AJ427" s="543"/>
      <c r="AK427" s="300"/>
      <c r="AL427" s="543"/>
      <c r="AM427" s="10"/>
    </row>
    <row r="428" spans="1:39" s="11" customFormat="1" ht="13.8" hidden="1" x14ac:dyDescent="0.25">
      <c r="A428" s="11">
        <v>73</v>
      </c>
      <c r="B428" s="11">
        <f t="shared" si="40"/>
        <v>7</v>
      </c>
      <c r="C428" s="354">
        <f t="shared" si="29"/>
        <v>0</v>
      </c>
      <c r="D428" s="300">
        <f t="shared" si="31"/>
        <v>9086268.1537637953</v>
      </c>
      <c r="E428" s="354">
        <f t="shared" si="41"/>
        <v>0.13400000000000001</v>
      </c>
      <c r="F428" s="354">
        <f t="shared" si="30"/>
        <v>0.03</v>
      </c>
      <c r="H428" s="436">
        <f t="shared" si="32"/>
        <v>43660.454868872897</v>
      </c>
      <c r="I428" s="302">
        <f t="shared" si="33"/>
        <v>0</v>
      </c>
      <c r="K428" s="426">
        <f t="shared" si="42"/>
        <v>66802.287800476537</v>
      </c>
      <c r="L428" s="10">
        <f t="shared" si="43"/>
        <v>66802.287800476537</v>
      </c>
      <c r="M428" s="436">
        <f t="shared" si="44"/>
        <v>66802.287800476537</v>
      </c>
      <c r="N428" s="301">
        <f t="shared" si="34"/>
        <v>23141.83293160364</v>
      </c>
      <c r="O428" s="302">
        <f t="shared" si="35"/>
        <v>66802.287800476508</v>
      </c>
      <c r="P428" s="436">
        <f t="shared" si="36"/>
        <v>0</v>
      </c>
      <c r="Q428" s="11">
        <f t="shared" si="45"/>
        <v>0</v>
      </c>
      <c r="R428" s="426">
        <f t="shared" si="46"/>
        <v>10900246.984526891</v>
      </c>
      <c r="S428" s="354">
        <f>+Hirdetmény!$AA$46</f>
        <v>0.13400000000000001</v>
      </c>
      <c r="T428" s="302">
        <f t="shared" si="37"/>
        <v>21970.352297812267</v>
      </c>
      <c r="U428" s="302">
        <f t="shared" si="47"/>
        <v>123658.7152648371</v>
      </c>
      <c r="V428" s="302">
        <f t="shared" si="48"/>
        <v>145629.06756264938</v>
      </c>
      <c r="W428" s="302">
        <f t="shared" si="49"/>
        <v>145629.06756264938</v>
      </c>
      <c r="AA428" s="10">
        <f t="shared" si="50"/>
        <v>9825801.3663707506</v>
      </c>
      <c r="AB428" s="354">
        <f>+paraméterek!$B$346</f>
        <v>6.4600000000000005E-2</v>
      </c>
      <c r="AC428" s="302">
        <f t="shared" si="38"/>
        <v>35993.715093850231</v>
      </c>
      <c r="AD428" s="302">
        <f t="shared" si="53"/>
        <v>53826.681996725434</v>
      </c>
      <c r="AE428" s="302">
        <f t="shared" si="51"/>
        <v>89820.397090575658</v>
      </c>
      <c r="AF428" s="478">
        <f t="shared" si="39"/>
        <v>89820.397090575658</v>
      </c>
      <c r="AI428" s="543">
        <f t="shared" si="52"/>
        <v>146437.06756264938</v>
      </c>
      <c r="AJ428" s="543"/>
      <c r="AK428" s="300"/>
      <c r="AL428" s="543"/>
      <c r="AM428" s="10"/>
    </row>
    <row r="429" spans="1:39" s="11" customFormat="1" ht="13.8" hidden="1" x14ac:dyDescent="0.25">
      <c r="A429" s="11">
        <v>74</v>
      </c>
      <c r="B429" s="11">
        <f t="shared" si="40"/>
        <v>7</v>
      </c>
      <c r="C429" s="354">
        <f t="shared" si="29"/>
        <v>0</v>
      </c>
      <c r="D429" s="300">
        <f t="shared" si="31"/>
        <v>9042497.0317697339</v>
      </c>
      <c r="E429" s="354">
        <f t="shared" si="41"/>
        <v>0.13400000000000001</v>
      </c>
      <c r="F429" s="354">
        <f t="shared" si="30"/>
        <v>0.03</v>
      </c>
      <c r="H429" s="436">
        <f t="shared" si="32"/>
        <v>43771.121994061352</v>
      </c>
      <c r="I429" s="302">
        <f t="shared" si="33"/>
        <v>0</v>
      </c>
      <c r="K429" s="426">
        <f t="shared" si="42"/>
        <v>66802.287800476523</v>
      </c>
      <c r="L429" s="10">
        <f t="shared" si="43"/>
        <v>66802.287800476523</v>
      </c>
      <c r="M429" s="436">
        <f t="shared" si="44"/>
        <v>66802.287800476523</v>
      </c>
      <c r="N429" s="301">
        <f t="shared" si="34"/>
        <v>23031.165806415174</v>
      </c>
      <c r="O429" s="302">
        <f t="shared" si="35"/>
        <v>66802.287800476508</v>
      </c>
      <c r="P429" s="436">
        <f t="shared" si="36"/>
        <v>0</v>
      </c>
      <c r="Q429" s="11">
        <f t="shared" si="45"/>
        <v>0</v>
      </c>
      <c r="R429" s="426">
        <f t="shared" si="46"/>
        <v>10878027.889189523</v>
      </c>
      <c r="S429" s="354">
        <f>+Hirdetmény!$AA$46</f>
        <v>0.13400000000000001</v>
      </c>
      <c r="T429" s="302">
        <f t="shared" si="37"/>
        <v>22219.095337369217</v>
      </c>
      <c r="U429" s="302">
        <f t="shared" si="47"/>
        <v>123409.97222528017</v>
      </c>
      <c r="V429" s="302">
        <f t="shared" si="48"/>
        <v>145629.06756264938</v>
      </c>
      <c r="W429" s="302">
        <f t="shared" si="49"/>
        <v>145629.06756264938</v>
      </c>
      <c r="AA429" s="10">
        <f t="shared" si="50"/>
        <v>9789611.1939138919</v>
      </c>
      <c r="AB429" s="354">
        <f>+paraméterek!$B$346</f>
        <v>6.4600000000000005E-2</v>
      </c>
      <c r="AC429" s="302">
        <f t="shared" si="38"/>
        <v>36190.172456859007</v>
      </c>
      <c r="AD429" s="302">
        <f t="shared" si="53"/>
        <v>53630.224633716651</v>
      </c>
      <c r="AE429" s="302">
        <f t="shared" si="51"/>
        <v>89820.397090575658</v>
      </c>
      <c r="AF429" s="478">
        <f t="shared" si="39"/>
        <v>89820.397090575658</v>
      </c>
      <c r="AI429" s="543">
        <f t="shared" si="52"/>
        <v>146437.06756264938</v>
      </c>
      <c r="AJ429" s="543"/>
      <c r="AK429" s="300"/>
      <c r="AL429" s="543"/>
      <c r="AM429" s="10"/>
    </row>
    <row r="430" spans="1:39" s="11" customFormat="1" ht="13.8" hidden="1" x14ac:dyDescent="0.25">
      <c r="A430" s="11">
        <v>75</v>
      </c>
      <c r="B430" s="11">
        <f t="shared" si="40"/>
        <v>7</v>
      </c>
      <c r="C430" s="354">
        <f t="shared" si="29"/>
        <v>0</v>
      </c>
      <c r="D430" s="300">
        <f t="shared" si="31"/>
        <v>8998614.9621400628</v>
      </c>
      <c r="E430" s="354">
        <f t="shared" si="41"/>
        <v>0.13400000000000001</v>
      </c>
      <c r="F430" s="354">
        <f t="shared" si="30"/>
        <v>0.03</v>
      </c>
      <c r="H430" s="436">
        <f t="shared" si="32"/>
        <v>43882.069629671307</v>
      </c>
      <c r="I430" s="302">
        <f t="shared" si="33"/>
        <v>0</v>
      </c>
      <c r="K430" s="426">
        <f t="shared" si="42"/>
        <v>66802.287800476537</v>
      </c>
      <c r="L430" s="10">
        <f t="shared" si="43"/>
        <v>66802.287800476537</v>
      </c>
      <c r="M430" s="436">
        <f t="shared" si="44"/>
        <v>66802.287800476537</v>
      </c>
      <c r="N430" s="301">
        <f t="shared" si="34"/>
        <v>22920.218170805227</v>
      </c>
      <c r="O430" s="302">
        <f t="shared" si="35"/>
        <v>66802.287800476508</v>
      </c>
      <c r="P430" s="436">
        <f t="shared" si="36"/>
        <v>0</v>
      </c>
      <c r="Q430" s="11">
        <f t="shared" si="45"/>
        <v>0</v>
      </c>
      <c r="R430" s="426">
        <f t="shared" si="46"/>
        <v>10855557.234603785</v>
      </c>
      <c r="S430" s="354">
        <f>+Hirdetmény!$AA$46</f>
        <v>0.13400000000000001</v>
      </c>
      <c r="T430" s="302">
        <f t="shared" si="37"/>
        <v>22470.65458573744</v>
      </c>
      <c r="U430" s="302">
        <f t="shared" si="47"/>
        <v>123158.41297691196</v>
      </c>
      <c r="V430" s="302">
        <f t="shared" si="48"/>
        <v>145629.0675626494</v>
      </c>
      <c r="W430" s="302">
        <f t="shared" si="49"/>
        <v>145629.0675626494</v>
      </c>
      <c r="AA430" s="10">
        <f t="shared" si="50"/>
        <v>9753223.4918097276</v>
      </c>
      <c r="AB430" s="354">
        <f>+paraméterek!$B$346</f>
        <v>6.4600000000000005E-2</v>
      </c>
      <c r="AC430" s="302">
        <f t="shared" si="38"/>
        <v>36387.702104164622</v>
      </c>
      <c r="AD430" s="302">
        <f t="shared" si="53"/>
        <v>53432.694986411036</v>
      </c>
      <c r="AE430" s="302">
        <f t="shared" si="51"/>
        <v>89820.397090575658</v>
      </c>
      <c r="AF430" s="478">
        <f t="shared" si="39"/>
        <v>89820.397090575658</v>
      </c>
      <c r="AI430" s="543">
        <f t="shared" si="52"/>
        <v>146437.0675626494</v>
      </c>
      <c r="AJ430" s="543"/>
      <c r="AK430" s="300"/>
      <c r="AL430" s="543"/>
      <c r="AM430" s="10"/>
    </row>
    <row r="431" spans="1:39" s="11" customFormat="1" ht="13.8" hidden="1" x14ac:dyDescent="0.25">
      <c r="A431" s="11">
        <v>76</v>
      </c>
      <c r="B431" s="11">
        <f t="shared" si="40"/>
        <v>7</v>
      </c>
      <c r="C431" s="354">
        <f t="shared" si="29"/>
        <v>0</v>
      </c>
      <c r="D431" s="300">
        <f t="shared" si="31"/>
        <v>8954621.6636533439</v>
      </c>
      <c r="E431" s="354">
        <f t="shared" si="41"/>
        <v>0.13400000000000001</v>
      </c>
      <c r="F431" s="354">
        <f t="shared" si="30"/>
        <v>0.03</v>
      </c>
      <c r="H431" s="436">
        <f t="shared" si="32"/>
        <v>43993.298486718741</v>
      </c>
      <c r="I431" s="302">
        <f t="shared" si="33"/>
        <v>0</v>
      </c>
      <c r="K431" s="426">
        <f t="shared" si="42"/>
        <v>66802.287800476537</v>
      </c>
      <c r="L431" s="10">
        <f t="shared" si="43"/>
        <v>66802.287800476537</v>
      </c>
      <c r="M431" s="436">
        <f t="shared" si="44"/>
        <v>66802.287800476537</v>
      </c>
      <c r="N431" s="301">
        <f t="shared" si="34"/>
        <v>22808.9893137578</v>
      </c>
      <c r="O431" s="302">
        <f t="shared" si="35"/>
        <v>66802.287800476508</v>
      </c>
      <c r="P431" s="436">
        <f t="shared" si="36"/>
        <v>0</v>
      </c>
      <c r="Q431" s="11">
        <f t="shared" si="45"/>
        <v>0</v>
      </c>
      <c r="R431" s="426">
        <f t="shared" si="46"/>
        <v>10832832.172676429</v>
      </c>
      <c r="S431" s="354">
        <f>+Hirdetmény!$AA$46</f>
        <v>0.13400000000000001</v>
      </c>
      <c r="T431" s="302">
        <f t="shared" si="37"/>
        <v>22725.061927355127</v>
      </c>
      <c r="U431" s="302">
        <f t="shared" si="47"/>
        <v>122904.00563529425</v>
      </c>
      <c r="V431" s="302">
        <f t="shared" si="48"/>
        <v>145629.06756264938</v>
      </c>
      <c r="W431" s="302">
        <f t="shared" si="49"/>
        <v>145629.06756264938</v>
      </c>
      <c r="AA431" s="10">
        <f t="shared" si="50"/>
        <v>9716637.1819213238</v>
      </c>
      <c r="AB431" s="354">
        <f>+paraméterek!$B$346</f>
        <v>6.4600000000000005E-2</v>
      </c>
      <c r="AC431" s="302">
        <f t="shared" si="38"/>
        <v>36586.309888403994</v>
      </c>
      <c r="AD431" s="302">
        <f t="shared" si="53"/>
        <v>53234.087202171671</v>
      </c>
      <c r="AE431" s="302">
        <f t="shared" si="51"/>
        <v>89820.397090575658</v>
      </c>
      <c r="AF431" s="478">
        <f t="shared" si="39"/>
        <v>89820.397090575658</v>
      </c>
      <c r="AI431" s="543">
        <f t="shared" si="52"/>
        <v>146437.06756264938</v>
      </c>
      <c r="AJ431" s="543"/>
      <c r="AK431" s="300"/>
      <c r="AL431" s="543"/>
      <c r="AM431" s="10"/>
    </row>
    <row r="432" spans="1:39" s="11" customFormat="1" ht="13.8" hidden="1" x14ac:dyDescent="0.25">
      <c r="A432" s="11">
        <v>77</v>
      </c>
      <c r="B432" s="11">
        <f t="shared" si="40"/>
        <v>7</v>
      </c>
      <c r="C432" s="354">
        <f t="shared" si="29"/>
        <v>0</v>
      </c>
      <c r="D432" s="300">
        <f t="shared" si="31"/>
        <v>8910516.8543753214</v>
      </c>
      <c r="E432" s="354">
        <f t="shared" si="41"/>
        <v>0.13400000000000001</v>
      </c>
      <c r="F432" s="354">
        <f t="shared" si="30"/>
        <v>0.03</v>
      </c>
      <c r="H432" s="436">
        <f t="shared" si="32"/>
        <v>44104.809278021879</v>
      </c>
      <c r="I432" s="302">
        <f t="shared" si="33"/>
        <v>0</v>
      </c>
      <c r="K432" s="426">
        <f t="shared" si="42"/>
        <v>66802.287800476537</v>
      </c>
      <c r="L432" s="10">
        <f t="shared" si="43"/>
        <v>66802.287800476537</v>
      </c>
      <c r="M432" s="436">
        <f t="shared" si="44"/>
        <v>66802.287800476537</v>
      </c>
      <c r="N432" s="301">
        <f t="shared" si="34"/>
        <v>22697.478522454658</v>
      </c>
      <c r="O432" s="302">
        <f t="shared" si="35"/>
        <v>66802.287800476508</v>
      </c>
      <c r="P432" s="436">
        <f t="shared" si="36"/>
        <v>0</v>
      </c>
      <c r="Q432" s="11">
        <f t="shared" si="45"/>
        <v>0</v>
      </c>
      <c r="R432" s="426">
        <f t="shared" si="46"/>
        <v>10809849.823068781</v>
      </c>
      <c r="S432" s="354">
        <f>+Hirdetmény!$AA$46</f>
        <v>0.13400000000000001</v>
      </c>
      <c r="T432" s="302">
        <f t="shared" si="37"/>
        <v>22982.349607648393</v>
      </c>
      <c r="U432" s="302">
        <f t="shared" si="47"/>
        <v>122646.71795500098</v>
      </c>
      <c r="V432" s="302">
        <f t="shared" si="48"/>
        <v>145629.06756264938</v>
      </c>
      <c r="W432" s="302">
        <f t="shared" si="49"/>
        <v>145629.06756264938</v>
      </c>
      <c r="AA432" s="10">
        <f t="shared" si="50"/>
        <v>9679851.180227166</v>
      </c>
      <c r="AB432" s="354">
        <f>+paraméterek!$B$346</f>
        <v>6.4600000000000005E-2</v>
      </c>
      <c r="AC432" s="302">
        <f t="shared" si="38"/>
        <v>36786.001694158324</v>
      </c>
      <c r="AD432" s="302">
        <f t="shared" si="53"/>
        <v>53034.395396417342</v>
      </c>
      <c r="AE432" s="302">
        <f t="shared" si="51"/>
        <v>89820.397090575658</v>
      </c>
      <c r="AF432" s="478">
        <f t="shared" si="39"/>
        <v>89820.397090575658</v>
      </c>
      <c r="AI432" s="543">
        <f t="shared" si="52"/>
        <v>146437.06756264938</v>
      </c>
      <c r="AJ432" s="543"/>
      <c r="AK432" s="300"/>
      <c r="AL432" s="543"/>
      <c r="AM432" s="10"/>
    </row>
    <row r="433" spans="1:39" s="11" customFormat="1" ht="13.8" hidden="1" x14ac:dyDescent="0.25">
      <c r="A433" s="11">
        <v>78</v>
      </c>
      <c r="B433" s="11">
        <f t="shared" si="40"/>
        <v>7</v>
      </c>
      <c r="C433" s="354">
        <f t="shared" si="29"/>
        <v>0</v>
      </c>
      <c r="D433" s="300">
        <f t="shared" si="31"/>
        <v>8866300.2516571153</v>
      </c>
      <c r="E433" s="354">
        <f t="shared" si="41"/>
        <v>0.13400000000000001</v>
      </c>
      <c r="F433" s="354">
        <f t="shared" si="30"/>
        <v>0.03</v>
      </c>
      <c r="H433" s="436">
        <f t="shared" si="32"/>
        <v>44216.602718205751</v>
      </c>
      <c r="I433" s="302">
        <f t="shared" si="33"/>
        <v>0</v>
      </c>
      <c r="K433" s="426">
        <f t="shared" si="42"/>
        <v>66802.287800476537</v>
      </c>
      <c r="L433" s="10">
        <f t="shared" si="43"/>
        <v>66802.287800476537</v>
      </c>
      <c r="M433" s="436">
        <f t="shared" si="44"/>
        <v>66802.287800476537</v>
      </c>
      <c r="N433" s="301">
        <f t="shared" si="34"/>
        <v>22585.685082270782</v>
      </c>
      <c r="O433" s="302">
        <f t="shared" si="35"/>
        <v>66802.287800476508</v>
      </c>
      <c r="P433" s="436">
        <f t="shared" si="36"/>
        <v>0</v>
      </c>
      <c r="Q433" s="11">
        <f t="shared" si="45"/>
        <v>0</v>
      </c>
      <c r="R433" s="426">
        <f t="shared" si="46"/>
        <v>10786607.272831662</v>
      </c>
      <c r="S433" s="354">
        <f>+Hirdetmény!$AA$46</f>
        <v>0.13400000000000001</v>
      </c>
      <c r="T433" s="302">
        <f t="shared" si="37"/>
        <v>23242.550237118325</v>
      </c>
      <c r="U433" s="302">
        <f t="shared" si="47"/>
        <v>122386.51732553105</v>
      </c>
      <c r="V433" s="302">
        <f t="shared" si="48"/>
        <v>145629.06756264938</v>
      </c>
      <c r="W433" s="302">
        <f t="shared" si="49"/>
        <v>145629.06756264938</v>
      </c>
      <c r="AA433" s="10">
        <f t="shared" si="50"/>
        <v>9642864.3967890386</v>
      </c>
      <c r="AB433" s="354">
        <f>+paraméterek!$B$346</f>
        <v>6.4600000000000005E-2</v>
      </c>
      <c r="AC433" s="302">
        <f t="shared" si="38"/>
        <v>36986.783438127444</v>
      </c>
      <c r="AD433" s="302">
        <f t="shared" si="53"/>
        <v>52833.613652448235</v>
      </c>
      <c r="AE433" s="302">
        <f t="shared" si="51"/>
        <v>89820.397090575687</v>
      </c>
      <c r="AF433" s="478">
        <f t="shared" si="39"/>
        <v>89820.397090575687</v>
      </c>
      <c r="AI433" s="543">
        <f t="shared" si="52"/>
        <v>146437.06756264938</v>
      </c>
      <c r="AJ433" s="543"/>
      <c r="AK433" s="300"/>
      <c r="AL433" s="543"/>
      <c r="AM433" s="10"/>
    </row>
    <row r="434" spans="1:39" s="11" customFormat="1" ht="13.8" hidden="1" x14ac:dyDescent="0.25">
      <c r="A434" s="11">
        <v>79</v>
      </c>
      <c r="B434" s="11">
        <f t="shared" si="40"/>
        <v>7</v>
      </c>
      <c r="C434" s="354">
        <f t="shared" si="29"/>
        <v>0</v>
      </c>
      <c r="D434" s="300">
        <f t="shared" si="31"/>
        <v>8821971.5721334089</v>
      </c>
      <c r="E434" s="354">
        <f t="shared" si="41"/>
        <v>0.13400000000000001</v>
      </c>
      <c r="F434" s="354">
        <f t="shared" si="30"/>
        <v>0.03</v>
      </c>
      <c r="H434" s="436">
        <f t="shared" si="32"/>
        <v>44328.679523706771</v>
      </c>
      <c r="I434" s="302">
        <f t="shared" si="33"/>
        <v>0</v>
      </c>
      <c r="K434" s="426">
        <f t="shared" si="42"/>
        <v>66802.287800476537</v>
      </c>
      <c r="L434" s="10">
        <f t="shared" si="43"/>
        <v>66802.287800476537</v>
      </c>
      <c r="M434" s="436">
        <f t="shared" si="44"/>
        <v>66802.287800476537</v>
      </c>
      <c r="N434" s="301">
        <f t="shared" si="34"/>
        <v>22473.60827676977</v>
      </c>
      <c r="O434" s="302">
        <f t="shared" si="35"/>
        <v>66802.287800476508</v>
      </c>
      <c r="P434" s="436">
        <f t="shared" si="36"/>
        <v>0</v>
      </c>
      <c r="Q434" s="11">
        <f t="shared" si="45"/>
        <v>0</v>
      </c>
      <c r="R434" s="426">
        <f t="shared" si="46"/>
        <v>10763101.576036187</v>
      </c>
      <c r="S434" s="354">
        <f>+Hirdetmény!$AA$46</f>
        <v>0.13400000000000001</v>
      </c>
      <c r="T434" s="302">
        <f t="shared" si="37"/>
        <v>23505.696795474214</v>
      </c>
      <c r="U434" s="302">
        <f t="shared" si="47"/>
        <v>122123.37076717515</v>
      </c>
      <c r="V434" s="302">
        <f t="shared" si="48"/>
        <v>145629.06756264938</v>
      </c>
      <c r="W434" s="302">
        <f t="shared" si="49"/>
        <v>145629.06756264938</v>
      </c>
      <c r="AA434" s="10">
        <f t="shared" si="50"/>
        <v>9605675.7357197329</v>
      </c>
      <c r="AB434" s="354">
        <f>+paraméterek!$B$346</f>
        <v>6.4600000000000005E-2</v>
      </c>
      <c r="AC434" s="302">
        <f t="shared" si="38"/>
        <v>37188.661069305119</v>
      </c>
      <c r="AD434" s="302">
        <f t="shared" si="53"/>
        <v>52631.736021270546</v>
      </c>
      <c r="AE434" s="302">
        <f t="shared" si="51"/>
        <v>89820.397090575658</v>
      </c>
      <c r="AF434" s="478">
        <f t="shared" si="39"/>
        <v>89820.397090575658</v>
      </c>
      <c r="AI434" s="543">
        <f t="shared" si="52"/>
        <v>146437.06756264938</v>
      </c>
      <c r="AJ434" s="543"/>
      <c r="AK434" s="300"/>
      <c r="AL434" s="543"/>
      <c r="AM434" s="10"/>
    </row>
    <row r="435" spans="1:39" s="11" customFormat="1" ht="13.8" hidden="1" x14ac:dyDescent="0.25">
      <c r="A435" s="11">
        <v>80</v>
      </c>
      <c r="B435" s="11">
        <f t="shared" si="40"/>
        <v>7</v>
      </c>
      <c r="C435" s="354">
        <f t="shared" si="29"/>
        <v>0</v>
      </c>
      <c r="D435" s="300">
        <f t="shared" si="31"/>
        <v>8777530.5317206308</v>
      </c>
      <c r="E435" s="354">
        <f t="shared" si="41"/>
        <v>0.13400000000000001</v>
      </c>
      <c r="F435" s="354">
        <f t="shared" si="30"/>
        <v>0.03</v>
      </c>
      <c r="H435" s="436">
        <f t="shared" si="32"/>
        <v>44441.040412777264</v>
      </c>
      <c r="I435" s="302">
        <f t="shared" si="33"/>
        <v>0</v>
      </c>
      <c r="K435" s="426">
        <f t="shared" si="42"/>
        <v>66802.287800476537</v>
      </c>
      <c r="L435" s="10">
        <f t="shared" si="43"/>
        <v>66802.287800476537</v>
      </c>
      <c r="M435" s="436">
        <f t="shared" si="44"/>
        <v>66802.287800476537</v>
      </c>
      <c r="N435" s="301">
        <f t="shared" si="34"/>
        <v>22361.247387699266</v>
      </c>
      <c r="O435" s="302">
        <f t="shared" si="35"/>
        <v>66802.287800476508</v>
      </c>
      <c r="P435" s="436">
        <f t="shared" si="36"/>
        <v>0</v>
      </c>
      <c r="Q435" s="11">
        <f t="shared" si="45"/>
        <v>0</v>
      </c>
      <c r="R435" s="426">
        <f t="shared" si="46"/>
        <v>10739329.753400372</v>
      </c>
      <c r="S435" s="354">
        <f>+Hirdetmény!$AA$46</f>
        <v>0.13400000000000001</v>
      </c>
      <c r="T435" s="302">
        <f t="shared" si="37"/>
        <v>23771.822635813722</v>
      </c>
      <c r="U435" s="302">
        <f t="shared" si="47"/>
        <v>121857.24492683564</v>
      </c>
      <c r="V435" s="302">
        <f t="shared" si="48"/>
        <v>145629.06756264938</v>
      </c>
      <c r="W435" s="302">
        <f t="shared" si="49"/>
        <v>145629.06756264938</v>
      </c>
      <c r="AA435" s="10">
        <f t="shared" si="50"/>
        <v>9568284.0951505769</v>
      </c>
      <c r="AB435" s="354">
        <f>+paraméterek!$B$346</f>
        <v>6.4600000000000005E-2</v>
      </c>
      <c r="AC435" s="302">
        <f t="shared" si="38"/>
        <v>37391.640569155395</v>
      </c>
      <c r="AD435" s="302">
        <f t="shared" si="53"/>
        <v>52428.756521420284</v>
      </c>
      <c r="AE435" s="302">
        <f t="shared" si="51"/>
        <v>89820.397090575687</v>
      </c>
      <c r="AF435" s="478">
        <f t="shared" si="39"/>
        <v>89820.397090575687</v>
      </c>
      <c r="AI435" s="543">
        <f t="shared" si="52"/>
        <v>146437.06756264938</v>
      </c>
      <c r="AJ435" s="543"/>
      <c r="AK435" s="300"/>
      <c r="AL435" s="543"/>
      <c r="AM435" s="10"/>
    </row>
    <row r="436" spans="1:39" s="11" customFormat="1" ht="13.8" hidden="1" x14ac:dyDescent="0.25">
      <c r="A436" s="11">
        <v>81</v>
      </c>
      <c r="B436" s="11">
        <f t="shared" si="40"/>
        <v>7</v>
      </c>
      <c r="C436" s="354">
        <f t="shared" si="29"/>
        <v>0</v>
      </c>
      <c r="D436" s="300">
        <f t="shared" si="31"/>
        <v>8732976.8456151411</v>
      </c>
      <c r="E436" s="354">
        <f t="shared" si="41"/>
        <v>0.13400000000000001</v>
      </c>
      <c r="F436" s="354">
        <f t="shared" si="30"/>
        <v>0.03</v>
      </c>
      <c r="H436" s="436">
        <f t="shared" si="32"/>
        <v>44553.686105490211</v>
      </c>
      <c r="I436" s="302">
        <f t="shared" si="33"/>
        <v>0</v>
      </c>
      <c r="K436" s="426">
        <f t="shared" si="42"/>
        <v>66802.287800476537</v>
      </c>
      <c r="L436" s="10">
        <f t="shared" si="43"/>
        <v>66802.287800476537</v>
      </c>
      <c r="M436" s="436">
        <f t="shared" si="44"/>
        <v>66802.287800476537</v>
      </c>
      <c r="N436" s="301">
        <f t="shared" si="34"/>
        <v>22248.601694986322</v>
      </c>
      <c r="O436" s="302">
        <f t="shared" si="35"/>
        <v>66802.287800476508</v>
      </c>
      <c r="P436" s="436">
        <f t="shared" si="36"/>
        <v>0</v>
      </c>
      <c r="Q436" s="11">
        <f t="shared" si="45"/>
        <v>0</v>
      </c>
      <c r="R436" s="426">
        <f t="shared" si="46"/>
        <v>10715288.791911522</v>
      </c>
      <c r="S436" s="354">
        <f>+Hirdetmény!$AA$46</f>
        <v>0.13400000000000001</v>
      </c>
      <c r="T436" s="302">
        <f t="shared" si="37"/>
        <v>24040.961488850211</v>
      </c>
      <c r="U436" s="302">
        <f t="shared" si="47"/>
        <v>121588.10607379912</v>
      </c>
      <c r="V436" s="302">
        <f t="shared" si="48"/>
        <v>145629.06756264932</v>
      </c>
      <c r="W436" s="302">
        <f t="shared" si="49"/>
        <v>145629.06756264932</v>
      </c>
      <c r="AA436" s="10">
        <f t="shared" si="50"/>
        <v>9530688.3671987876</v>
      </c>
      <c r="AB436" s="354">
        <f>+paraméterek!$B$346</f>
        <v>6.4600000000000005E-2</v>
      </c>
      <c r="AC436" s="302">
        <f t="shared" si="38"/>
        <v>37595.727951789675</v>
      </c>
      <c r="AD436" s="302">
        <f t="shared" si="53"/>
        <v>52224.66913878599</v>
      </c>
      <c r="AE436" s="302">
        <f t="shared" si="51"/>
        <v>89820.397090575658</v>
      </c>
      <c r="AF436" s="478">
        <f t="shared" si="39"/>
        <v>89820.397090575658</v>
      </c>
      <c r="AI436" s="543">
        <f t="shared" si="52"/>
        <v>146437.06756264932</v>
      </c>
      <c r="AJ436" s="543"/>
      <c r="AK436" s="300"/>
      <c r="AL436" s="543"/>
      <c r="AM436" s="10"/>
    </row>
    <row r="437" spans="1:39" s="11" customFormat="1" ht="13.8" hidden="1" x14ac:dyDescent="0.25">
      <c r="A437" s="11">
        <v>82</v>
      </c>
      <c r="B437" s="11">
        <f t="shared" si="40"/>
        <v>7</v>
      </c>
      <c r="C437" s="354">
        <f t="shared" si="29"/>
        <v>0</v>
      </c>
      <c r="D437" s="300">
        <f t="shared" si="31"/>
        <v>8688310.2282913979</v>
      </c>
      <c r="E437" s="354">
        <f t="shared" si="41"/>
        <v>0.13400000000000001</v>
      </c>
      <c r="F437" s="354">
        <f t="shared" si="30"/>
        <v>0.03</v>
      </c>
      <c r="H437" s="436">
        <f t="shared" si="32"/>
        <v>44666.617323743703</v>
      </c>
      <c r="I437" s="302">
        <f t="shared" si="33"/>
        <v>0</v>
      </c>
      <c r="K437" s="426">
        <f t="shared" si="42"/>
        <v>66802.287800476523</v>
      </c>
      <c r="L437" s="10">
        <f t="shared" si="43"/>
        <v>66802.287800476523</v>
      </c>
      <c r="M437" s="436">
        <f t="shared" si="44"/>
        <v>66802.287800476523</v>
      </c>
      <c r="N437" s="301">
        <f t="shared" si="34"/>
        <v>22135.670476732823</v>
      </c>
      <c r="O437" s="302">
        <f t="shared" si="35"/>
        <v>66802.287800476508</v>
      </c>
      <c r="P437" s="436">
        <f t="shared" si="36"/>
        <v>0</v>
      </c>
      <c r="Q437" s="11">
        <f t="shared" si="45"/>
        <v>0</v>
      </c>
      <c r="R437" s="426">
        <f t="shared" si="46"/>
        <v>10690975.644444333</v>
      </c>
      <c r="S437" s="354">
        <f>+Hirdetmény!$AA$46</f>
        <v>0.13400000000000001</v>
      </c>
      <c r="T437" s="302">
        <f t="shared" si="37"/>
        <v>24313.147467188093</v>
      </c>
      <c r="U437" s="302">
        <f t="shared" si="47"/>
        <v>121315.92009546125</v>
      </c>
      <c r="V437" s="302">
        <f t="shared" si="48"/>
        <v>145629.06756264935</v>
      </c>
      <c r="W437" s="302">
        <f t="shared" si="49"/>
        <v>145629.06756264935</v>
      </c>
      <c r="AA437" s="10">
        <f t="shared" si="50"/>
        <v>9492887.4379346427</v>
      </c>
      <c r="AB437" s="354">
        <f>+paraméterek!$B$346</f>
        <v>6.4600000000000005E-2</v>
      </c>
      <c r="AC437" s="302">
        <f t="shared" si="38"/>
        <v>37800.929264145067</v>
      </c>
      <c r="AD437" s="302">
        <f t="shared" si="53"/>
        <v>52019.467826430606</v>
      </c>
      <c r="AE437" s="302">
        <f t="shared" si="51"/>
        <v>89820.397090575672</v>
      </c>
      <c r="AF437" s="478">
        <f t="shared" si="39"/>
        <v>89820.397090575672</v>
      </c>
      <c r="AI437" s="543">
        <f t="shared" si="52"/>
        <v>146437.06756264935</v>
      </c>
      <c r="AJ437" s="543"/>
      <c r="AK437" s="300"/>
      <c r="AL437" s="543"/>
      <c r="AM437" s="10"/>
    </row>
    <row r="438" spans="1:39" s="11" customFormat="1" ht="13.8" hidden="1" x14ac:dyDescent="0.25">
      <c r="A438" s="11">
        <v>83</v>
      </c>
      <c r="B438" s="11">
        <f t="shared" si="40"/>
        <v>7</v>
      </c>
      <c r="C438" s="354">
        <f t="shared" si="29"/>
        <v>0</v>
      </c>
      <c r="D438" s="300">
        <f t="shared" si="31"/>
        <v>8643530.3935001325</v>
      </c>
      <c r="E438" s="354">
        <f t="shared" si="41"/>
        <v>0.13400000000000001</v>
      </c>
      <c r="F438" s="354">
        <f t="shared" si="30"/>
        <v>0.03</v>
      </c>
      <c r="H438" s="436">
        <f t="shared" si="32"/>
        <v>44779.834791265697</v>
      </c>
      <c r="I438" s="302">
        <f t="shared" si="33"/>
        <v>0</v>
      </c>
      <c r="K438" s="426">
        <f t="shared" si="42"/>
        <v>66802.287800476537</v>
      </c>
      <c r="L438" s="10">
        <f t="shared" si="43"/>
        <v>66802.287800476537</v>
      </c>
      <c r="M438" s="436">
        <f t="shared" si="44"/>
        <v>66802.287800476537</v>
      </c>
      <c r="N438" s="301">
        <f t="shared" si="34"/>
        <v>22022.453009210836</v>
      </c>
      <c r="O438" s="302">
        <f t="shared" si="35"/>
        <v>66802.287800476508</v>
      </c>
      <c r="P438" s="436">
        <f t="shared" si="36"/>
        <v>0</v>
      </c>
      <c r="Q438" s="11">
        <f t="shared" si="45"/>
        <v>0</v>
      </c>
      <c r="R438" s="426">
        <f t="shared" si="46"/>
        <v>10666387.229374686</v>
      </c>
      <c r="S438" s="354">
        <f>+Hirdetmény!$AA$46</f>
        <v>0.13400000000000001</v>
      </c>
      <c r="T438" s="302">
        <f t="shared" si="37"/>
        <v>24588.415069646457</v>
      </c>
      <c r="U438" s="302">
        <f t="shared" si="47"/>
        <v>121040.65249300287</v>
      </c>
      <c r="V438" s="302">
        <f t="shared" si="48"/>
        <v>145629.06756264932</v>
      </c>
      <c r="W438" s="302">
        <f t="shared" si="49"/>
        <v>145629.06756264932</v>
      </c>
      <c r="AA438" s="10">
        <f t="shared" si="50"/>
        <v>9454880.1873484794</v>
      </c>
      <c r="AB438" s="354">
        <f>+paraméterek!$B$346</f>
        <v>6.4600000000000005E-2</v>
      </c>
      <c r="AC438" s="302">
        <f t="shared" si="38"/>
        <v>38007.250586163413</v>
      </c>
      <c r="AD438" s="302">
        <f t="shared" si="53"/>
        <v>51813.14650441226</v>
      </c>
      <c r="AE438" s="302">
        <f t="shared" si="51"/>
        <v>89820.397090575672</v>
      </c>
      <c r="AF438" s="478">
        <f t="shared" si="39"/>
        <v>89820.397090575672</v>
      </c>
      <c r="AI438" s="543">
        <f t="shared" si="52"/>
        <v>146437.06756264932</v>
      </c>
      <c r="AJ438" s="543"/>
      <c r="AK438" s="300"/>
      <c r="AL438" s="543"/>
      <c r="AM438" s="10"/>
    </row>
    <row r="439" spans="1:39" s="11" customFormat="1" ht="13.8" hidden="1" x14ac:dyDescent="0.25">
      <c r="A439" s="11">
        <v>84</v>
      </c>
      <c r="B439" s="11">
        <f t="shared" si="40"/>
        <v>7</v>
      </c>
      <c r="C439" s="354">
        <f t="shared" si="29"/>
        <v>0</v>
      </c>
      <c r="D439" s="300">
        <f t="shared" si="31"/>
        <v>8598637.0542665143</v>
      </c>
      <c r="E439" s="354">
        <f t="shared" si="41"/>
        <v>0.13400000000000001</v>
      </c>
      <c r="F439" s="354">
        <f t="shared" si="30"/>
        <v>0.03</v>
      </c>
      <c r="H439" s="436">
        <f t="shared" si="32"/>
        <v>44893.339233618564</v>
      </c>
      <c r="I439" s="302">
        <f t="shared" si="33"/>
        <v>0</v>
      </c>
      <c r="K439" s="426">
        <f t="shared" si="42"/>
        <v>66802.287800476537</v>
      </c>
      <c r="L439" s="10">
        <f t="shared" si="43"/>
        <v>66802.287800476537</v>
      </c>
      <c r="M439" s="436">
        <f t="shared" si="44"/>
        <v>66802.287800476537</v>
      </c>
      <c r="N439" s="301">
        <f t="shared" si="34"/>
        <v>21908.948566857973</v>
      </c>
      <c r="O439" s="302">
        <f t="shared" si="35"/>
        <v>66802.287800476508</v>
      </c>
      <c r="P439" s="436">
        <f t="shared" si="36"/>
        <v>0</v>
      </c>
      <c r="Q439" s="11">
        <f t="shared" si="45"/>
        <v>0</v>
      </c>
      <c r="R439" s="426">
        <f t="shared" si="46"/>
        <v>10641520.430189054</v>
      </c>
      <c r="S439" s="354">
        <f>+Hirdetmény!$AA$46</f>
        <v>0.13400000000000001</v>
      </c>
      <c r="T439" s="302">
        <f t="shared" si="37"/>
        <v>24866.799185631739</v>
      </c>
      <c r="U439" s="302">
        <f t="shared" si="47"/>
        <v>120762.26837701756</v>
      </c>
      <c r="V439" s="302">
        <f t="shared" si="48"/>
        <v>145629.06756264932</v>
      </c>
      <c r="W439" s="302">
        <f t="shared" si="49"/>
        <v>145629.06756264932</v>
      </c>
      <c r="AA439" s="10">
        <f t="shared" si="50"/>
        <v>9416665.4893175084</v>
      </c>
      <c r="AB439" s="354">
        <f>+paraméterek!$B$346</f>
        <v>6.4600000000000005E-2</v>
      </c>
      <c r="AC439" s="302">
        <f t="shared" si="38"/>
        <v>38214.698030971536</v>
      </c>
      <c r="AD439" s="302">
        <f t="shared" si="53"/>
        <v>51605.699059604129</v>
      </c>
      <c r="AE439" s="302">
        <f t="shared" si="51"/>
        <v>89820.397090575658</v>
      </c>
      <c r="AF439" s="478">
        <f t="shared" si="39"/>
        <v>89820.397090575658</v>
      </c>
      <c r="AI439" s="543">
        <f t="shared" si="52"/>
        <v>146437.06756264932</v>
      </c>
      <c r="AJ439" s="543"/>
      <c r="AK439" s="300"/>
      <c r="AL439" s="543"/>
      <c r="AM439" s="10"/>
    </row>
    <row r="440" spans="1:39" s="11" customFormat="1" ht="13.8" hidden="1" x14ac:dyDescent="0.25">
      <c r="A440" s="11">
        <v>85</v>
      </c>
      <c r="B440" s="11">
        <f t="shared" si="40"/>
        <v>8</v>
      </c>
      <c r="C440" s="354">
        <f t="shared" si="29"/>
        <v>0</v>
      </c>
      <c r="D440" s="300">
        <f t="shared" si="31"/>
        <v>8553629.9228883106</v>
      </c>
      <c r="E440" s="354">
        <f t="shared" si="41"/>
        <v>0.13400000000000001</v>
      </c>
      <c r="F440" s="354">
        <f t="shared" si="30"/>
        <v>0.03</v>
      </c>
      <c r="H440" s="436">
        <f t="shared" si="32"/>
        <v>45007.131378203769</v>
      </c>
      <c r="I440" s="302">
        <f t="shared" si="33"/>
        <v>0</v>
      </c>
      <c r="K440" s="426">
        <f t="shared" si="42"/>
        <v>66802.287800476537</v>
      </c>
      <c r="L440" s="10">
        <f t="shared" si="43"/>
        <v>66802.287800476537</v>
      </c>
      <c r="M440" s="436">
        <f t="shared" si="44"/>
        <v>66802.287800476537</v>
      </c>
      <c r="N440" s="301">
        <f t="shared" si="34"/>
        <v>21795.156422272761</v>
      </c>
      <c r="O440" s="302">
        <f t="shared" si="35"/>
        <v>66802.287800476508</v>
      </c>
      <c r="P440" s="436">
        <f t="shared" si="36"/>
        <v>0</v>
      </c>
      <c r="Q440" s="11">
        <f t="shared" si="45"/>
        <v>0</v>
      </c>
      <c r="R440" s="426">
        <f t="shared" si="46"/>
        <v>10616372.095089495</v>
      </c>
      <c r="S440" s="354">
        <f>+Hirdetmény!$AA$46</f>
        <v>0.13400000000000001</v>
      </c>
      <c r="T440" s="302">
        <f t="shared" si="37"/>
        <v>25148.335099559805</v>
      </c>
      <c r="U440" s="302">
        <f t="shared" si="47"/>
        <v>120480.73246308952</v>
      </c>
      <c r="V440" s="302">
        <f t="shared" si="48"/>
        <v>145629.06756264932</v>
      </c>
      <c r="W440" s="302">
        <f t="shared" si="49"/>
        <v>145629.06756264932</v>
      </c>
      <c r="AA440" s="10">
        <f t="shared" si="50"/>
        <v>9378242.2115724459</v>
      </c>
      <c r="AB440" s="354">
        <f>+paraméterek!$B$346</f>
        <v>6.4600000000000005E-2</v>
      </c>
      <c r="AC440" s="302">
        <f t="shared" si="38"/>
        <v>38423.277745062354</v>
      </c>
      <c r="AD440" s="302">
        <f t="shared" si="53"/>
        <v>51397.119345513325</v>
      </c>
      <c r="AE440" s="302">
        <f t="shared" si="51"/>
        <v>89820.397090575687</v>
      </c>
      <c r="AF440" s="478">
        <f t="shared" si="39"/>
        <v>89820.397090575687</v>
      </c>
      <c r="AI440" s="543">
        <f t="shared" si="52"/>
        <v>146437.06756264932</v>
      </c>
      <c r="AJ440" s="543"/>
      <c r="AK440" s="300"/>
      <c r="AL440" s="543"/>
      <c r="AM440" s="10"/>
    </row>
    <row r="441" spans="1:39" s="11" customFormat="1" ht="13.8" hidden="1" x14ac:dyDescent="0.25">
      <c r="A441" s="11">
        <v>86</v>
      </c>
      <c r="B441" s="11">
        <f t="shared" si="40"/>
        <v>8</v>
      </c>
      <c r="C441" s="354">
        <f t="shared" si="29"/>
        <v>0</v>
      </c>
      <c r="D441" s="300">
        <f t="shared" si="31"/>
        <v>8508508.7109340448</v>
      </c>
      <c r="E441" s="354">
        <f t="shared" si="41"/>
        <v>0.13400000000000001</v>
      </c>
      <c r="F441" s="354">
        <f t="shared" si="30"/>
        <v>0.03</v>
      </c>
      <c r="H441" s="436">
        <f t="shared" si="32"/>
        <v>45121.211954266582</v>
      </c>
      <c r="I441" s="302">
        <f t="shared" si="33"/>
        <v>0</v>
      </c>
      <c r="K441" s="426">
        <f t="shared" si="42"/>
        <v>66802.287800476537</v>
      </c>
      <c r="L441" s="10">
        <f t="shared" si="43"/>
        <v>66802.287800476537</v>
      </c>
      <c r="M441" s="436">
        <f t="shared" si="44"/>
        <v>66802.287800476537</v>
      </c>
      <c r="N441" s="301">
        <f t="shared" si="34"/>
        <v>21681.075846209955</v>
      </c>
      <c r="O441" s="302">
        <f t="shared" si="35"/>
        <v>66802.287800476508</v>
      </c>
      <c r="P441" s="436">
        <f t="shared" si="36"/>
        <v>0</v>
      </c>
      <c r="Q441" s="11">
        <f t="shared" si="45"/>
        <v>0</v>
      </c>
      <c r="R441" s="426">
        <f t="shared" si="46"/>
        <v>10590939.036594167</v>
      </c>
      <c r="S441" s="354">
        <f>+Hirdetmény!$AA$46</f>
        <v>0.13400000000000001</v>
      </c>
      <c r="T441" s="302">
        <f t="shared" si="37"/>
        <v>25433.058495328212</v>
      </c>
      <c r="U441" s="302">
        <f t="shared" si="47"/>
        <v>120196.00906732114</v>
      </c>
      <c r="V441" s="302">
        <f t="shared" si="48"/>
        <v>145629.06756264935</v>
      </c>
      <c r="W441" s="302">
        <f t="shared" si="49"/>
        <v>145629.06756264935</v>
      </c>
      <c r="AA441" s="10">
        <f t="shared" si="50"/>
        <v>9339609.2156639695</v>
      </c>
      <c r="AB441" s="354">
        <f>+paraméterek!$B$346</f>
        <v>6.4600000000000005E-2</v>
      </c>
      <c r="AC441" s="302">
        <f t="shared" si="38"/>
        <v>38632.995908476893</v>
      </c>
      <c r="AD441" s="302">
        <f t="shared" si="53"/>
        <v>51187.40118209878</v>
      </c>
      <c r="AE441" s="302">
        <f t="shared" si="51"/>
        <v>89820.397090575672</v>
      </c>
      <c r="AF441" s="478">
        <f t="shared" si="39"/>
        <v>89820.397090575672</v>
      </c>
      <c r="AI441" s="543">
        <f t="shared" si="52"/>
        <v>146437.06756264935</v>
      </c>
      <c r="AJ441" s="543"/>
      <c r="AK441" s="300"/>
      <c r="AL441" s="543"/>
      <c r="AM441" s="10"/>
    </row>
    <row r="442" spans="1:39" s="11" customFormat="1" ht="13.8" hidden="1" x14ac:dyDescent="0.25">
      <c r="A442" s="11">
        <v>87</v>
      </c>
      <c r="B442" s="11">
        <f t="shared" si="40"/>
        <v>8</v>
      </c>
      <c r="C442" s="354">
        <f t="shared" si="29"/>
        <v>0</v>
      </c>
      <c r="D442" s="300">
        <f t="shared" si="31"/>
        <v>8463273.1292411443</v>
      </c>
      <c r="E442" s="354">
        <f t="shared" si="41"/>
        <v>0.13400000000000001</v>
      </c>
      <c r="F442" s="354">
        <f t="shared" si="30"/>
        <v>0.03</v>
      </c>
      <c r="H442" s="436">
        <f t="shared" si="32"/>
        <v>45235.581692900661</v>
      </c>
      <c r="I442" s="302">
        <f t="shared" si="33"/>
        <v>0</v>
      </c>
      <c r="K442" s="426">
        <f t="shared" si="42"/>
        <v>66802.287800476537</v>
      </c>
      <c r="L442" s="10">
        <f t="shared" si="43"/>
        <v>66802.287800476537</v>
      </c>
      <c r="M442" s="436">
        <f t="shared" si="44"/>
        <v>66802.287800476537</v>
      </c>
      <c r="N442" s="301">
        <f t="shared" si="34"/>
        <v>21566.706107575879</v>
      </c>
      <c r="O442" s="302">
        <f t="shared" si="35"/>
        <v>66802.287800476508</v>
      </c>
      <c r="P442" s="436">
        <f t="shared" si="36"/>
        <v>0</v>
      </c>
      <c r="Q442" s="11">
        <f t="shared" si="45"/>
        <v>0</v>
      </c>
      <c r="R442" s="426">
        <f t="shared" si="46"/>
        <v>10565218.031133328</v>
      </c>
      <c r="S442" s="354">
        <f>+Hirdetmény!$AA$46</f>
        <v>0.13400000000000001</v>
      </c>
      <c r="T442" s="302">
        <f t="shared" si="37"/>
        <v>25721.005460838973</v>
      </c>
      <c r="U442" s="302">
        <f t="shared" si="47"/>
        <v>119908.06210181037</v>
      </c>
      <c r="V442" s="302">
        <f t="shared" si="48"/>
        <v>145629.06756264935</v>
      </c>
      <c r="W442" s="302">
        <f t="shared" si="49"/>
        <v>145629.06756264935</v>
      </c>
      <c r="AA442" s="10">
        <f t="shared" si="50"/>
        <v>9300765.3569289818</v>
      </c>
      <c r="AB442" s="354">
        <f>+paraméterek!$B$346</f>
        <v>6.4600000000000005E-2</v>
      </c>
      <c r="AC442" s="302">
        <f t="shared" si="38"/>
        <v>38843.858734987538</v>
      </c>
      <c r="AD442" s="302">
        <f t="shared" si="53"/>
        <v>50976.538355588142</v>
      </c>
      <c r="AE442" s="302">
        <f t="shared" si="51"/>
        <v>89820.397090575687</v>
      </c>
      <c r="AF442" s="478">
        <f t="shared" si="39"/>
        <v>89820.397090575687</v>
      </c>
      <c r="AI442" s="543">
        <f t="shared" si="52"/>
        <v>146437.06756264935</v>
      </c>
      <c r="AJ442" s="543"/>
      <c r="AK442" s="300"/>
      <c r="AL442" s="543"/>
      <c r="AM442" s="10"/>
    </row>
    <row r="443" spans="1:39" s="11" customFormat="1" ht="13.8" hidden="1" x14ac:dyDescent="0.25">
      <c r="A443" s="11">
        <v>88</v>
      </c>
      <c r="B443" s="11">
        <f t="shared" si="40"/>
        <v>8</v>
      </c>
      <c r="C443" s="354">
        <f t="shared" si="29"/>
        <v>0</v>
      </c>
      <c r="D443" s="300">
        <f t="shared" si="31"/>
        <v>8417922.8879140913</v>
      </c>
      <c r="E443" s="354">
        <f t="shared" si="41"/>
        <v>0.13400000000000001</v>
      </c>
      <c r="F443" s="354">
        <f t="shared" si="30"/>
        <v>0.03</v>
      </c>
      <c r="H443" s="436">
        <f t="shared" si="32"/>
        <v>45350.241327052805</v>
      </c>
      <c r="I443" s="302">
        <f t="shared" si="33"/>
        <v>0</v>
      </c>
      <c r="K443" s="426">
        <f t="shared" si="42"/>
        <v>66802.287800476537</v>
      </c>
      <c r="L443" s="10">
        <f t="shared" si="43"/>
        <v>66802.287800476537</v>
      </c>
      <c r="M443" s="436">
        <f t="shared" si="44"/>
        <v>66802.287800476537</v>
      </c>
      <c r="N443" s="301">
        <f t="shared" si="34"/>
        <v>21452.046473423736</v>
      </c>
      <c r="O443" s="302">
        <f t="shared" si="35"/>
        <v>66802.287800476508</v>
      </c>
      <c r="P443" s="436">
        <f t="shared" si="36"/>
        <v>0</v>
      </c>
      <c r="Q443" s="11">
        <f t="shared" si="45"/>
        <v>0</v>
      </c>
      <c r="R443" s="426">
        <f t="shared" si="46"/>
        <v>10539205.818640755</v>
      </c>
      <c r="S443" s="354">
        <f>+Hirdetmény!$AA$46</f>
        <v>0.13400000000000001</v>
      </c>
      <c r="T443" s="302">
        <f t="shared" si="37"/>
        <v>26012.212492572675</v>
      </c>
      <c r="U443" s="302">
        <f t="shared" si="47"/>
        <v>119616.85507007665</v>
      </c>
      <c r="V443" s="302">
        <f t="shared" si="48"/>
        <v>145629.06756264932</v>
      </c>
      <c r="W443" s="302">
        <f t="shared" si="49"/>
        <v>145629.06756264932</v>
      </c>
      <c r="AA443" s="10">
        <f t="shared" si="50"/>
        <v>9261709.4844566993</v>
      </c>
      <c r="AB443" s="354">
        <f>+paraméterek!$B$346</f>
        <v>6.4600000000000005E-2</v>
      </c>
      <c r="AC443" s="302">
        <f t="shared" si="38"/>
        <v>39055.872472282041</v>
      </c>
      <c r="AD443" s="302">
        <f t="shared" si="53"/>
        <v>50764.524618293632</v>
      </c>
      <c r="AE443" s="302">
        <f t="shared" si="51"/>
        <v>89820.397090575672</v>
      </c>
      <c r="AF443" s="478">
        <f t="shared" si="39"/>
        <v>89820.397090575672</v>
      </c>
      <c r="AI443" s="543">
        <f t="shared" si="52"/>
        <v>146437.06756264932</v>
      </c>
      <c r="AJ443" s="543"/>
      <c r="AK443" s="300"/>
      <c r="AL443" s="543"/>
      <c r="AM443" s="10"/>
    </row>
    <row r="444" spans="1:39" s="11" customFormat="1" ht="13.8" hidden="1" x14ac:dyDescent="0.25">
      <c r="A444" s="11">
        <v>89</v>
      </c>
      <c r="B444" s="11">
        <f t="shared" si="40"/>
        <v>8</v>
      </c>
      <c r="C444" s="354">
        <f t="shared" si="29"/>
        <v>0</v>
      </c>
      <c r="D444" s="300">
        <f t="shared" si="31"/>
        <v>8372457.696322564</v>
      </c>
      <c r="E444" s="354">
        <f t="shared" si="41"/>
        <v>0.13400000000000001</v>
      </c>
      <c r="F444" s="354">
        <f t="shared" si="30"/>
        <v>0.03</v>
      </c>
      <c r="H444" s="436">
        <f t="shared" si="32"/>
        <v>45465.191591527626</v>
      </c>
      <c r="I444" s="302">
        <f t="shared" si="33"/>
        <v>0</v>
      </c>
      <c r="K444" s="426">
        <f t="shared" si="42"/>
        <v>66802.287800476537</v>
      </c>
      <c r="L444" s="10">
        <f t="shared" si="43"/>
        <v>66802.287800476537</v>
      </c>
      <c r="M444" s="436">
        <f t="shared" si="44"/>
        <v>66802.287800476537</v>
      </c>
      <c r="N444" s="301">
        <f t="shared" si="34"/>
        <v>21337.096208948915</v>
      </c>
      <c r="O444" s="302">
        <f t="shared" si="35"/>
        <v>66802.287800476508</v>
      </c>
      <c r="P444" s="436">
        <f t="shared" si="36"/>
        <v>0</v>
      </c>
      <c r="Q444" s="11">
        <f t="shared" si="45"/>
        <v>0</v>
      </c>
      <c r="R444" s="426">
        <f t="shared" si="46"/>
        <v>10512899.102140542</v>
      </c>
      <c r="S444" s="354">
        <f>+Hirdetmény!$AA$46</f>
        <v>0.13400000000000001</v>
      </c>
      <c r="T444" s="302">
        <f t="shared" si="37"/>
        <v>26306.716500214279</v>
      </c>
      <c r="U444" s="302">
        <f t="shared" si="47"/>
        <v>119322.35106243505</v>
      </c>
      <c r="V444" s="302">
        <f t="shared" si="48"/>
        <v>145629.06756264932</v>
      </c>
      <c r="W444" s="302">
        <f t="shared" si="49"/>
        <v>145629.06756264932</v>
      </c>
      <c r="AA444" s="10">
        <f t="shared" si="50"/>
        <v>9222440.4410545509</v>
      </c>
      <c r="AB444" s="354">
        <f>+paraméterek!$B$346</f>
        <v>6.4600000000000005E-2</v>
      </c>
      <c r="AC444" s="302">
        <f t="shared" si="38"/>
        <v>39269.043402148702</v>
      </c>
      <c r="AD444" s="302">
        <f t="shared" si="53"/>
        <v>50551.353688426971</v>
      </c>
      <c r="AE444" s="302">
        <f t="shared" si="51"/>
        <v>89820.397090575672</v>
      </c>
      <c r="AF444" s="478">
        <f t="shared" si="39"/>
        <v>89820.397090575672</v>
      </c>
      <c r="AI444" s="543">
        <f t="shared" si="52"/>
        <v>146437.06756264932</v>
      </c>
      <c r="AJ444" s="543"/>
      <c r="AK444" s="300"/>
      <c r="AL444" s="543"/>
      <c r="AM444" s="10"/>
    </row>
    <row r="445" spans="1:39" s="11" customFormat="1" ht="13.8" hidden="1" x14ac:dyDescent="0.25">
      <c r="A445" s="11">
        <v>90</v>
      </c>
      <c r="B445" s="11">
        <f t="shared" si="40"/>
        <v>8</v>
      </c>
      <c r="C445" s="354">
        <f t="shared" si="29"/>
        <v>0</v>
      </c>
      <c r="D445" s="300">
        <f t="shared" si="31"/>
        <v>8326877.2630995717</v>
      </c>
      <c r="E445" s="354">
        <f t="shared" si="41"/>
        <v>0.13400000000000001</v>
      </c>
      <c r="F445" s="354">
        <f t="shared" si="30"/>
        <v>0.03</v>
      </c>
      <c r="H445" s="436">
        <f t="shared" si="32"/>
        <v>45580.433222992258</v>
      </c>
      <c r="I445" s="302">
        <f t="shared" si="33"/>
        <v>0</v>
      </c>
      <c r="K445" s="426">
        <f t="shared" si="42"/>
        <v>66802.287800476537</v>
      </c>
      <c r="L445" s="10">
        <f t="shared" si="43"/>
        <v>66802.287800476537</v>
      </c>
      <c r="M445" s="436">
        <f t="shared" si="44"/>
        <v>66802.287800476537</v>
      </c>
      <c r="N445" s="301">
        <f t="shared" si="34"/>
        <v>21221.854577484275</v>
      </c>
      <c r="O445" s="302">
        <f t="shared" si="35"/>
        <v>66802.287800476508</v>
      </c>
      <c r="P445" s="436">
        <f t="shared" si="36"/>
        <v>0</v>
      </c>
      <c r="Q445" s="11">
        <f t="shared" si="45"/>
        <v>0</v>
      </c>
      <c r="R445" s="426">
        <f t="shared" si="46"/>
        <v>10486294.547329212</v>
      </c>
      <c r="S445" s="354">
        <f>+Hirdetmény!$AA$46</f>
        <v>0.13400000000000001</v>
      </c>
      <c r="T445" s="302">
        <f t="shared" si="37"/>
        <v>26604.554811331294</v>
      </c>
      <c r="U445" s="302">
        <f t="shared" si="47"/>
        <v>119024.51275131806</v>
      </c>
      <c r="V445" s="302">
        <f t="shared" si="48"/>
        <v>145629.06756264935</v>
      </c>
      <c r="W445" s="302">
        <f t="shared" si="49"/>
        <v>145629.06756264935</v>
      </c>
      <c r="AA445" s="10">
        <f t="shared" si="50"/>
        <v>9182957.0632138886</v>
      </c>
      <c r="AB445" s="354">
        <f>+paraméterek!$B$346</f>
        <v>6.4600000000000005E-2</v>
      </c>
      <c r="AC445" s="302">
        <f t="shared" si="38"/>
        <v>39483.377840662411</v>
      </c>
      <c r="AD445" s="302">
        <f t="shared" si="53"/>
        <v>50337.019249913254</v>
      </c>
      <c r="AE445" s="302">
        <f t="shared" si="51"/>
        <v>89820.397090575658</v>
      </c>
      <c r="AF445" s="478">
        <f t="shared" si="39"/>
        <v>89820.397090575658</v>
      </c>
      <c r="AI445" s="543">
        <f t="shared" si="52"/>
        <v>146437.06756264935</v>
      </c>
      <c r="AJ445" s="543"/>
      <c r="AK445" s="300"/>
      <c r="AL445" s="543"/>
      <c r="AM445" s="10"/>
    </row>
    <row r="446" spans="1:39" s="11" customFormat="1" ht="13.8" hidden="1" x14ac:dyDescent="0.25">
      <c r="A446" s="11">
        <v>91</v>
      </c>
      <c r="B446" s="11">
        <f t="shared" si="40"/>
        <v>8</v>
      </c>
      <c r="C446" s="354">
        <f t="shared" si="29"/>
        <v>0</v>
      </c>
      <c r="D446" s="300">
        <f t="shared" si="31"/>
        <v>8281181.2961395904</v>
      </c>
      <c r="E446" s="354">
        <f t="shared" si="41"/>
        <v>0.13400000000000001</v>
      </c>
      <c r="F446" s="354">
        <f t="shared" si="30"/>
        <v>0.03</v>
      </c>
      <c r="H446" s="436">
        <f t="shared" si="32"/>
        <v>45695.966959981095</v>
      </c>
      <c r="I446" s="302">
        <f t="shared" si="33"/>
        <v>0</v>
      </c>
      <c r="K446" s="426">
        <f t="shared" si="42"/>
        <v>66802.287800476537</v>
      </c>
      <c r="L446" s="10">
        <f t="shared" si="43"/>
        <v>66802.287800476537</v>
      </c>
      <c r="M446" s="436">
        <f t="shared" si="44"/>
        <v>66802.287800476537</v>
      </c>
      <c r="N446" s="301">
        <f t="shared" si="34"/>
        <v>21106.320840495442</v>
      </c>
      <c r="O446" s="302">
        <f t="shared" si="35"/>
        <v>66802.287800476508</v>
      </c>
      <c r="P446" s="436">
        <f t="shared" si="36"/>
        <v>0</v>
      </c>
      <c r="Q446" s="11">
        <f t="shared" si="45"/>
        <v>0</v>
      </c>
      <c r="R446" s="426">
        <f t="shared" si="46"/>
        <v>10459388.782153107</v>
      </c>
      <c r="S446" s="354">
        <f>+Hirdetmény!$AA$46</f>
        <v>0.13400000000000001</v>
      </c>
      <c r="T446" s="302">
        <f t="shared" si="37"/>
        <v>26905.765176104956</v>
      </c>
      <c r="U446" s="302">
        <f t="shared" si="47"/>
        <v>118723.30238654438</v>
      </c>
      <c r="V446" s="302">
        <f t="shared" si="48"/>
        <v>145629.06756264935</v>
      </c>
      <c r="W446" s="302">
        <f t="shared" si="49"/>
        <v>145629.06756264935</v>
      </c>
      <c r="AA446" s="10">
        <f t="shared" si="50"/>
        <v>9143258.1810755171</v>
      </c>
      <c r="AB446" s="354">
        <f>+paraméterek!$B$346</f>
        <v>6.4600000000000005E-2</v>
      </c>
      <c r="AC446" s="302">
        <f t="shared" si="38"/>
        <v>39698.882138371904</v>
      </c>
      <c r="AD446" s="302">
        <f t="shared" si="53"/>
        <v>50121.514952203775</v>
      </c>
      <c r="AE446" s="302">
        <f t="shared" si="51"/>
        <v>89820.397090575687</v>
      </c>
      <c r="AF446" s="478">
        <f t="shared" si="39"/>
        <v>89820.397090575687</v>
      </c>
      <c r="AI446" s="543">
        <f t="shared" si="52"/>
        <v>146437.06756264935</v>
      </c>
      <c r="AJ446" s="543"/>
      <c r="AK446" s="300"/>
      <c r="AL446" s="543"/>
      <c r="AM446" s="10"/>
    </row>
    <row r="447" spans="1:39" s="11" customFormat="1" ht="13.8" hidden="1" x14ac:dyDescent="0.25">
      <c r="A447" s="11">
        <v>92</v>
      </c>
      <c r="B447" s="11">
        <f t="shared" si="40"/>
        <v>8</v>
      </c>
      <c r="C447" s="354">
        <f t="shared" si="29"/>
        <v>0</v>
      </c>
      <c r="D447" s="300">
        <f t="shared" si="31"/>
        <v>8235369.5025966903</v>
      </c>
      <c r="E447" s="354">
        <f t="shared" si="41"/>
        <v>0.13400000000000001</v>
      </c>
      <c r="F447" s="354">
        <f t="shared" si="30"/>
        <v>0.03</v>
      </c>
      <c r="H447" s="436">
        <f t="shared" si="32"/>
        <v>45811.793542900487</v>
      </c>
      <c r="I447" s="302">
        <f t="shared" si="33"/>
        <v>0</v>
      </c>
      <c r="K447" s="426">
        <f t="shared" si="42"/>
        <v>66802.287800476537</v>
      </c>
      <c r="L447" s="10">
        <f t="shared" si="43"/>
        <v>66802.287800476537</v>
      </c>
      <c r="M447" s="436">
        <f t="shared" si="44"/>
        <v>66802.287800476537</v>
      </c>
      <c r="N447" s="301">
        <f t="shared" si="34"/>
        <v>20990.494257576047</v>
      </c>
      <c r="O447" s="302">
        <f t="shared" si="35"/>
        <v>66802.287800476508</v>
      </c>
      <c r="P447" s="436">
        <f t="shared" si="36"/>
        <v>0</v>
      </c>
      <c r="Q447" s="11">
        <f t="shared" si="45"/>
        <v>0</v>
      </c>
      <c r="R447" s="426">
        <f t="shared" si="46"/>
        <v>10432178.396380993</v>
      </c>
      <c r="S447" s="354">
        <f>+Hirdetmény!$AA$46</f>
        <v>0.13400000000000001</v>
      </c>
      <c r="T447" s="302">
        <f t="shared" si="37"/>
        <v>27210.385772114987</v>
      </c>
      <c r="U447" s="302">
        <f t="shared" si="47"/>
        <v>118418.68179053438</v>
      </c>
      <c r="V447" s="302">
        <f t="shared" si="48"/>
        <v>145629.06756264938</v>
      </c>
      <c r="W447" s="302">
        <f t="shared" si="49"/>
        <v>145629.06756264938</v>
      </c>
      <c r="AA447" s="10">
        <f t="shared" si="50"/>
        <v>9103342.6183950286</v>
      </c>
      <c r="AB447" s="354">
        <f>+paraméterek!$B$346</f>
        <v>6.4600000000000005E-2</v>
      </c>
      <c r="AC447" s="302">
        <f t="shared" si="38"/>
        <v>39915.562680487797</v>
      </c>
      <c r="AD447" s="302">
        <f t="shared" si="53"/>
        <v>49904.834410087875</v>
      </c>
      <c r="AE447" s="302">
        <f t="shared" si="51"/>
        <v>89820.397090575672</v>
      </c>
      <c r="AF447" s="478">
        <f t="shared" si="39"/>
        <v>89820.397090575672</v>
      </c>
      <c r="AI447" s="543">
        <f t="shared" si="52"/>
        <v>146437.06756264938</v>
      </c>
      <c r="AJ447" s="543"/>
      <c r="AK447" s="300"/>
      <c r="AL447" s="543"/>
      <c r="AM447" s="10"/>
    </row>
    <row r="448" spans="1:39" s="11" customFormat="1" ht="13.8" hidden="1" x14ac:dyDescent="0.25">
      <c r="A448" s="11">
        <v>93</v>
      </c>
      <c r="B448" s="11">
        <f t="shared" si="40"/>
        <v>8</v>
      </c>
      <c r="C448" s="354">
        <f t="shared" si="29"/>
        <v>0</v>
      </c>
      <c r="D448" s="300">
        <f t="shared" si="31"/>
        <v>8189441.5888826568</v>
      </c>
      <c r="E448" s="354">
        <f t="shared" si="41"/>
        <v>0.13400000000000001</v>
      </c>
      <c r="F448" s="354">
        <f t="shared" si="30"/>
        <v>0.03</v>
      </c>
      <c r="H448" s="436">
        <f t="shared" si="32"/>
        <v>45927.913714033544</v>
      </c>
      <c r="I448" s="302">
        <f t="shared" si="33"/>
        <v>0</v>
      </c>
      <c r="K448" s="426">
        <f t="shared" si="42"/>
        <v>66802.287800476537</v>
      </c>
      <c r="L448" s="10">
        <f t="shared" si="43"/>
        <v>66802.287800476537</v>
      </c>
      <c r="M448" s="436">
        <f t="shared" si="44"/>
        <v>66802.287800476537</v>
      </c>
      <c r="N448" s="301">
        <f t="shared" si="34"/>
        <v>20874.374086443</v>
      </c>
      <c r="O448" s="302">
        <f t="shared" si="35"/>
        <v>66802.287800476508</v>
      </c>
      <c r="P448" s="436">
        <f t="shared" si="36"/>
        <v>0</v>
      </c>
      <c r="Q448" s="11">
        <f t="shared" si="45"/>
        <v>0</v>
      </c>
      <c r="R448" s="426">
        <f t="shared" si="46"/>
        <v>10404659.941171814</v>
      </c>
      <c r="S448" s="354">
        <f>+Hirdetmény!$AA$46</f>
        <v>0.13400000000000001</v>
      </c>
      <c r="T448" s="302">
        <f t="shared" si="37"/>
        <v>27518.455209178443</v>
      </c>
      <c r="U448" s="302">
        <f t="shared" si="47"/>
        <v>118110.61235347092</v>
      </c>
      <c r="V448" s="302">
        <f t="shared" si="48"/>
        <v>145629.06756264938</v>
      </c>
      <c r="W448" s="302">
        <f t="shared" si="49"/>
        <v>145629.06756264938</v>
      </c>
      <c r="AA448" s="10">
        <f t="shared" si="50"/>
        <v>9063209.1925079562</v>
      </c>
      <c r="AB448" s="354">
        <f>+paraméterek!$B$346</f>
        <v>6.4600000000000005E-2</v>
      </c>
      <c r="AC448" s="302">
        <f t="shared" si="38"/>
        <v>40133.425887071877</v>
      </c>
      <c r="AD448" s="302">
        <f t="shared" si="53"/>
        <v>49686.971203503803</v>
      </c>
      <c r="AE448" s="302">
        <f t="shared" si="51"/>
        <v>89820.397090575687</v>
      </c>
      <c r="AF448" s="478">
        <f t="shared" si="39"/>
        <v>89820.397090575687</v>
      </c>
      <c r="AI448" s="543">
        <f t="shared" si="52"/>
        <v>146437.06756264938</v>
      </c>
      <c r="AJ448" s="543"/>
      <c r="AK448" s="300"/>
      <c r="AL448" s="543"/>
      <c r="AM448" s="10"/>
    </row>
    <row r="449" spans="1:39" s="11" customFormat="1" ht="13.8" hidden="1" x14ac:dyDescent="0.25">
      <c r="A449" s="11">
        <v>94</v>
      </c>
      <c r="B449" s="11">
        <f t="shared" si="40"/>
        <v>8</v>
      </c>
      <c r="C449" s="354">
        <f t="shared" si="29"/>
        <v>0</v>
      </c>
      <c r="D449" s="300">
        <f t="shared" si="31"/>
        <v>8143397.2606651122</v>
      </c>
      <c r="E449" s="354">
        <f t="shared" si="41"/>
        <v>0.13400000000000001</v>
      </c>
      <c r="F449" s="354">
        <f t="shared" si="30"/>
        <v>0.03</v>
      </c>
      <c r="H449" s="436">
        <f t="shared" si="32"/>
        <v>46044.328217544804</v>
      </c>
      <c r="I449" s="302">
        <f t="shared" si="33"/>
        <v>0</v>
      </c>
      <c r="K449" s="426">
        <f t="shared" si="42"/>
        <v>66802.287800476537</v>
      </c>
      <c r="L449" s="10">
        <f t="shared" si="43"/>
        <v>66802.287800476537</v>
      </c>
      <c r="M449" s="436">
        <f t="shared" si="44"/>
        <v>66802.287800476537</v>
      </c>
      <c r="N449" s="301">
        <f t="shared" si="34"/>
        <v>20757.959582931737</v>
      </c>
      <c r="O449" s="302">
        <f t="shared" si="35"/>
        <v>66802.287800476508</v>
      </c>
      <c r="P449" s="436">
        <f t="shared" si="36"/>
        <v>0</v>
      </c>
      <c r="Q449" s="11">
        <f t="shared" si="45"/>
        <v>0</v>
      </c>
      <c r="R449" s="426">
        <f t="shared" si="46"/>
        <v>10376829.92863757</v>
      </c>
      <c r="S449" s="354">
        <f>+Hirdetmény!$AA$46</f>
        <v>0.13400000000000001</v>
      </c>
      <c r="T449" s="302">
        <f t="shared" si="37"/>
        <v>27830.012534243469</v>
      </c>
      <c r="U449" s="302">
        <f t="shared" si="47"/>
        <v>117799.05502840588</v>
      </c>
      <c r="V449" s="302">
        <f t="shared" si="48"/>
        <v>145629.06756264935</v>
      </c>
      <c r="W449" s="302">
        <f t="shared" si="49"/>
        <v>145629.06756264935</v>
      </c>
      <c r="AA449" s="10">
        <f t="shared" si="50"/>
        <v>9022856.7142947298</v>
      </c>
      <c r="AB449" s="354">
        <f>+paraméterek!$B$346</f>
        <v>6.4600000000000005E-2</v>
      </c>
      <c r="AC449" s="302">
        <f t="shared" si="38"/>
        <v>40352.478213227259</v>
      </c>
      <c r="AD449" s="302">
        <f t="shared" si="53"/>
        <v>49467.918877348406</v>
      </c>
      <c r="AE449" s="302">
        <f t="shared" si="51"/>
        <v>89820.397090575658</v>
      </c>
      <c r="AF449" s="478">
        <f t="shared" si="39"/>
        <v>89820.397090575658</v>
      </c>
      <c r="AI449" s="543">
        <f t="shared" si="52"/>
        <v>146437.06756264935</v>
      </c>
      <c r="AJ449" s="543"/>
      <c r="AK449" s="300"/>
      <c r="AL449" s="543"/>
      <c r="AM449" s="10"/>
    </row>
    <row r="450" spans="1:39" s="11" customFormat="1" ht="13.8" hidden="1" x14ac:dyDescent="0.25">
      <c r="A450" s="11">
        <v>95</v>
      </c>
      <c r="B450" s="11">
        <f t="shared" si="40"/>
        <v>8</v>
      </c>
      <c r="C450" s="354">
        <f t="shared" si="29"/>
        <v>0</v>
      </c>
      <c r="D450" s="300">
        <f t="shared" si="31"/>
        <v>8097236.2228656271</v>
      </c>
      <c r="E450" s="354">
        <f t="shared" si="41"/>
        <v>0.13400000000000001</v>
      </c>
      <c r="F450" s="354">
        <f t="shared" si="30"/>
        <v>0.03</v>
      </c>
      <c r="H450" s="436">
        <f t="shared" si="32"/>
        <v>46161.037799485108</v>
      </c>
      <c r="I450" s="302">
        <f t="shared" si="33"/>
        <v>0</v>
      </c>
      <c r="K450" s="426">
        <f t="shared" si="42"/>
        <v>66802.287800476537</v>
      </c>
      <c r="L450" s="10">
        <f t="shared" si="43"/>
        <v>66802.287800476537</v>
      </c>
      <c r="M450" s="436">
        <f t="shared" si="44"/>
        <v>66802.287800476537</v>
      </c>
      <c r="N450" s="301">
        <f t="shared" si="34"/>
        <v>20641.250000991429</v>
      </c>
      <c r="O450" s="302">
        <f t="shared" si="35"/>
        <v>66802.287800476508</v>
      </c>
      <c r="P450" s="436">
        <f t="shared" si="36"/>
        <v>0</v>
      </c>
      <c r="Q450" s="11">
        <f t="shared" si="45"/>
        <v>0</v>
      </c>
      <c r="R450" s="426">
        <f t="shared" si="46"/>
        <v>10348684.831401231</v>
      </c>
      <c r="S450" s="354">
        <f>+Hirdetmény!$AA$46</f>
        <v>0.13400000000000001</v>
      </c>
      <c r="T450" s="302">
        <f t="shared" si="37"/>
        <v>28145.097236338337</v>
      </c>
      <c r="U450" s="302">
        <f t="shared" si="47"/>
        <v>117483.97032631101</v>
      </c>
      <c r="V450" s="302">
        <f t="shared" si="48"/>
        <v>145629.06756264935</v>
      </c>
      <c r="W450" s="302">
        <f t="shared" si="49"/>
        <v>145629.06756264935</v>
      </c>
      <c r="AA450" s="10">
        <f t="shared" si="50"/>
        <v>8982283.9881454408</v>
      </c>
      <c r="AB450" s="354">
        <f>+paraméterek!$B$346</f>
        <v>6.4600000000000005E-2</v>
      </c>
      <c r="AC450" s="302">
        <f t="shared" si="38"/>
        <v>40572.726149289701</v>
      </c>
      <c r="AD450" s="302">
        <f t="shared" si="53"/>
        <v>49247.670941285985</v>
      </c>
      <c r="AE450" s="302">
        <f t="shared" si="51"/>
        <v>89820.397090575687</v>
      </c>
      <c r="AF450" s="478">
        <f t="shared" si="39"/>
        <v>89820.397090575687</v>
      </c>
      <c r="AI450" s="543">
        <f t="shared" si="52"/>
        <v>146437.06756264935</v>
      </c>
      <c r="AJ450" s="543"/>
      <c r="AK450" s="300"/>
      <c r="AL450" s="543"/>
      <c r="AM450" s="10"/>
    </row>
    <row r="451" spans="1:39" s="11" customFormat="1" ht="13.8" hidden="1" x14ac:dyDescent="0.25">
      <c r="A451" s="11">
        <v>96</v>
      </c>
      <c r="B451" s="11">
        <f t="shared" si="40"/>
        <v>8</v>
      </c>
      <c r="C451" s="354">
        <f t="shared" si="29"/>
        <v>0</v>
      </c>
      <c r="D451" s="300">
        <f t="shared" si="31"/>
        <v>8050958.1796578309</v>
      </c>
      <c r="E451" s="354">
        <f t="shared" si="41"/>
        <v>0.13400000000000001</v>
      </c>
      <c r="F451" s="354">
        <f t="shared" si="30"/>
        <v>0.03</v>
      </c>
      <c r="H451" s="436">
        <f t="shared" si="32"/>
        <v>46278.043207796312</v>
      </c>
      <c r="I451" s="302">
        <f t="shared" si="33"/>
        <v>0</v>
      </c>
      <c r="K451" s="426">
        <f t="shared" si="42"/>
        <v>66802.287800476552</v>
      </c>
      <c r="L451" s="10">
        <f t="shared" si="43"/>
        <v>66802.287800476552</v>
      </c>
      <c r="M451" s="436">
        <f t="shared" si="44"/>
        <v>66802.287800476552</v>
      </c>
      <c r="N451" s="301">
        <f t="shared" si="34"/>
        <v>20524.244592680236</v>
      </c>
      <c r="O451" s="302">
        <f t="shared" si="35"/>
        <v>66802.287800476508</v>
      </c>
      <c r="P451" s="436">
        <f t="shared" si="36"/>
        <v>0</v>
      </c>
      <c r="Q451" s="11">
        <f t="shared" si="45"/>
        <v>0</v>
      </c>
      <c r="R451" s="426">
        <f t="shared" si="46"/>
        <v>10320221.082149655</v>
      </c>
      <c r="S451" s="354">
        <f>+Hirdetmény!$AA$46</f>
        <v>0.13400000000000001</v>
      </c>
      <c r="T451" s="302">
        <f t="shared" si="37"/>
        <v>28463.74925157661</v>
      </c>
      <c r="U451" s="302">
        <f t="shared" si="47"/>
        <v>117165.31831107274</v>
      </c>
      <c r="V451" s="302">
        <f t="shared" si="48"/>
        <v>145629.06756264935</v>
      </c>
      <c r="W451" s="302">
        <f t="shared" si="49"/>
        <v>145629.06756264935</v>
      </c>
      <c r="AA451" s="10">
        <f t="shared" si="50"/>
        <v>8941489.8119244203</v>
      </c>
      <c r="AB451" s="354">
        <f>+paraméterek!$B$346</f>
        <v>6.4600000000000005E-2</v>
      </c>
      <c r="AC451" s="302">
        <f t="shared" si="38"/>
        <v>40794.176221019799</v>
      </c>
      <c r="AD451" s="302">
        <f t="shared" si="53"/>
        <v>49026.220869555873</v>
      </c>
      <c r="AE451" s="302">
        <f t="shared" si="51"/>
        <v>89820.397090575672</v>
      </c>
      <c r="AF451" s="478">
        <f t="shared" si="39"/>
        <v>89820.397090575672</v>
      </c>
      <c r="AI451" s="543">
        <f t="shared" si="52"/>
        <v>146437.06756264935</v>
      </c>
      <c r="AJ451" s="543"/>
      <c r="AK451" s="300"/>
      <c r="AL451" s="543"/>
      <c r="AM451" s="10"/>
    </row>
    <row r="452" spans="1:39" s="11" customFormat="1" ht="13.8" hidden="1" x14ac:dyDescent="0.25">
      <c r="A452" s="11">
        <v>97</v>
      </c>
      <c r="B452" s="11">
        <f t="shared" si="40"/>
        <v>9</v>
      </c>
      <c r="C452" s="354">
        <f t="shared" si="29"/>
        <v>0</v>
      </c>
      <c r="D452" s="300">
        <f t="shared" si="31"/>
        <v>8004562.8344655149</v>
      </c>
      <c r="E452" s="354">
        <f t="shared" si="41"/>
        <v>0.13400000000000001</v>
      </c>
      <c r="F452" s="354">
        <f t="shared" si="30"/>
        <v>0.03</v>
      </c>
      <c r="H452" s="436">
        <f t="shared" si="32"/>
        <v>46395.345192316068</v>
      </c>
      <c r="I452" s="302">
        <f t="shared" si="33"/>
        <v>0</v>
      </c>
      <c r="K452" s="426">
        <f t="shared" si="42"/>
        <v>66802.287800476537</v>
      </c>
      <c r="L452" s="10">
        <f t="shared" si="43"/>
        <v>66802.287800476537</v>
      </c>
      <c r="M452" s="436">
        <f t="shared" si="44"/>
        <v>66802.287800476537</v>
      </c>
      <c r="N452" s="301">
        <f t="shared" si="34"/>
        <v>20406.942608160472</v>
      </c>
      <c r="O452" s="302">
        <f t="shared" si="35"/>
        <v>66802.287800476508</v>
      </c>
      <c r="P452" s="436">
        <f t="shared" si="36"/>
        <v>0</v>
      </c>
      <c r="Q452" s="11">
        <f t="shared" si="45"/>
        <v>0</v>
      </c>
      <c r="R452" s="426">
        <f t="shared" si="46"/>
        <v>10291435.073181435</v>
      </c>
      <c r="S452" s="354">
        <f>+Hirdetmény!$AA$46</f>
        <v>0.13400000000000001</v>
      </c>
      <c r="T452" s="302">
        <f t="shared" si="37"/>
        <v>28786.008968218877</v>
      </c>
      <c r="U452" s="302">
        <f t="shared" si="47"/>
        <v>116843.05859443048</v>
      </c>
      <c r="V452" s="302">
        <f t="shared" si="48"/>
        <v>145629.06756264935</v>
      </c>
      <c r="W452" s="302">
        <f t="shared" si="49"/>
        <v>145629.06756264935</v>
      </c>
      <c r="AA452" s="10">
        <f t="shared" si="50"/>
        <v>8900472.976934623</v>
      </c>
      <c r="AB452" s="354">
        <f>+paraméterek!$B$346</f>
        <v>6.4600000000000005E-2</v>
      </c>
      <c r="AC452" s="302">
        <f t="shared" si="38"/>
        <v>41016.834989796516</v>
      </c>
      <c r="AD452" s="302">
        <f t="shared" si="53"/>
        <v>48803.562100779149</v>
      </c>
      <c r="AE452" s="302">
        <f t="shared" si="51"/>
        <v>89820.397090575658</v>
      </c>
      <c r="AF452" s="478">
        <f t="shared" si="39"/>
        <v>89820.397090575658</v>
      </c>
      <c r="AI452" s="543">
        <f t="shared" si="52"/>
        <v>146437.06756264935</v>
      </c>
      <c r="AJ452" s="543"/>
      <c r="AK452" s="300"/>
      <c r="AL452" s="543"/>
      <c r="AM452" s="10"/>
    </row>
    <row r="453" spans="1:39" s="11" customFormat="1" ht="13.8" hidden="1" x14ac:dyDescent="0.25">
      <c r="A453" s="11">
        <v>98</v>
      </c>
      <c r="B453" s="11">
        <f t="shared" si="40"/>
        <v>9</v>
      </c>
      <c r="C453" s="354">
        <f t="shared" si="29"/>
        <v>0</v>
      </c>
      <c r="D453" s="300">
        <f t="shared" si="31"/>
        <v>7958049.8899607323</v>
      </c>
      <c r="E453" s="354">
        <f t="shared" si="41"/>
        <v>0.13400000000000001</v>
      </c>
      <c r="F453" s="354">
        <f t="shared" si="30"/>
        <v>0.03</v>
      </c>
      <c r="H453" s="436">
        <f t="shared" si="32"/>
        <v>46512.944504782703</v>
      </c>
      <c r="I453" s="302">
        <f t="shared" si="33"/>
        <v>0</v>
      </c>
      <c r="K453" s="426">
        <f t="shared" si="42"/>
        <v>66802.287800476537</v>
      </c>
      <c r="L453" s="10">
        <f t="shared" si="43"/>
        <v>66802.287800476537</v>
      </c>
      <c r="M453" s="436">
        <f t="shared" si="44"/>
        <v>66802.287800476537</v>
      </c>
      <c r="N453" s="301">
        <f t="shared" si="34"/>
        <v>20289.343295693841</v>
      </c>
      <c r="O453" s="302">
        <f t="shared" si="35"/>
        <v>66802.287800476508</v>
      </c>
      <c r="P453" s="436">
        <f t="shared" si="36"/>
        <v>0</v>
      </c>
      <c r="Q453" s="11">
        <f t="shared" si="45"/>
        <v>0</v>
      </c>
      <c r="R453" s="426">
        <f t="shared" si="46"/>
        <v>10262323.155949643</v>
      </c>
      <c r="S453" s="354">
        <f>+Hirdetmény!$AA$46</f>
        <v>0.13400000000000001</v>
      </c>
      <c r="T453" s="302">
        <f t="shared" si="37"/>
        <v>29111.917231791933</v>
      </c>
      <c r="U453" s="302">
        <f t="shared" si="47"/>
        <v>116517.15033085742</v>
      </c>
      <c r="V453" s="302">
        <f t="shared" si="48"/>
        <v>145629.06756264935</v>
      </c>
      <c r="W453" s="302">
        <f t="shared" si="49"/>
        <v>145629.06756264935</v>
      </c>
      <c r="AA453" s="10">
        <f t="shared" si="50"/>
        <v>8859232.2678818107</v>
      </c>
      <c r="AB453" s="354">
        <f>+paraméterek!$B$346</f>
        <v>6.4600000000000005E-2</v>
      </c>
      <c r="AC453" s="302">
        <f t="shared" si="38"/>
        <v>41240.709052811435</v>
      </c>
      <c r="AD453" s="302">
        <f t="shared" si="53"/>
        <v>48579.68803776423</v>
      </c>
      <c r="AE453" s="302">
        <f t="shared" si="51"/>
        <v>89820.397090575658</v>
      </c>
      <c r="AF453" s="478">
        <f t="shared" si="39"/>
        <v>89820.397090575658</v>
      </c>
      <c r="AI453" s="543">
        <f t="shared" si="52"/>
        <v>146437.06756264935</v>
      </c>
      <c r="AJ453" s="543"/>
      <c r="AK453" s="300"/>
      <c r="AL453" s="543"/>
      <c r="AM453" s="10"/>
    </row>
    <row r="454" spans="1:39" s="11" customFormat="1" ht="13.8" hidden="1" x14ac:dyDescent="0.25">
      <c r="A454" s="11">
        <v>99</v>
      </c>
      <c r="B454" s="11">
        <f t="shared" si="40"/>
        <v>9</v>
      </c>
      <c r="C454" s="354">
        <f t="shared" si="29"/>
        <v>0</v>
      </c>
      <c r="D454" s="300">
        <f t="shared" si="31"/>
        <v>7911419.0480618924</v>
      </c>
      <c r="E454" s="354">
        <f t="shared" si="41"/>
        <v>0.13400000000000001</v>
      </c>
      <c r="F454" s="354">
        <f t="shared" si="30"/>
        <v>0.03</v>
      </c>
      <c r="H454" s="436">
        <f t="shared" si="32"/>
        <v>46630.841898839957</v>
      </c>
      <c r="I454" s="302">
        <f t="shared" si="33"/>
        <v>0</v>
      </c>
      <c r="K454" s="426">
        <f t="shared" si="42"/>
        <v>66802.287800476537</v>
      </c>
      <c r="L454" s="10">
        <f t="shared" si="43"/>
        <v>66802.287800476537</v>
      </c>
      <c r="M454" s="436">
        <f t="shared" si="44"/>
        <v>66802.287800476537</v>
      </c>
      <c r="N454" s="301">
        <f t="shared" si="34"/>
        <v>20171.445901636576</v>
      </c>
      <c r="O454" s="302">
        <f t="shared" si="35"/>
        <v>66802.287800476508</v>
      </c>
      <c r="P454" s="436">
        <f t="shared" si="36"/>
        <v>0</v>
      </c>
      <c r="Q454" s="11">
        <f t="shared" si="45"/>
        <v>0</v>
      </c>
      <c r="R454" s="426">
        <f t="shared" si="46"/>
        <v>10232881.640599377</v>
      </c>
      <c r="S454" s="354">
        <f>+Hirdetmény!$AA$46</f>
        <v>0.13400000000000001</v>
      </c>
      <c r="T454" s="302">
        <f t="shared" si="37"/>
        <v>29441.515350265759</v>
      </c>
      <c r="U454" s="302">
        <f t="shared" si="47"/>
        <v>116187.55221238357</v>
      </c>
      <c r="V454" s="302">
        <f t="shared" si="48"/>
        <v>145629.06756264932</v>
      </c>
      <c r="W454" s="302">
        <f t="shared" si="49"/>
        <v>145629.06756264932</v>
      </c>
      <c r="AA454" s="10">
        <f t="shared" si="50"/>
        <v>8817766.4628385473</v>
      </c>
      <c r="AB454" s="354">
        <f>+paraméterek!$B$346</f>
        <v>6.4600000000000005E-2</v>
      </c>
      <c r="AC454" s="302">
        <f t="shared" si="38"/>
        <v>41465.805043264256</v>
      </c>
      <c r="AD454" s="302">
        <f t="shared" si="53"/>
        <v>48354.592047311402</v>
      </c>
      <c r="AE454" s="302">
        <f t="shared" si="51"/>
        <v>89820.397090575658</v>
      </c>
      <c r="AF454" s="478">
        <f t="shared" si="39"/>
        <v>89820.397090575658</v>
      </c>
      <c r="AI454" s="543">
        <f t="shared" si="52"/>
        <v>146437.06756264932</v>
      </c>
      <c r="AJ454" s="543"/>
      <c r="AK454" s="300"/>
      <c r="AL454" s="543"/>
      <c r="AM454" s="10"/>
    </row>
    <row r="455" spans="1:39" s="11" customFormat="1" ht="13.8" hidden="1" x14ac:dyDescent="0.25">
      <c r="A455" s="11">
        <v>100</v>
      </c>
      <c r="B455" s="11">
        <f t="shared" si="40"/>
        <v>9</v>
      </c>
      <c r="C455" s="354">
        <f t="shared" si="29"/>
        <v>0</v>
      </c>
      <c r="D455" s="300">
        <f t="shared" si="31"/>
        <v>7864670.0099318502</v>
      </c>
      <c r="E455" s="354">
        <f t="shared" si="41"/>
        <v>0.13400000000000001</v>
      </c>
      <c r="F455" s="354">
        <f t="shared" si="30"/>
        <v>0.03</v>
      </c>
      <c r="H455" s="436">
        <f t="shared" si="32"/>
        <v>46749.038130041889</v>
      </c>
      <c r="I455" s="302">
        <f t="shared" si="33"/>
        <v>0</v>
      </c>
      <c r="K455" s="426">
        <f t="shared" si="42"/>
        <v>66802.287800476552</v>
      </c>
      <c r="L455" s="10">
        <f t="shared" si="43"/>
        <v>66802.287800476552</v>
      </c>
      <c r="M455" s="436">
        <f t="shared" si="44"/>
        <v>66802.287800476552</v>
      </c>
      <c r="N455" s="301">
        <f t="shared" si="34"/>
        <v>20053.249670434659</v>
      </c>
      <c r="O455" s="302">
        <f t="shared" si="35"/>
        <v>66802.287800476508</v>
      </c>
      <c r="P455" s="436">
        <f t="shared" si="36"/>
        <v>0</v>
      </c>
      <c r="Q455" s="11">
        <f t="shared" si="45"/>
        <v>0</v>
      </c>
      <c r="R455" s="426">
        <f t="shared" si="46"/>
        <v>10203106.795500088</v>
      </c>
      <c r="S455" s="354">
        <f>+Hirdetmény!$AA$46</f>
        <v>0.13400000000000001</v>
      </c>
      <c r="T455" s="302">
        <f t="shared" si="37"/>
        <v>29774.84509928925</v>
      </c>
      <c r="U455" s="302">
        <f t="shared" si="47"/>
        <v>115854.22246336009</v>
      </c>
      <c r="V455" s="302">
        <f t="shared" si="48"/>
        <v>145629.06756264935</v>
      </c>
      <c r="W455" s="302">
        <f t="shared" si="49"/>
        <v>145629.06756264935</v>
      </c>
      <c r="AA455" s="10">
        <f t="shared" si="50"/>
        <v>8776074.3332079872</v>
      </c>
      <c r="AB455" s="354">
        <f>+paraméterek!$B$346</f>
        <v>6.4600000000000005E-2</v>
      </c>
      <c r="AC455" s="302">
        <f t="shared" si="38"/>
        <v>41692.129630559422</v>
      </c>
      <c r="AD455" s="302">
        <f t="shared" si="53"/>
        <v>48128.267460016228</v>
      </c>
      <c r="AE455" s="302">
        <f t="shared" si="51"/>
        <v>89820.397090575658</v>
      </c>
      <c r="AF455" s="478">
        <f t="shared" si="39"/>
        <v>89820.397090575658</v>
      </c>
      <c r="AI455" s="543">
        <f t="shared" si="52"/>
        <v>146437.06756264935</v>
      </c>
      <c r="AJ455" s="543"/>
      <c r="AK455" s="300"/>
      <c r="AL455" s="543"/>
      <c r="AM455" s="10"/>
    </row>
    <row r="456" spans="1:39" s="11" customFormat="1" ht="13.8" hidden="1" x14ac:dyDescent="0.25">
      <c r="A456" s="11">
        <v>101</v>
      </c>
      <c r="B456" s="11">
        <f t="shared" si="40"/>
        <v>9</v>
      </c>
      <c r="C456" s="354">
        <f t="shared" si="29"/>
        <v>0</v>
      </c>
      <c r="D456" s="300">
        <f t="shared" si="31"/>
        <v>7817802.4759759931</v>
      </c>
      <c r="E456" s="354">
        <f t="shared" si="41"/>
        <v>0.13400000000000001</v>
      </c>
      <c r="F456" s="354">
        <f t="shared" si="30"/>
        <v>0.03</v>
      </c>
      <c r="H456" s="436">
        <f t="shared" si="32"/>
        <v>46867.533955857616</v>
      </c>
      <c r="I456" s="302">
        <f t="shared" si="33"/>
        <v>0</v>
      </c>
      <c r="K456" s="426">
        <f t="shared" si="42"/>
        <v>66802.287800476537</v>
      </c>
      <c r="L456" s="10">
        <f t="shared" si="43"/>
        <v>66802.287800476537</v>
      </c>
      <c r="M456" s="436">
        <f t="shared" si="44"/>
        <v>66802.287800476537</v>
      </c>
      <c r="N456" s="301">
        <f t="shared" si="34"/>
        <v>19934.753844618928</v>
      </c>
      <c r="O456" s="302">
        <f t="shared" si="35"/>
        <v>66802.287800476508</v>
      </c>
      <c r="P456" s="436">
        <f t="shared" si="36"/>
        <v>0</v>
      </c>
      <c r="Q456" s="11">
        <f t="shared" si="45"/>
        <v>0</v>
      </c>
      <c r="R456" s="426">
        <f t="shared" si="46"/>
        <v>10172994.846772604</v>
      </c>
      <c r="S456" s="354">
        <f>+Hirdetmény!$AA$46</f>
        <v>0.13400000000000001</v>
      </c>
      <c r="T456" s="302">
        <f t="shared" si="37"/>
        <v>30111.948727485145</v>
      </c>
      <c r="U456" s="302">
        <f t="shared" si="47"/>
        <v>115517.1188351642</v>
      </c>
      <c r="V456" s="302">
        <f t="shared" si="48"/>
        <v>145629.06756264935</v>
      </c>
      <c r="W456" s="302">
        <f t="shared" si="49"/>
        <v>145629.06756264935</v>
      </c>
      <c r="AA456" s="10">
        <f t="shared" si="50"/>
        <v>8734154.6436874829</v>
      </c>
      <c r="AB456" s="354">
        <f>+paraméterek!$B$346</f>
        <v>6.4600000000000005E-2</v>
      </c>
      <c r="AC456" s="302">
        <f t="shared" si="38"/>
        <v>41919.689520503634</v>
      </c>
      <c r="AD456" s="302">
        <f t="shared" si="53"/>
        <v>47900.707570072023</v>
      </c>
      <c r="AE456" s="302">
        <f t="shared" si="51"/>
        <v>89820.397090575658</v>
      </c>
      <c r="AF456" s="478">
        <f t="shared" si="39"/>
        <v>89820.397090575658</v>
      </c>
      <c r="AI456" s="543">
        <f t="shared" si="52"/>
        <v>146437.06756264935</v>
      </c>
      <c r="AJ456" s="543"/>
      <c r="AK456" s="300"/>
      <c r="AL456" s="543"/>
      <c r="AM456" s="10"/>
    </row>
    <row r="457" spans="1:39" s="11" customFormat="1" ht="13.8" hidden="1" x14ac:dyDescent="0.25">
      <c r="A457" s="11">
        <v>102</v>
      </c>
      <c r="B457" s="11">
        <f t="shared" si="40"/>
        <v>9</v>
      </c>
      <c r="C457" s="354">
        <f t="shared" si="29"/>
        <v>0</v>
      </c>
      <c r="D457" s="300">
        <f t="shared" si="31"/>
        <v>7770816.145840317</v>
      </c>
      <c r="E457" s="354">
        <f t="shared" si="41"/>
        <v>0.13400000000000001</v>
      </c>
      <c r="F457" s="354">
        <f t="shared" si="30"/>
        <v>0.03</v>
      </c>
      <c r="H457" s="436">
        <f t="shared" si="32"/>
        <v>46986.330135676282</v>
      </c>
      <c r="I457" s="302">
        <f t="shared" si="33"/>
        <v>0</v>
      </c>
      <c r="K457" s="426">
        <f t="shared" si="42"/>
        <v>66802.287800476537</v>
      </c>
      <c r="L457" s="10">
        <f t="shared" si="43"/>
        <v>66802.287800476537</v>
      </c>
      <c r="M457" s="436">
        <f t="shared" si="44"/>
        <v>66802.287800476537</v>
      </c>
      <c r="N457" s="301">
        <f t="shared" si="34"/>
        <v>19815.957664800262</v>
      </c>
      <c r="O457" s="302">
        <f t="shared" si="35"/>
        <v>66802.287800476508</v>
      </c>
      <c r="P457" s="436">
        <f t="shared" si="36"/>
        <v>0</v>
      </c>
      <c r="Q457" s="11">
        <f t="shared" si="45"/>
        <v>0</v>
      </c>
      <c r="R457" s="426">
        <f t="shared" si="46"/>
        <v>10142541.977810798</v>
      </c>
      <c r="S457" s="354">
        <f>+Hirdetmény!$AA$46</f>
        <v>0.13400000000000001</v>
      </c>
      <c r="T457" s="302">
        <f t="shared" si="37"/>
        <v>30452.868961804881</v>
      </c>
      <c r="U457" s="302">
        <f t="shared" si="47"/>
        <v>115176.19860084447</v>
      </c>
      <c r="V457" s="302">
        <f t="shared" si="48"/>
        <v>145629.06756264935</v>
      </c>
      <c r="W457" s="302">
        <f t="shared" si="49"/>
        <v>145629.06756264935</v>
      </c>
      <c r="AA457" s="10">
        <f t="shared" si="50"/>
        <v>8692006.1522319783</v>
      </c>
      <c r="AB457" s="354">
        <f>+paraméterek!$B$346</f>
        <v>6.4600000000000005E-2</v>
      </c>
      <c r="AC457" s="302">
        <f t="shared" si="38"/>
        <v>42148.491455504547</v>
      </c>
      <c r="AD457" s="302">
        <f t="shared" si="53"/>
        <v>47671.905635071103</v>
      </c>
      <c r="AE457" s="302">
        <f t="shared" si="51"/>
        <v>89820.397090575658</v>
      </c>
      <c r="AF457" s="478">
        <f t="shared" si="39"/>
        <v>89820.397090575658</v>
      </c>
      <c r="AI457" s="543">
        <f t="shared" si="52"/>
        <v>146437.06756264935</v>
      </c>
      <c r="AJ457" s="543"/>
      <c r="AK457" s="300"/>
      <c r="AL457" s="543"/>
      <c r="AM457" s="10"/>
    </row>
    <row r="458" spans="1:39" s="11" customFormat="1" ht="13.8" hidden="1" x14ac:dyDescent="0.25">
      <c r="A458" s="11">
        <v>103</v>
      </c>
      <c r="B458" s="11">
        <f t="shared" si="40"/>
        <v>9</v>
      </c>
      <c r="C458" s="354">
        <f t="shared" si="29"/>
        <v>0</v>
      </c>
      <c r="D458" s="300">
        <f t="shared" si="31"/>
        <v>7723710.7184095047</v>
      </c>
      <c r="E458" s="354">
        <f t="shared" si="41"/>
        <v>0.13400000000000001</v>
      </c>
      <c r="F458" s="354">
        <f t="shared" si="30"/>
        <v>0.03</v>
      </c>
      <c r="H458" s="436">
        <f t="shared" si="32"/>
        <v>47105.427430811855</v>
      </c>
      <c r="I458" s="302">
        <f t="shared" si="33"/>
        <v>0</v>
      </c>
      <c r="K458" s="426">
        <f t="shared" si="42"/>
        <v>66802.287800476552</v>
      </c>
      <c r="L458" s="10">
        <f t="shared" si="43"/>
        <v>66802.287800476552</v>
      </c>
      <c r="M458" s="436">
        <f t="shared" si="44"/>
        <v>66802.287800476552</v>
      </c>
      <c r="N458" s="301">
        <f t="shared" si="34"/>
        <v>19696.860369664693</v>
      </c>
      <c r="O458" s="302">
        <f t="shared" si="35"/>
        <v>66802.287800476508</v>
      </c>
      <c r="P458" s="436">
        <f t="shared" si="36"/>
        <v>0</v>
      </c>
      <c r="Q458" s="11">
        <f t="shared" si="45"/>
        <v>0</v>
      </c>
      <c r="R458" s="426">
        <f t="shared" si="46"/>
        <v>10111744.328797854</v>
      </c>
      <c r="S458" s="354">
        <f>+Hirdetmény!$AA$46</f>
        <v>0.13400000000000001</v>
      </c>
      <c r="T458" s="302">
        <f t="shared" si="37"/>
        <v>30797.649012944206</v>
      </c>
      <c r="U458" s="302">
        <f t="shared" si="47"/>
        <v>114831.41854970514</v>
      </c>
      <c r="V458" s="302">
        <f t="shared" si="48"/>
        <v>145629.06756264935</v>
      </c>
      <c r="W458" s="302">
        <f t="shared" si="49"/>
        <v>145629.06756264935</v>
      </c>
      <c r="AA458" s="10">
        <f t="shared" si="50"/>
        <v>8649627.6100172084</v>
      </c>
      <c r="AB458" s="354">
        <f>+paraméterek!$B$346</f>
        <v>6.4600000000000005E-2</v>
      </c>
      <c r="AC458" s="302">
        <f t="shared" si="38"/>
        <v>42378.54221477059</v>
      </c>
      <c r="AD458" s="302">
        <f t="shared" si="53"/>
        <v>47441.854875805053</v>
      </c>
      <c r="AE458" s="302">
        <f t="shared" si="51"/>
        <v>89820.397090575643</v>
      </c>
      <c r="AF458" s="478">
        <f t="shared" si="39"/>
        <v>89820.397090575643</v>
      </c>
      <c r="AI458" s="543">
        <f t="shared" si="52"/>
        <v>146437.06756264935</v>
      </c>
      <c r="AJ458" s="543"/>
      <c r="AK458" s="300"/>
      <c r="AL458" s="543"/>
      <c r="AM458" s="10"/>
    </row>
    <row r="459" spans="1:39" s="11" customFormat="1" ht="13.8" hidden="1" x14ac:dyDescent="0.25">
      <c r="A459" s="11">
        <v>104</v>
      </c>
      <c r="B459" s="11">
        <f t="shared" si="40"/>
        <v>9</v>
      </c>
      <c r="C459" s="354">
        <f t="shared" si="29"/>
        <v>0</v>
      </c>
      <c r="D459" s="300">
        <f t="shared" si="31"/>
        <v>7676485.8918049969</v>
      </c>
      <c r="E459" s="354">
        <f t="shared" si="41"/>
        <v>0.13400000000000001</v>
      </c>
      <c r="F459" s="354">
        <f t="shared" si="30"/>
        <v>0.03</v>
      </c>
      <c r="H459" s="436">
        <f t="shared" si="32"/>
        <v>47224.826604508009</v>
      </c>
      <c r="I459" s="302">
        <f t="shared" si="33"/>
        <v>0</v>
      </c>
      <c r="K459" s="426">
        <f t="shared" si="42"/>
        <v>66802.287800476552</v>
      </c>
      <c r="L459" s="10">
        <f t="shared" si="43"/>
        <v>66802.287800476552</v>
      </c>
      <c r="M459" s="436">
        <f t="shared" si="44"/>
        <v>66802.287800476552</v>
      </c>
      <c r="N459" s="301">
        <f t="shared" si="34"/>
        <v>19577.461195968539</v>
      </c>
      <c r="O459" s="302">
        <f t="shared" si="35"/>
        <v>66802.287800476508</v>
      </c>
      <c r="P459" s="436">
        <f t="shared" si="36"/>
        <v>0</v>
      </c>
      <c r="Q459" s="11">
        <f t="shared" si="45"/>
        <v>0</v>
      </c>
      <c r="R459" s="426">
        <f t="shared" si="46"/>
        <v>10080597.996217035</v>
      </c>
      <c r="S459" s="354">
        <f>+Hirdetmény!$AA$46</f>
        <v>0.13400000000000001</v>
      </c>
      <c r="T459" s="302">
        <f t="shared" si="37"/>
        <v>31146.332580819933</v>
      </c>
      <c r="U459" s="302">
        <f t="shared" si="47"/>
        <v>114482.73498182943</v>
      </c>
      <c r="V459" s="302">
        <f t="shared" si="48"/>
        <v>145629.06756264938</v>
      </c>
      <c r="W459" s="302">
        <f t="shared" si="49"/>
        <v>145629.06756264938</v>
      </c>
      <c r="AA459" s="10">
        <f t="shared" si="50"/>
        <v>8607017.7614026964</v>
      </c>
      <c r="AB459" s="354">
        <f>+paraméterek!$B$346</f>
        <v>6.4600000000000005E-2</v>
      </c>
      <c r="AC459" s="302">
        <f t="shared" si="38"/>
        <v>42609.848614511822</v>
      </c>
      <c r="AD459" s="302">
        <f t="shared" si="53"/>
        <v>47210.548476063843</v>
      </c>
      <c r="AE459" s="302">
        <f t="shared" si="51"/>
        <v>89820.397090575658</v>
      </c>
      <c r="AF459" s="478">
        <f t="shared" si="39"/>
        <v>89820.397090575658</v>
      </c>
      <c r="AI459" s="543">
        <f t="shared" si="52"/>
        <v>146437.06756264938</v>
      </c>
      <c r="AJ459" s="543"/>
      <c r="AK459" s="300"/>
      <c r="AL459" s="543"/>
      <c r="AM459" s="10"/>
    </row>
    <row r="460" spans="1:39" s="11" customFormat="1" ht="13.8" hidden="1" x14ac:dyDescent="0.25">
      <c r="A460" s="11">
        <v>105</v>
      </c>
      <c r="B460" s="11">
        <f t="shared" si="40"/>
        <v>9</v>
      </c>
      <c r="C460" s="354">
        <f t="shared" si="29"/>
        <v>0</v>
      </c>
      <c r="D460" s="300">
        <f t="shared" si="31"/>
        <v>7629141.3633830538</v>
      </c>
      <c r="E460" s="354">
        <f t="shared" si="41"/>
        <v>0.13400000000000001</v>
      </c>
      <c r="F460" s="354">
        <f t="shared" si="30"/>
        <v>0.03</v>
      </c>
      <c r="H460" s="436">
        <f t="shared" si="32"/>
        <v>47344.528421943047</v>
      </c>
      <c r="I460" s="302">
        <f t="shared" si="33"/>
        <v>0</v>
      </c>
      <c r="K460" s="426">
        <f t="shared" si="42"/>
        <v>66802.287800476537</v>
      </c>
      <c r="L460" s="10">
        <f t="shared" si="43"/>
        <v>66802.287800476537</v>
      </c>
      <c r="M460" s="436">
        <f t="shared" si="44"/>
        <v>66802.287800476537</v>
      </c>
      <c r="N460" s="301">
        <f t="shared" si="34"/>
        <v>19457.759378533498</v>
      </c>
      <c r="O460" s="302">
        <f t="shared" si="35"/>
        <v>66802.287800476508</v>
      </c>
      <c r="P460" s="436">
        <f t="shared" si="36"/>
        <v>0</v>
      </c>
      <c r="Q460" s="11">
        <f t="shared" si="45"/>
        <v>0</v>
      </c>
      <c r="R460" s="426">
        <f t="shared" si="46"/>
        <v>10049099.032356925</v>
      </c>
      <c r="S460" s="354">
        <f>+Hirdetmény!$AA$46</f>
        <v>0.13400000000000001</v>
      </c>
      <c r="T460" s="302">
        <f t="shared" si="37"/>
        <v>31498.963860108797</v>
      </c>
      <c r="U460" s="302">
        <f t="shared" si="47"/>
        <v>114130.10370254057</v>
      </c>
      <c r="V460" s="302">
        <f t="shared" si="48"/>
        <v>145629.06756264938</v>
      </c>
      <c r="W460" s="302">
        <f t="shared" si="49"/>
        <v>145629.06756264938</v>
      </c>
      <c r="AA460" s="10">
        <f t="shared" si="50"/>
        <v>8564175.3438945543</v>
      </c>
      <c r="AB460" s="354">
        <f>+paraméterek!$B$346</f>
        <v>6.4600000000000005E-2</v>
      </c>
      <c r="AC460" s="302">
        <f t="shared" si="38"/>
        <v>42842.417508141822</v>
      </c>
      <c r="AD460" s="302">
        <f t="shared" si="53"/>
        <v>46977.979582433836</v>
      </c>
      <c r="AE460" s="302">
        <f t="shared" si="51"/>
        <v>89820.397090575658</v>
      </c>
      <c r="AF460" s="478">
        <f t="shared" si="39"/>
        <v>89820.397090575658</v>
      </c>
      <c r="AI460" s="543">
        <f t="shared" si="52"/>
        <v>146437.06756264938</v>
      </c>
      <c r="AJ460" s="543"/>
      <c r="AK460" s="300"/>
      <c r="AL460" s="543"/>
      <c r="AM460" s="10"/>
    </row>
    <row r="461" spans="1:39" s="11" customFormat="1" ht="13.8" hidden="1" x14ac:dyDescent="0.25">
      <c r="A461" s="11">
        <v>106</v>
      </c>
      <c r="B461" s="11">
        <f t="shared" si="40"/>
        <v>9</v>
      </c>
      <c r="C461" s="354">
        <f t="shared" si="29"/>
        <v>0</v>
      </c>
      <c r="D461" s="300">
        <f t="shared" si="31"/>
        <v>7581676.8297328195</v>
      </c>
      <c r="E461" s="354">
        <f t="shared" si="41"/>
        <v>0.13400000000000001</v>
      </c>
      <c r="F461" s="354">
        <f t="shared" si="30"/>
        <v>0.03</v>
      </c>
      <c r="H461" s="436">
        <f t="shared" si="32"/>
        <v>47464.533650234771</v>
      </c>
      <c r="I461" s="302">
        <f t="shared" si="33"/>
        <v>0</v>
      </c>
      <c r="K461" s="426">
        <f t="shared" si="42"/>
        <v>66802.287800476537</v>
      </c>
      <c r="L461" s="10">
        <f t="shared" si="43"/>
        <v>66802.287800476537</v>
      </c>
      <c r="M461" s="436">
        <f t="shared" si="44"/>
        <v>66802.287800476537</v>
      </c>
      <c r="N461" s="301">
        <f t="shared" si="34"/>
        <v>19337.75415024177</v>
      </c>
      <c r="O461" s="302">
        <f t="shared" si="35"/>
        <v>66802.287800476508</v>
      </c>
      <c r="P461" s="436">
        <f t="shared" si="36"/>
        <v>0</v>
      </c>
      <c r="Q461" s="11">
        <f t="shared" si="45"/>
        <v>0</v>
      </c>
      <c r="R461" s="426">
        <f t="shared" si="46"/>
        <v>10017243.444811076</v>
      </c>
      <c r="S461" s="354">
        <f>+Hirdetmény!$AA$46</f>
        <v>0.13400000000000001</v>
      </c>
      <c r="T461" s="302">
        <f t="shared" si="37"/>
        <v>31855.587545849059</v>
      </c>
      <c r="U461" s="302">
        <f t="shared" si="47"/>
        <v>113773.4800168003</v>
      </c>
      <c r="V461" s="302">
        <f t="shared" si="48"/>
        <v>145629.06756264935</v>
      </c>
      <c r="W461" s="302">
        <f t="shared" si="49"/>
        <v>145629.06756264935</v>
      </c>
      <c r="AA461" s="10">
        <f t="shared" si="50"/>
        <v>8521099.0881080739</v>
      </c>
      <c r="AB461" s="354">
        <f>+paraméterek!$B$346</f>
        <v>6.4600000000000005E-2</v>
      </c>
      <c r="AC461" s="302">
        <f t="shared" si="38"/>
        <v>43076.255786480819</v>
      </c>
      <c r="AD461" s="302">
        <f t="shared" si="53"/>
        <v>46744.141304094839</v>
      </c>
      <c r="AE461" s="302">
        <f t="shared" si="51"/>
        <v>89820.397090575658</v>
      </c>
      <c r="AF461" s="478">
        <f t="shared" si="39"/>
        <v>89820.397090575658</v>
      </c>
      <c r="AI461" s="543">
        <f t="shared" si="52"/>
        <v>146437.06756264935</v>
      </c>
      <c r="AJ461" s="543"/>
      <c r="AK461" s="300"/>
      <c r="AL461" s="543"/>
      <c r="AM461" s="10"/>
    </row>
    <row r="462" spans="1:39" s="11" customFormat="1" ht="13.8" hidden="1" x14ac:dyDescent="0.25">
      <c r="A462" s="11">
        <v>107</v>
      </c>
      <c r="B462" s="11">
        <f t="shared" si="40"/>
        <v>9</v>
      </c>
      <c r="C462" s="354">
        <f t="shared" si="29"/>
        <v>0</v>
      </c>
      <c r="D462" s="300">
        <f t="shared" si="31"/>
        <v>7534091.986674374</v>
      </c>
      <c r="E462" s="354">
        <f t="shared" si="41"/>
        <v>0.13400000000000001</v>
      </c>
      <c r="F462" s="354">
        <f t="shared" si="30"/>
        <v>0.03</v>
      </c>
      <c r="H462" s="436">
        <f t="shared" si="32"/>
        <v>47584.84305844544</v>
      </c>
      <c r="I462" s="302">
        <f t="shared" si="33"/>
        <v>0</v>
      </c>
      <c r="K462" s="426">
        <f t="shared" si="42"/>
        <v>66802.287800476552</v>
      </c>
      <c r="L462" s="10">
        <f t="shared" si="43"/>
        <v>66802.287800476552</v>
      </c>
      <c r="M462" s="436">
        <f t="shared" si="44"/>
        <v>66802.287800476552</v>
      </c>
      <c r="N462" s="301">
        <f t="shared" si="34"/>
        <v>19217.444742031108</v>
      </c>
      <c r="O462" s="302">
        <f t="shared" si="35"/>
        <v>66802.287800476508</v>
      </c>
      <c r="P462" s="436">
        <f t="shared" si="36"/>
        <v>0</v>
      </c>
      <c r="Q462" s="11">
        <f t="shared" si="45"/>
        <v>0</v>
      </c>
      <c r="R462" s="426">
        <f t="shared" si="46"/>
        <v>9985027.1959719714</v>
      </c>
      <c r="S462" s="354">
        <f>+Hirdetmény!$AA$46</f>
        <v>0.13400000000000001</v>
      </c>
      <c r="T462" s="302">
        <f t="shared" si="37"/>
        <v>32216.248839105418</v>
      </c>
      <c r="U462" s="302">
        <f t="shared" si="47"/>
        <v>113412.81872354393</v>
      </c>
      <c r="V462" s="302">
        <f t="shared" si="48"/>
        <v>145629.06756264935</v>
      </c>
      <c r="W462" s="302">
        <f t="shared" si="49"/>
        <v>145629.06756264935</v>
      </c>
      <c r="AA462" s="10">
        <f t="shared" si="50"/>
        <v>8477787.7177301142</v>
      </c>
      <c r="AB462" s="354">
        <f>+paraméterek!$B$346</f>
        <v>6.4600000000000005E-2</v>
      </c>
      <c r="AC462" s="302">
        <f t="shared" si="38"/>
        <v>43311.370377959858</v>
      </c>
      <c r="AD462" s="302">
        <f t="shared" si="53"/>
        <v>46509.026712615814</v>
      </c>
      <c r="AE462" s="302">
        <f t="shared" si="51"/>
        <v>89820.397090575672</v>
      </c>
      <c r="AF462" s="478">
        <f t="shared" si="39"/>
        <v>89820.397090575672</v>
      </c>
      <c r="AI462" s="543">
        <f t="shared" si="52"/>
        <v>146437.06756264935</v>
      </c>
      <c r="AJ462" s="543"/>
      <c r="AK462" s="300"/>
      <c r="AL462" s="543"/>
      <c r="AM462" s="10"/>
    </row>
    <row r="463" spans="1:39" s="11" customFormat="1" ht="13.8" hidden="1" x14ac:dyDescent="0.25">
      <c r="A463" s="11">
        <v>108</v>
      </c>
      <c r="B463" s="11">
        <f t="shared" si="40"/>
        <v>9</v>
      </c>
      <c r="C463" s="354">
        <f t="shared" si="29"/>
        <v>0</v>
      </c>
      <c r="D463" s="300">
        <f t="shared" si="31"/>
        <v>7486386.5292567872</v>
      </c>
      <c r="E463" s="354">
        <f t="shared" si="41"/>
        <v>0.13400000000000001</v>
      </c>
      <c r="F463" s="354">
        <f t="shared" si="30"/>
        <v>0.03</v>
      </c>
      <c r="H463" s="436">
        <f t="shared" si="32"/>
        <v>47705.457417586636</v>
      </c>
      <c r="I463" s="302">
        <f t="shared" si="33"/>
        <v>0</v>
      </c>
      <c r="K463" s="426">
        <f t="shared" si="42"/>
        <v>66802.287800476537</v>
      </c>
      <c r="L463" s="10">
        <f t="shared" si="43"/>
        <v>66802.287800476537</v>
      </c>
      <c r="M463" s="436">
        <f t="shared" si="44"/>
        <v>66802.287800476537</v>
      </c>
      <c r="N463" s="301">
        <f t="shared" si="34"/>
        <v>19096.830382889908</v>
      </c>
      <c r="O463" s="302">
        <f t="shared" si="35"/>
        <v>66802.287800476508</v>
      </c>
      <c r="P463" s="436">
        <f t="shared" si="36"/>
        <v>0</v>
      </c>
      <c r="Q463" s="11">
        <f t="shared" si="45"/>
        <v>0</v>
      </c>
      <c r="R463" s="426">
        <f t="shared" si="46"/>
        <v>9952446.2025192734</v>
      </c>
      <c r="S463" s="354">
        <f>+Hirdetmény!$AA$46</f>
        <v>0.13400000000000001</v>
      </c>
      <c r="T463" s="302">
        <f t="shared" si="37"/>
        <v>32580.993452698152</v>
      </c>
      <c r="U463" s="302">
        <f t="shared" si="47"/>
        <v>113048.07410995119</v>
      </c>
      <c r="V463" s="302">
        <f t="shared" si="48"/>
        <v>145629.06756264935</v>
      </c>
      <c r="W463" s="302">
        <f t="shared" si="49"/>
        <v>145629.06756264935</v>
      </c>
      <c r="AA463" s="10">
        <f t="shared" si="50"/>
        <v>8434239.949481288</v>
      </c>
      <c r="AB463" s="354">
        <f>+paraméterek!$B$346</f>
        <v>6.4600000000000005E-2</v>
      </c>
      <c r="AC463" s="302">
        <f t="shared" si="38"/>
        <v>43547.76824882604</v>
      </c>
      <c r="AD463" s="302">
        <f t="shared" si="53"/>
        <v>46272.628841749625</v>
      </c>
      <c r="AE463" s="302">
        <f t="shared" si="51"/>
        <v>89820.397090575658</v>
      </c>
      <c r="AF463" s="478">
        <f t="shared" si="39"/>
        <v>89820.397090575658</v>
      </c>
      <c r="AI463" s="543">
        <f t="shared" si="52"/>
        <v>146437.06756264935</v>
      </c>
      <c r="AJ463" s="543"/>
      <c r="AK463" s="300"/>
      <c r="AL463" s="543"/>
      <c r="AM463" s="10"/>
    </row>
    <row r="464" spans="1:39" s="11" customFormat="1" ht="13.8" hidden="1" x14ac:dyDescent="0.25">
      <c r="A464" s="11">
        <v>109</v>
      </c>
      <c r="B464" s="11">
        <f t="shared" si="40"/>
        <v>10</v>
      </c>
      <c r="C464" s="354">
        <f t="shared" si="29"/>
        <v>0</v>
      </c>
      <c r="D464" s="300">
        <f t="shared" si="31"/>
        <v>7438560.1517561628</v>
      </c>
      <c r="E464" s="354">
        <f t="shared" si="41"/>
        <v>0.13400000000000001</v>
      </c>
      <c r="F464" s="354">
        <f t="shared" si="30"/>
        <v>0.03</v>
      </c>
      <c r="H464" s="436">
        <f t="shared" si="32"/>
        <v>47826.377500624272</v>
      </c>
      <c r="I464" s="302">
        <f t="shared" si="33"/>
        <v>0</v>
      </c>
      <c r="K464" s="426">
        <f t="shared" si="42"/>
        <v>66802.287800476537</v>
      </c>
      <c r="L464" s="10">
        <f t="shared" si="43"/>
        <v>66802.287800476537</v>
      </c>
      <c r="M464" s="436">
        <f t="shared" si="44"/>
        <v>66802.287800476537</v>
      </c>
      <c r="N464" s="301">
        <f t="shared" si="34"/>
        <v>18975.910299852272</v>
      </c>
      <c r="O464" s="302">
        <f t="shared" si="35"/>
        <v>66802.287800476508</v>
      </c>
      <c r="P464" s="436">
        <f t="shared" si="36"/>
        <v>0</v>
      </c>
      <c r="Q464" s="11">
        <f t="shared" si="45"/>
        <v>0</v>
      </c>
      <c r="R464" s="426">
        <f t="shared" si="46"/>
        <v>9919496.3349022754</v>
      </c>
      <c r="S464" s="354">
        <f>+Hirdetmény!$AA$46</f>
        <v>0.13400000000000001</v>
      </c>
      <c r="T464" s="302">
        <f t="shared" si="37"/>
        <v>32949.867616997108</v>
      </c>
      <c r="U464" s="302">
        <f t="shared" si="47"/>
        <v>112679.19994565223</v>
      </c>
      <c r="V464" s="302">
        <f t="shared" si="48"/>
        <v>145629.06756264935</v>
      </c>
      <c r="W464" s="302">
        <f t="shared" si="49"/>
        <v>145629.06756264935</v>
      </c>
      <c r="AA464" s="10">
        <f t="shared" si="50"/>
        <v>8390454.4930779394</v>
      </c>
      <c r="AB464" s="354">
        <f>+paraméterek!$B$346</f>
        <v>6.4600000000000005E-2</v>
      </c>
      <c r="AC464" s="302">
        <f t="shared" si="38"/>
        <v>43785.456403348973</v>
      </c>
      <c r="AD464" s="302">
        <f t="shared" si="53"/>
        <v>46034.940687226692</v>
      </c>
      <c r="AE464" s="302">
        <f t="shared" si="51"/>
        <v>89820.397090575658</v>
      </c>
      <c r="AF464" s="478">
        <f t="shared" si="39"/>
        <v>89820.397090575658</v>
      </c>
      <c r="AI464" s="543">
        <f t="shared" si="52"/>
        <v>146437.06756264935</v>
      </c>
      <c r="AJ464" s="543"/>
      <c r="AK464" s="300"/>
      <c r="AL464" s="543"/>
      <c r="AM464" s="10"/>
    </row>
    <row r="465" spans="1:39" s="11" customFormat="1" ht="13.8" hidden="1" x14ac:dyDescent="0.25">
      <c r="A465" s="11">
        <v>110</v>
      </c>
      <c r="B465" s="11">
        <f t="shared" si="40"/>
        <v>10</v>
      </c>
      <c r="C465" s="354">
        <f t="shared" si="29"/>
        <v>0</v>
      </c>
      <c r="D465" s="300">
        <f t="shared" si="31"/>
        <v>7390612.547673679</v>
      </c>
      <c r="E465" s="354">
        <f t="shared" si="41"/>
        <v>0.13400000000000001</v>
      </c>
      <c r="F465" s="354">
        <f t="shared" si="30"/>
        <v>0.03</v>
      </c>
      <c r="H465" s="436">
        <f t="shared" si="32"/>
        <v>47947.604082483478</v>
      </c>
      <c r="I465" s="302">
        <f t="shared" si="33"/>
        <v>0</v>
      </c>
      <c r="K465" s="426">
        <f t="shared" si="42"/>
        <v>66802.287800476537</v>
      </c>
      <c r="L465" s="10">
        <f t="shared" si="43"/>
        <v>66802.287800476537</v>
      </c>
      <c r="M465" s="436">
        <f t="shared" si="44"/>
        <v>66802.287800476537</v>
      </c>
      <c r="N465" s="301">
        <f t="shared" si="34"/>
        <v>18854.683717993052</v>
      </c>
      <c r="O465" s="302">
        <f t="shared" si="35"/>
        <v>66802.287800476508</v>
      </c>
      <c r="P465" s="436">
        <f t="shared" si="36"/>
        <v>0</v>
      </c>
      <c r="Q465" s="11">
        <f t="shared" si="45"/>
        <v>0</v>
      </c>
      <c r="R465" s="426">
        <f t="shared" si="46"/>
        <v>9886173.4168164935</v>
      </c>
      <c r="S465" s="354">
        <f>+Hirdetmény!$AA$46</f>
        <v>0.13400000000000001</v>
      </c>
      <c r="T465" s="302">
        <f t="shared" si="37"/>
        <v>33322.918085781217</v>
      </c>
      <c r="U465" s="302">
        <f t="shared" si="47"/>
        <v>112306.14947686814</v>
      </c>
      <c r="V465" s="302">
        <f t="shared" si="48"/>
        <v>145629.06756264938</v>
      </c>
      <c r="W465" s="302">
        <f t="shared" si="49"/>
        <v>145629.06756264938</v>
      </c>
      <c r="AA465" s="10">
        <f t="shared" si="50"/>
        <v>8346430.0511939107</v>
      </c>
      <c r="AB465" s="354">
        <f>+paraméterek!$B$346</f>
        <v>6.4600000000000005E-2</v>
      </c>
      <c r="AC465" s="302">
        <f t="shared" si="38"/>
        <v>44024.441884028274</v>
      </c>
      <c r="AD465" s="302">
        <f t="shared" si="53"/>
        <v>45795.955206547398</v>
      </c>
      <c r="AE465" s="302">
        <f t="shared" si="51"/>
        <v>89820.397090575672</v>
      </c>
      <c r="AF465" s="478">
        <f t="shared" si="39"/>
        <v>89820.397090575672</v>
      </c>
      <c r="AI465" s="543">
        <f t="shared" si="52"/>
        <v>146437.06756264938</v>
      </c>
      <c r="AJ465" s="543"/>
      <c r="AK465" s="300"/>
      <c r="AL465" s="543"/>
      <c r="AM465" s="10"/>
    </row>
    <row r="466" spans="1:39" s="11" customFormat="1" ht="13.8" hidden="1" x14ac:dyDescent="0.25">
      <c r="A466" s="11">
        <v>111</v>
      </c>
      <c r="B466" s="11">
        <f t="shared" si="40"/>
        <v>10</v>
      </c>
      <c r="C466" s="354">
        <f t="shared" si="29"/>
        <v>0</v>
      </c>
      <c r="D466" s="300">
        <f t="shared" si="31"/>
        <v>7342543.4097336251</v>
      </c>
      <c r="E466" s="354">
        <f t="shared" si="41"/>
        <v>0.13400000000000001</v>
      </c>
      <c r="F466" s="354">
        <f t="shared" si="30"/>
        <v>0.03</v>
      </c>
      <c r="H466" s="436">
        <f t="shared" si="32"/>
        <v>48069.137940053675</v>
      </c>
      <c r="I466" s="302">
        <f t="shared" si="33"/>
        <v>0</v>
      </c>
      <c r="K466" s="426">
        <f t="shared" si="42"/>
        <v>66802.287800476537</v>
      </c>
      <c r="L466" s="10">
        <f t="shared" si="43"/>
        <v>66802.287800476537</v>
      </c>
      <c r="M466" s="436">
        <f t="shared" si="44"/>
        <v>66802.287800476537</v>
      </c>
      <c r="N466" s="301">
        <f t="shared" si="34"/>
        <v>18733.149860422865</v>
      </c>
      <c r="O466" s="302">
        <f t="shared" si="35"/>
        <v>66802.287800476508</v>
      </c>
      <c r="P466" s="436">
        <f t="shared" si="36"/>
        <v>0</v>
      </c>
      <c r="Q466" s="11">
        <f t="shared" si="45"/>
        <v>0</v>
      </c>
      <c r="R466" s="426">
        <f t="shared" si="46"/>
        <v>9852473.2246743292</v>
      </c>
      <c r="S466" s="354">
        <f>+Hirdetmény!$AA$46</f>
        <v>0.13400000000000001</v>
      </c>
      <c r="T466" s="302">
        <f t="shared" si="37"/>
        <v>33700.192142164444</v>
      </c>
      <c r="U466" s="302">
        <f t="shared" si="47"/>
        <v>111928.8754204849</v>
      </c>
      <c r="V466" s="302">
        <f t="shared" si="48"/>
        <v>145629.06756264935</v>
      </c>
      <c r="W466" s="302">
        <f t="shared" si="49"/>
        <v>145629.06756264935</v>
      </c>
      <c r="AA466" s="10">
        <f t="shared" si="50"/>
        <v>8302165.3194221081</v>
      </c>
      <c r="AB466" s="354">
        <f>+paraméterek!$B$346</f>
        <v>6.4600000000000005E-2</v>
      </c>
      <c r="AC466" s="302">
        <f t="shared" si="38"/>
        <v>44264.731771802231</v>
      </c>
      <c r="AD466" s="302">
        <f t="shared" si="53"/>
        <v>45555.665318773441</v>
      </c>
      <c r="AE466" s="302">
        <f t="shared" si="51"/>
        <v>89820.397090575672</v>
      </c>
      <c r="AF466" s="478">
        <f t="shared" si="39"/>
        <v>89820.397090575672</v>
      </c>
      <c r="AI466" s="543">
        <f t="shared" si="52"/>
        <v>146437.06756264935</v>
      </c>
      <c r="AJ466" s="543"/>
      <c r="AK466" s="300"/>
      <c r="AL466" s="543"/>
      <c r="AM466" s="10"/>
    </row>
    <row r="467" spans="1:39" s="11" customFormat="1" ht="13.8" hidden="1" x14ac:dyDescent="0.25">
      <c r="A467" s="11">
        <v>112</v>
      </c>
      <c r="B467" s="11">
        <f t="shared" si="40"/>
        <v>10</v>
      </c>
      <c r="C467" s="354">
        <f t="shared" si="29"/>
        <v>0</v>
      </c>
      <c r="D467" s="300">
        <f t="shared" si="31"/>
        <v>7294352.4298814321</v>
      </c>
      <c r="E467" s="354">
        <f t="shared" si="41"/>
        <v>0.13400000000000001</v>
      </c>
      <c r="F467" s="354">
        <f t="shared" si="30"/>
        <v>0.03</v>
      </c>
      <c r="H467" s="436">
        <f t="shared" si="32"/>
        <v>48190.979852193392</v>
      </c>
      <c r="I467" s="302">
        <f t="shared" si="33"/>
        <v>0</v>
      </c>
      <c r="K467" s="426">
        <f t="shared" si="42"/>
        <v>66802.287800476537</v>
      </c>
      <c r="L467" s="10">
        <f t="shared" si="43"/>
        <v>66802.287800476537</v>
      </c>
      <c r="M467" s="436">
        <f t="shared" si="44"/>
        <v>66802.287800476537</v>
      </c>
      <c r="N467" s="301">
        <f t="shared" si="34"/>
        <v>18611.307948283149</v>
      </c>
      <c r="O467" s="302">
        <f t="shared" si="35"/>
        <v>66802.287800476508</v>
      </c>
      <c r="P467" s="436">
        <f t="shared" si="36"/>
        <v>0</v>
      </c>
      <c r="Q467" s="11">
        <f t="shared" si="45"/>
        <v>0</v>
      </c>
      <c r="R467" s="426">
        <f t="shared" si="46"/>
        <v>9818391.4870697409</v>
      </c>
      <c r="S467" s="354">
        <f>+Hirdetmény!$AA$46</f>
        <v>0.13400000000000001</v>
      </c>
      <c r="T467" s="302">
        <f t="shared" si="37"/>
        <v>34081.737604588809</v>
      </c>
      <c r="U467" s="302">
        <f t="shared" si="47"/>
        <v>111547.32995806052</v>
      </c>
      <c r="V467" s="302">
        <f t="shared" si="48"/>
        <v>145629.06756264932</v>
      </c>
      <c r="W467" s="302">
        <f t="shared" si="49"/>
        <v>145629.06756264932</v>
      </c>
      <c r="AA467" s="10">
        <f t="shared" si="50"/>
        <v>8257658.9862358505</v>
      </c>
      <c r="AB467" s="354">
        <f>+paraméterek!$B$346</f>
        <v>6.4600000000000005E-2</v>
      </c>
      <c r="AC467" s="302">
        <f t="shared" si="38"/>
        <v>44506.333186257616</v>
      </c>
      <c r="AD467" s="302">
        <f t="shared" si="53"/>
        <v>45314.063904318034</v>
      </c>
      <c r="AE467" s="302">
        <f t="shared" si="51"/>
        <v>89820.397090575658</v>
      </c>
      <c r="AF467" s="478">
        <f t="shared" si="39"/>
        <v>89820.397090575658</v>
      </c>
      <c r="AI467" s="543">
        <f t="shared" si="52"/>
        <v>146437.06756264932</v>
      </c>
      <c r="AJ467" s="543"/>
      <c r="AK467" s="300"/>
      <c r="AL467" s="543"/>
      <c r="AM467" s="10"/>
    </row>
    <row r="468" spans="1:39" s="11" customFormat="1" ht="13.8" hidden="1" x14ac:dyDescent="0.25">
      <c r="A468" s="11">
        <v>113</v>
      </c>
      <c r="B468" s="11">
        <f t="shared" si="40"/>
        <v>10</v>
      </c>
      <c r="C468" s="354">
        <f t="shared" si="29"/>
        <v>0</v>
      </c>
      <c r="D468" s="300">
        <f t="shared" si="31"/>
        <v>7246039.2992816968</v>
      </c>
      <c r="E468" s="354">
        <f t="shared" si="41"/>
        <v>0.13400000000000001</v>
      </c>
      <c r="F468" s="354">
        <f t="shared" si="30"/>
        <v>0.03</v>
      </c>
      <c r="H468" s="436">
        <f t="shared" si="32"/>
        <v>48313.130599735414</v>
      </c>
      <c r="I468" s="302">
        <f t="shared" si="33"/>
        <v>0</v>
      </c>
      <c r="K468" s="426">
        <f t="shared" si="42"/>
        <v>66802.287800476537</v>
      </c>
      <c r="L468" s="10">
        <f t="shared" si="43"/>
        <v>66802.287800476537</v>
      </c>
      <c r="M468" s="436">
        <f t="shared" si="44"/>
        <v>66802.287800476537</v>
      </c>
      <c r="N468" s="301">
        <f t="shared" si="34"/>
        <v>18489.157200741131</v>
      </c>
      <c r="O468" s="302">
        <f t="shared" si="35"/>
        <v>66802.287800476508</v>
      </c>
      <c r="P468" s="436">
        <f t="shared" si="36"/>
        <v>0</v>
      </c>
      <c r="Q468" s="11">
        <f t="shared" si="45"/>
        <v>0</v>
      </c>
      <c r="R468" s="426">
        <f t="shared" si="46"/>
        <v>9783923.8842368554</v>
      </c>
      <c r="S468" s="354">
        <f>+Hirdetmény!$AA$46</f>
        <v>0.13400000000000001</v>
      </c>
      <c r="T468" s="302">
        <f t="shared" si="37"/>
        <v>34467.602832885204</v>
      </c>
      <c r="U468" s="302">
        <f t="shared" si="47"/>
        <v>111161.46472976413</v>
      </c>
      <c r="V468" s="302">
        <f t="shared" si="48"/>
        <v>145629.06756264935</v>
      </c>
      <c r="W468" s="302">
        <f t="shared" si="49"/>
        <v>145629.06756264935</v>
      </c>
      <c r="AA468" s="10">
        <f t="shared" si="50"/>
        <v>8212909.7329500094</v>
      </c>
      <c r="AB468" s="354">
        <f>+paraméterek!$B$346</f>
        <v>6.4600000000000005E-2</v>
      </c>
      <c r="AC468" s="302">
        <f t="shared" si="38"/>
        <v>44749.253285840663</v>
      </c>
      <c r="AD468" s="302">
        <f t="shared" si="53"/>
        <v>45071.14380473498</v>
      </c>
      <c r="AE468" s="302">
        <f t="shared" si="51"/>
        <v>89820.397090575643</v>
      </c>
      <c r="AF468" s="478">
        <f t="shared" si="39"/>
        <v>89820.397090575643</v>
      </c>
      <c r="AI468" s="543">
        <f t="shared" si="52"/>
        <v>146437.06756264935</v>
      </c>
      <c r="AJ468" s="543"/>
      <c r="AK468" s="300"/>
      <c r="AL468" s="543"/>
      <c r="AM468" s="10"/>
    </row>
    <row r="469" spans="1:39" s="11" customFormat="1" ht="13.8" hidden="1" x14ac:dyDescent="0.25">
      <c r="A469" s="11">
        <v>114</v>
      </c>
      <c r="B469" s="11">
        <f t="shared" si="40"/>
        <v>10</v>
      </c>
      <c r="C469" s="354">
        <f t="shared" si="29"/>
        <v>0</v>
      </c>
      <c r="D469" s="300">
        <f t="shared" si="31"/>
        <v>7197603.7083162051</v>
      </c>
      <c r="E469" s="354">
        <f t="shared" si="41"/>
        <v>0.13400000000000001</v>
      </c>
      <c r="F469" s="354">
        <f t="shared" si="30"/>
        <v>0.03</v>
      </c>
      <c r="H469" s="436">
        <f t="shared" si="32"/>
        <v>48435.590965491683</v>
      </c>
      <c r="I469" s="302">
        <f t="shared" si="33"/>
        <v>0</v>
      </c>
      <c r="K469" s="426">
        <f t="shared" si="42"/>
        <v>66802.287800476537</v>
      </c>
      <c r="L469" s="10">
        <f t="shared" si="43"/>
        <v>66802.287800476537</v>
      </c>
      <c r="M469" s="436">
        <f t="shared" si="44"/>
        <v>66802.287800476537</v>
      </c>
      <c r="N469" s="301">
        <f t="shared" si="34"/>
        <v>18366.696834984854</v>
      </c>
      <c r="O469" s="302">
        <f t="shared" si="35"/>
        <v>66802.287800476508</v>
      </c>
      <c r="P469" s="436">
        <f t="shared" si="36"/>
        <v>0</v>
      </c>
      <c r="Q469" s="11">
        <f t="shared" si="45"/>
        <v>0</v>
      </c>
      <c r="R469" s="426">
        <f t="shared" si="46"/>
        <v>9749066.0475024525</v>
      </c>
      <c r="S469" s="354">
        <f>+Hirdetmény!$AA$46</f>
        <v>0.13400000000000001</v>
      </c>
      <c r="T469" s="302">
        <f t="shared" si="37"/>
        <v>34857.836734402896</v>
      </c>
      <c r="U469" s="302">
        <f t="shared" si="47"/>
        <v>110771.23082824645</v>
      </c>
      <c r="V469" s="302">
        <f t="shared" si="48"/>
        <v>145629.06756264935</v>
      </c>
      <c r="W469" s="302">
        <f t="shared" si="49"/>
        <v>145629.06756264935</v>
      </c>
      <c r="AA469" s="10">
        <f t="shared" si="50"/>
        <v>8167916.2336819405</v>
      </c>
      <c r="AB469" s="354">
        <f>+paraméterek!$B$346</f>
        <v>6.4600000000000005E-2</v>
      </c>
      <c r="AC469" s="302">
        <f t="shared" si="38"/>
        <v>44993.499268069099</v>
      </c>
      <c r="AD469" s="302">
        <f t="shared" si="53"/>
        <v>44826.897822506551</v>
      </c>
      <c r="AE469" s="302">
        <f t="shared" si="51"/>
        <v>89820.397090575658</v>
      </c>
      <c r="AF469" s="478">
        <f t="shared" si="39"/>
        <v>89820.397090575658</v>
      </c>
      <c r="AI469" s="543">
        <f t="shared" si="52"/>
        <v>146437.06756264935</v>
      </c>
      <c r="AJ469" s="543"/>
      <c r="AK469" s="300"/>
      <c r="AL469" s="543"/>
      <c r="AM469" s="10"/>
    </row>
    <row r="470" spans="1:39" s="11" customFormat="1" ht="13.8" hidden="1" x14ac:dyDescent="0.25">
      <c r="A470" s="11">
        <v>115</v>
      </c>
      <c r="B470" s="11">
        <f t="shared" si="40"/>
        <v>10</v>
      </c>
      <c r="C470" s="354">
        <f t="shared" si="29"/>
        <v>0</v>
      </c>
      <c r="D470" s="300">
        <f t="shared" si="31"/>
        <v>7149045.3465819471</v>
      </c>
      <c r="E470" s="354">
        <f t="shared" si="41"/>
        <v>0.13400000000000001</v>
      </c>
      <c r="F470" s="354">
        <f t="shared" si="30"/>
        <v>0.03</v>
      </c>
      <c r="H470" s="436">
        <f t="shared" si="32"/>
        <v>48558.361734258382</v>
      </c>
      <c r="I470" s="302">
        <f t="shared" si="33"/>
        <v>0</v>
      </c>
      <c r="K470" s="426">
        <f t="shared" si="42"/>
        <v>66802.287800476537</v>
      </c>
      <c r="L470" s="10">
        <f t="shared" si="43"/>
        <v>66802.287800476537</v>
      </c>
      <c r="M470" s="436">
        <f t="shared" si="44"/>
        <v>66802.287800476537</v>
      </c>
      <c r="N470" s="301">
        <f t="shared" si="34"/>
        <v>18243.926066218155</v>
      </c>
      <c r="O470" s="302">
        <f t="shared" si="35"/>
        <v>66802.287800476508</v>
      </c>
      <c r="P470" s="436">
        <f t="shared" si="36"/>
        <v>0</v>
      </c>
      <c r="Q470" s="11">
        <f t="shared" si="45"/>
        <v>0</v>
      </c>
      <c r="R470" s="426">
        <f t="shared" si="46"/>
        <v>9713813.5587322433</v>
      </c>
      <c r="S470" s="354">
        <f>+Hirdetmény!$AA$46</f>
        <v>0.13400000000000001</v>
      </c>
      <c r="T470" s="302">
        <f t="shared" si="37"/>
        <v>35252.488770208365</v>
      </c>
      <c r="U470" s="302">
        <f t="shared" si="47"/>
        <v>110376.57879244097</v>
      </c>
      <c r="V470" s="302">
        <f t="shared" si="48"/>
        <v>145629.06756264932</v>
      </c>
      <c r="W470" s="302">
        <f t="shared" si="49"/>
        <v>145629.06756264932</v>
      </c>
      <c r="AA470" s="10">
        <f t="shared" si="50"/>
        <v>8122677.1553121954</v>
      </c>
      <c r="AB470" s="354">
        <f>+paraméterek!$B$346</f>
        <v>6.4600000000000005E-2</v>
      </c>
      <c r="AC470" s="302">
        <f t="shared" si="38"/>
        <v>45239.078369745439</v>
      </c>
      <c r="AD470" s="302">
        <f t="shared" si="53"/>
        <v>44581.318720830204</v>
      </c>
      <c r="AE470" s="302">
        <f t="shared" si="51"/>
        <v>89820.397090575643</v>
      </c>
      <c r="AF470" s="478">
        <f t="shared" si="39"/>
        <v>89820.397090575643</v>
      </c>
      <c r="AI470" s="543">
        <f t="shared" si="52"/>
        <v>146437.06756264932</v>
      </c>
      <c r="AJ470" s="543"/>
      <c r="AK470" s="300"/>
      <c r="AL470" s="543"/>
      <c r="AM470" s="10"/>
    </row>
    <row r="471" spans="1:39" s="11" customFormat="1" ht="13.8" hidden="1" x14ac:dyDescent="0.25">
      <c r="A471" s="11">
        <v>116</v>
      </c>
      <c r="B471" s="11">
        <f t="shared" si="40"/>
        <v>10</v>
      </c>
      <c r="C471" s="354">
        <f t="shared" si="29"/>
        <v>0</v>
      </c>
      <c r="D471" s="300">
        <f t="shared" si="31"/>
        <v>7100363.902889126</v>
      </c>
      <c r="E471" s="354">
        <f t="shared" si="41"/>
        <v>0.13400000000000001</v>
      </c>
      <c r="F471" s="354">
        <f t="shared" si="30"/>
        <v>0.03</v>
      </c>
      <c r="H471" s="436">
        <f t="shared" si="32"/>
        <v>48681.443692820918</v>
      </c>
      <c r="I471" s="302">
        <f t="shared" si="33"/>
        <v>0</v>
      </c>
      <c r="K471" s="426">
        <f t="shared" si="42"/>
        <v>66802.287800476552</v>
      </c>
      <c r="L471" s="10">
        <f t="shared" si="43"/>
        <v>66802.287800476552</v>
      </c>
      <c r="M471" s="436">
        <f t="shared" si="44"/>
        <v>66802.287800476552</v>
      </c>
      <c r="N471" s="301">
        <f t="shared" si="34"/>
        <v>18120.84410765563</v>
      </c>
      <c r="O471" s="302">
        <f t="shared" si="35"/>
        <v>66802.287800476508</v>
      </c>
      <c r="P471" s="436">
        <f t="shared" si="36"/>
        <v>0</v>
      </c>
      <c r="Q471" s="11">
        <f t="shared" si="45"/>
        <v>0</v>
      </c>
      <c r="R471" s="426">
        <f t="shared" si="46"/>
        <v>9678161.9497708883</v>
      </c>
      <c r="S471" s="354">
        <f>+Hirdetmény!$AA$46</f>
        <v>0.13400000000000001</v>
      </c>
      <c r="T471" s="302">
        <f t="shared" si="37"/>
        <v>35651.608961354403</v>
      </c>
      <c r="U471" s="302">
        <f t="shared" si="47"/>
        <v>109977.45860129493</v>
      </c>
      <c r="V471" s="302">
        <f t="shared" si="48"/>
        <v>145629.06756264932</v>
      </c>
      <c r="W471" s="302">
        <f t="shared" si="49"/>
        <v>145629.06756264932</v>
      </c>
      <c r="AA471" s="10">
        <f t="shared" si="50"/>
        <v>8077191.1574450238</v>
      </c>
      <c r="AB471" s="354">
        <f>+paraméterek!$B$346</f>
        <v>6.4600000000000005E-2</v>
      </c>
      <c r="AC471" s="302">
        <f t="shared" si="38"/>
        <v>45485.997867171427</v>
      </c>
      <c r="AD471" s="302">
        <f t="shared" si="53"/>
        <v>44334.399223404238</v>
      </c>
      <c r="AE471" s="302">
        <f t="shared" si="51"/>
        <v>89820.397090575658</v>
      </c>
      <c r="AF471" s="478">
        <f t="shared" si="39"/>
        <v>89820.397090575658</v>
      </c>
      <c r="AI471" s="543">
        <f t="shared" si="52"/>
        <v>146437.06756264932</v>
      </c>
      <c r="AJ471" s="543"/>
      <c r="AK471" s="300"/>
      <c r="AL471" s="543"/>
      <c r="AM471" s="10"/>
    </row>
    <row r="472" spans="1:39" s="11" customFormat="1" ht="13.8" hidden="1" x14ac:dyDescent="0.25">
      <c r="A472" s="11">
        <v>117</v>
      </c>
      <c r="B472" s="11">
        <f t="shared" si="40"/>
        <v>10</v>
      </c>
      <c r="C472" s="354">
        <f t="shared" si="29"/>
        <v>0</v>
      </c>
      <c r="D472" s="300">
        <f t="shared" si="31"/>
        <v>7051559.065259167</v>
      </c>
      <c r="E472" s="354">
        <f t="shared" si="41"/>
        <v>0.13400000000000001</v>
      </c>
      <c r="F472" s="354">
        <f t="shared" si="30"/>
        <v>0.03</v>
      </c>
      <c r="H472" s="436">
        <f t="shared" si="32"/>
        <v>48804.837629958958</v>
      </c>
      <c r="I472" s="302">
        <f t="shared" si="33"/>
        <v>0</v>
      </c>
      <c r="K472" s="426">
        <f t="shared" si="42"/>
        <v>66802.287800476537</v>
      </c>
      <c r="L472" s="10">
        <f t="shared" si="43"/>
        <v>66802.287800476537</v>
      </c>
      <c r="M472" s="436">
        <f t="shared" si="44"/>
        <v>66802.287800476537</v>
      </c>
      <c r="N472" s="301">
        <f t="shared" si="34"/>
        <v>17997.450170517579</v>
      </c>
      <c r="O472" s="302">
        <f t="shared" si="35"/>
        <v>66802.287800476508</v>
      </c>
      <c r="P472" s="436">
        <f t="shared" si="36"/>
        <v>0</v>
      </c>
      <c r="Q472" s="11">
        <f t="shared" si="45"/>
        <v>0</v>
      </c>
      <c r="R472" s="426">
        <f t="shared" si="46"/>
        <v>9642106.701875668</v>
      </c>
      <c r="S472" s="354">
        <f>+Hirdetmény!$AA$46</f>
        <v>0.13400000000000001</v>
      </c>
      <c r="T472" s="302">
        <f t="shared" si="37"/>
        <v>36055.247895220113</v>
      </c>
      <c r="U472" s="302">
        <f t="shared" si="47"/>
        <v>109573.81966742921</v>
      </c>
      <c r="V472" s="302">
        <f t="shared" si="48"/>
        <v>145629.06756264932</v>
      </c>
      <c r="W472" s="302">
        <f t="shared" si="49"/>
        <v>145629.06756264932</v>
      </c>
      <c r="AA472" s="10">
        <f t="shared" si="50"/>
        <v>8031456.8923686603</v>
      </c>
      <c r="AB472" s="354">
        <f>+paraméterek!$B$346</f>
        <v>6.4600000000000005E-2</v>
      </c>
      <c r="AC472" s="302">
        <f t="shared" si="38"/>
        <v>45734.265076363568</v>
      </c>
      <c r="AD472" s="302">
        <f t="shared" si="53"/>
        <v>44086.132014212089</v>
      </c>
      <c r="AE472" s="302">
        <f t="shared" si="51"/>
        <v>89820.397090575658</v>
      </c>
      <c r="AF472" s="478">
        <f t="shared" si="39"/>
        <v>89820.397090575658</v>
      </c>
      <c r="AI472" s="543">
        <f t="shared" si="52"/>
        <v>146437.06756264932</v>
      </c>
      <c r="AJ472" s="543"/>
      <c r="AK472" s="300"/>
      <c r="AL472" s="543"/>
      <c r="AM472" s="10"/>
    </row>
    <row r="473" spans="1:39" s="11" customFormat="1" ht="13.8" hidden="1" x14ac:dyDescent="0.25">
      <c r="A473" s="11">
        <v>118</v>
      </c>
      <c r="B473" s="11">
        <f t="shared" si="40"/>
        <v>10</v>
      </c>
      <c r="C473" s="354">
        <f t="shared" si="29"/>
        <v>0</v>
      </c>
      <c r="D473" s="300">
        <f t="shared" si="31"/>
        <v>7002630.5209227158</v>
      </c>
      <c r="E473" s="354">
        <f t="shared" si="41"/>
        <v>0.13400000000000001</v>
      </c>
      <c r="F473" s="354">
        <f t="shared" si="30"/>
        <v>0.03</v>
      </c>
      <c r="H473" s="436">
        <f t="shared" si="32"/>
        <v>48928.544336451574</v>
      </c>
      <c r="I473" s="302">
        <f t="shared" si="33"/>
        <v>0</v>
      </c>
      <c r="K473" s="426">
        <f t="shared" si="42"/>
        <v>66802.287800476537</v>
      </c>
      <c r="L473" s="10">
        <f t="shared" si="43"/>
        <v>66802.287800476537</v>
      </c>
      <c r="M473" s="436">
        <f t="shared" si="44"/>
        <v>66802.287800476537</v>
      </c>
      <c r="N473" s="301">
        <f t="shared" si="34"/>
        <v>17873.74346402497</v>
      </c>
      <c r="O473" s="302">
        <f t="shared" si="35"/>
        <v>66802.287800476508</v>
      </c>
      <c r="P473" s="436">
        <f t="shared" si="36"/>
        <v>0</v>
      </c>
      <c r="Q473" s="11">
        <f t="shared" si="45"/>
        <v>0</v>
      </c>
      <c r="R473" s="426">
        <f t="shared" si="46"/>
        <v>9605643.2451437451</v>
      </c>
      <c r="S473" s="354">
        <f>+Hirdetmény!$AA$46</f>
        <v>0.13400000000000001</v>
      </c>
      <c r="T473" s="302">
        <f t="shared" si="37"/>
        <v>36463.456731922699</v>
      </c>
      <c r="U473" s="302">
        <f t="shared" si="47"/>
        <v>109165.61083072661</v>
      </c>
      <c r="V473" s="302">
        <f t="shared" si="48"/>
        <v>145629.06756264932</v>
      </c>
      <c r="W473" s="302">
        <f t="shared" si="49"/>
        <v>145629.06756264932</v>
      </c>
      <c r="AA473" s="10">
        <f t="shared" si="50"/>
        <v>7985473.00501539</v>
      </c>
      <c r="AB473" s="354">
        <f>+paraméterek!$B$346</f>
        <v>6.4600000000000005E-2</v>
      </c>
      <c r="AC473" s="302">
        <f t="shared" si="38"/>
        <v>45983.887353269944</v>
      </c>
      <c r="AD473" s="302">
        <f t="shared" si="53"/>
        <v>43836.509737305707</v>
      </c>
      <c r="AE473" s="302">
        <f t="shared" si="51"/>
        <v>89820.397090575658</v>
      </c>
      <c r="AF473" s="478">
        <f t="shared" si="39"/>
        <v>89820.397090575658</v>
      </c>
      <c r="AI473" s="543">
        <f t="shared" si="52"/>
        <v>146437.06756264932</v>
      </c>
      <c r="AJ473" s="543"/>
      <c r="AK473" s="300"/>
      <c r="AL473" s="543"/>
      <c r="AM473" s="10"/>
    </row>
    <row r="474" spans="1:39" s="11" customFormat="1" ht="13.8" hidden="1" x14ac:dyDescent="0.25">
      <c r="A474" s="11">
        <v>119</v>
      </c>
      <c r="B474" s="11">
        <f t="shared" si="40"/>
        <v>10</v>
      </c>
      <c r="C474" s="354">
        <f t="shared" si="29"/>
        <v>0</v>
      </c>
      <c r="D474" s="300">
        <f t="shared" si="31"/>
        <v>6953577.9563176334</v>
      </c>
      <c r="E474" s="354">
        <f t="shared" si="41"/>
        <v>0.13400000000000001</v>
      </c>
      <c r="F474" s="354">
        <f t="shared" si="30"/>
        <v>0.03</v>
      </c>
      <c r="H474" s="436">
        <f t="shared" si="32"/>
        <v>49052.56460508216</v>
      </c>
      <c r="I474" s="302">
        <f t="shared" si="33"/>
        <v>0</v>
      </c>
      <c r="K474" s="426">
        <f t="shared" si="42"/>
        <v>66802.287800476537</v>
      </c>
      <c r="L474" s="10">
        <f t="shared" si="43"/>
        <v>66802.287800476537</v>
      </c>
      <c r="M474" s="436">
        <f t="shared" si="44"/>
        <v>66802.287800476537</v>
      </c>
      <c r="N474" s="301">
        <f t="shared" si="34"/>
        <v>17749.723195394385</v>
      </c>
      <c r="O474" s="302">
        <f t="shared" si="35"/>
        <v>66802.287800476508</v>
      </c>
      <c r="P474" s="436">
        <f t="shared" si="36"/>
        <v>0</v>
      </c>
      <c r="Q474" s="11">
        <f t="shared" si="45"/>
        <v>0</v>
      </c>
      <c r="R474" s="426">
        <f t="shared" si="46"/>
        <v>9568766.9579329435</v>
      </c>
      <c r="S474" s="354">
        <f>+Hirdetmény!$AA$46</f>
        <v>0.13400000000000001</v>
      </c>
      <c r="T474" s="302">
        <f t="shared" si="37"/>
        <v>36876.287210801951</v>
      </c>
      <c r="U474" s="302">
        <f t="shared" si="47"/>
        <v>108752.78035184737</v>
      </c>
      <c r="V474" s="302">
        <f t="shared" si="48"/>
        <v>145629.06756264932</v>
      </c>
      <c r="W474" s="302">
        <f t="shared" si="49"/>
        <v>145629.06756264932</v>
      </c>
      <c r="AA474" s="10">
        <f t="shared" si="50"/>
        <v>7939238.1329214014</v>
      </c>
      <c r="AB474" s="354">
        <f>+paraméterek!$B$346</f>
        <v>6.4600000000000005E-2</v>
      </c>
      <c r="AC474" s="302">
        <f t="shared" si="38"/>
        <v>46234.872093988168</v>
      </c>
      <c r="AD474" s="302">
        <f t="shared" si="53"/>
        <v>43585.524996587475</v>
      </c>
      <c r="AE474" s="302">
        <f t="shared" si="51"/>
        <v>89820.397090575643</v>
      </c>
      <c r="AF474" s="478">
        <f t="shared" si="39"/>
        <v>89820.397090575643</v>
      </c>
      <c r="AI474" s="543">
        <f t="shared" si="52"/>
        <v>146437.06756264932</v>
      </c>
      <c r="AJ474" s="543"/>
      <c r="AK474" s="300"/>
      <c r="AL474" s="543"/>
      <c r="AM474" s="10"/>
    </row>
    <row r="475" spans="1:39" s="11" customFormat="1" ht="13.8" hidden="1" x14ac:dyDescent="0.25">
      <c r="A475" s="11">
        <v>120</v>
      </c>
      <c r="B475" s="11">
        <f t="shared" si="40"/>
        <v>10</v>
      </c>
      <c r="C475" s="354">
        <f t="shared" si="29"/>
        <v>0</v>
      </c>
      <c r="D475" s="300">
        <f t="shared" si="31"/>
        <v>6904401.0570869893</v>
      </c>
      <c r="E475" s="354">
        <f t="shared" si="41"/>
        <v>0.13400000000000001</v>
      </c>
      <c r="F475" s="354">
        <f t="shared" si="30"/>
        <v>0.03</v>
      </c>
      <c r="H475" s="436">
        <f t="shared" si="32"/>
        <v>49176.899230643656</v>
      </c>
      <c r="I475" s="302">
        <f t="shared" si="33"/>
        <v>0</v>
      </c>
      <c r="K475" s="426">
        <f t="shared" si="42"/>
        <v>66802.287800476537</v>
      </c>
      <c r="L475" s="10">
        <f t="shared" si="43"/>
        <v>66802.287800476537</v>
      </c>
      <c r="M475" s="436">
        <f t="shared" si="44"/>
        <v>66802.287800476537</v>
      </c>
      <c r="N475" s="301">
        <f t="shared" si="34"/>
        <v>17625.388569832889</v>
      </c>
      <c r="O475" s="302">
        <f t="shared" si="35"/>
        <v>66802.287800476508</v>
      </c>
      <c r="P475" s="436">
        <f t="shared" si="36"/>
        <v>0</v>
      </c>
      <c r="Q475" s="11">
        <f t="shared" si="45"/>
        <v>0</v>
      </c>
      <c r="R475" s="426">
        <f t="shared" si="46"/>
        <v>9531473.166275965</v>
      </c>
      <c r="S475" s="354">
        <f>+Hirdetmény!$AA$46</f>
        <v>0.13400000000000001</v>
      </c>
      <c r="T475" s="302">
        <f t="shared" si="37"/>
        <v>37293.791656977955</v>
      </c>
      <c r="U475" s="302">
        <f t="shared" si="47"/>
        <v>108335.27590567137</v>
      </c>
      <c r="V475" s="302">
        <f t="shared" si="48"/>
        <v>145629.06756264932</v>
      </c>
      <c r="W475" s="302">
        <f t="shared" si="49"/>
        <v>145629.06756264932</v>
      </c>
      <c r="AA475" s="10">
        <f t="shared" si="50"/>
        <v>7892750.9061864167</v>
      </c>
      <c r="AB475" s="354">
        <f>+paraméterek!$B$346</f>
        <v>6.4600000000000005E-2</v>
      </c>
      <c r="AC475" s="302">
        <f t="shared" si="38"/>
        <v>46487.226734984506</v>
      </c>
      <c r="AD475" s="302">
        <f t="shared" si="53"/>
        <v>43333.170355591144</v>
      </c>
      <c r="AE475" s="302">
        <f t="shared" si="51"/>
        <v>89820.397090575658</v>
      </c>
      <c r="AF475" s="478">
        <f t="shared" si="39"/>
        <v>89820.397090575658</v>
      </c>
      <c r="AI475" s="543">
        <f t="shared" si="52"/>
        <v>146437.06756264932</v>
      </c>
      <c r="AJ475" s="543"/>
      <c r="AK475" s="300"/>
      <c r="AL475" s="543"/>
      <c r="AM475" s="10"/>
    </row>
    <row r="476" spans="1:39" s="11" customFormat="1" ht="13.8" hidden="1" x14ac:dyDescent="0.25">
      <c r="A476" s="11">
        <v>121</v>
      </c>
      <c r="B476" s="11">
        <f t="shared" si="40"/>
        <v>11</v>
      </c>
      <c r="C476" s="354">
        <f t="shared" si="29"/>
        <v>0</v>
      </c>
      <c r="D476" s="300">
        <f t="shared" si="31"/>
        <v>6855099.5080770459</v>
      </c>
      <c r="E476" s="354">
        <f t="shared" si="41"/>
        <v>0.13400000000000001</v>
      </c>
      <c r="F476" s="354">
        <f t="shared" si="30"/>
        <v>0.03</v>
      </c>
      <c r="H476" s="436">
        <f t="shared" si="32"/>
        <v>49301.549009943548</v>
      </c>
      <c r="I476" s="302">
        <f t="shared" si="33"/>
        <v>0</v>
      </c>
      <c r="K476" s="426">
        <f t="shared" si="42"/>
        <v>66802.287800476537</v>
      </c>
      <c r="L476" s="10">
        <f t="shared" si="43"/>
        <v>66802.287800476537</v>
      </c>
      <c r="M476" s="436">
        <f t="shared" si="44"/>
        <v>66802.287800476537</v>
      </c>
      <c r="N476" s="301">
        <f t="shared" si="34"/>
        <v>17500.738790532992</v>
      </c>
      <c r="O476" s="302">
        <f t="shared" si="35"/>
        <v>66802.287800476508</v>
      </c>
      <c r="P476" s="436">
        <f t="shared" si="36"/>
        <v>0</v>
      </c>
      <c r="Q476" s="11">
        <f t="shared" si="45"/>
        <v>0</v>
      </c>
      <c r="R476" s="426">
        <f t="shared" si="46"/>
        <v>9493757.1432879809</v>
      </c>
      <c r="S476" s="354">
        <f>+Hirdetmény!$AA$46</f>
        <v>0.13400000000000001</v>
      </c>
      <c r="T476" s="302">
        <f t="shared" si="37"/>
        <v>37716.022987983226</v>
      </c>
      <c r="U476" s="302">
        <f t="shared" si="47"/>
        <v>107913.04457466608</v>
      </c>
      <c r="V476" s="302">
        <f t="shared" si="48"/>
        <v>145629.06756264932</v>
      </c>
      <c r="W476" s="302">
        <f t="shared" si="49"/>
        <v>145629.06756264932</v>
      </c>
      <c r="AA476" s="10">
        <f t="shared" si="50"/>
        <v>7846009.9474331029</v>
      </c>
      <c r="AB476" s="354">
        <f>+paraméterek!$B$346</f>
        <v>6.4600000000000005E-2</v>
      </c>
      <c r="AC476" s="302">
        <f t="shared" si="38"/>
        <v>46740.958753314182</v>
      </c>
      <c r="AD476" s="302">
        <f t="shared" si="53"/>
        <v>43079.438337261468</v>
      </c>
      <c r="AE476" s="302">
        <f t="shared" si="51"/>
        <v>89820.397090575658</v>
      </c>
      <c r="AF476" s="478">
        <f t="shared" si="39"/>
        <v>89820.397090575658</v>
      </c>
      <c r="AI476" s="543">
        <f t="shared" si="52"/>
        <v>146437.06756264932</v>
      </c>
      <c r="AJ476" s="543"/>
      <c r="AK476" s="300"/>
      <c r="AL476" s="543"/>
      <c r="AM476" s="10"/>
    </row>
    <row r="477" spans="1:39" s="11" customFormat="1" ht="13.8" hidden="1" x14ac:dyDescent="0.25">
      <c r="A477" s="11">
        <v>122</v>
      </c>
      <c r="B477" s="11">
        <f t="shared" si="40"/>
        <v>11</v>
      </c>
      <c r="C477" s="354">
        <f t="shared" si="29"/>
        <v>0</v>
      </c>
      <c r="D477" s="300">
        <f t="shared" si="31"/>
        <v>6805672.9933352368</v>
      </c>
      <c r="E477" s="354">
        <f t="shared" si="41"/>
        <v>0.13400000000000001</v>
      </c>
      <c r="F477" s="354">
        <f t="shared" si="30"/>
        <v>0.03</v>
      </c>
      <c r="H477" s="436">
        <f t="shared" si="32"/>
        <v>49426.514741809027</v>
      </c>
      <c r="I477" s="302">
        <f t="shared" si="33"/>
        <v>0</v>
      </c>
      <c r="K477" s="426">
        <f t="shared" si="42"/>
        <v>66802.287800476537</v>
      </c>
      <c r="L477" s="10">
        <f t="shared" si="43"/>
        <v>66802.287800476537</v>
      </c>
      <c r="M477" s="436">
        <f t="shared" si="44"/>
        <v>66802.287800476537</v>
      </c>
      <c r="N477" s="301">
        <f t="shared" si="34"/>
        <v>17375.77305866751</v>
      </c>
      <c r="O477" s="302">
        <f t="shared" si="35"/>
        <v>66802.287800476508</v>
      </c>
      <c r="P477" s="436">
        <f t="shared" si="36"/>
        <v>0</v>
      </c>
      <c r="Q477" s="11">
        <f t="shared" si="45"/>
        <v>0</v>
      </c>
      <c r="R477" s="426">
        <f t="shared" si="46"/>
        <v>9455614.1085675117</v>
      </c>
      <c r="S477" s="354">
        <f>+Hirdetmény!$AA$46</f>
        <v>0.13400000000000001</v>
      </c>
      <c r="T477" s="302">
        <f t="shared" si="37"/>
        <v>38143.034720469848</v>
      </c>
      <c r="U477" s="302">
        <f t="shared" si="47"/>
        <v>107486.03284217944</v>
      </c>
      <c r="V477" s="302">
        <f t="shared" si="48"/>
        <v>145629.06756264929</v>
      </c>
      <c r="W477" s="302">
        <f t="shared" si="49"/>
        <v>145629.06756264929</v>
      </c>
      <c r="AA477" s="10">
        <f t="shared" si="50"/>
        <v>7799013.8717662599</v>
      </c>
      <c r="AB477" s="354">
        <f>+paraméterek!$B$346</f>
        <v>6.4600000000000005E-2</v>
      </c>
      <c r="AC477" s="302">
        <f t="shared" si="38"/>
        <v>46996.07566684296</v>
      </c>
      <c r="AD477" s="302">
        <f t="shared" si="53"/>
        <v>42824.321423732676</v>
      </c>
      <c r="AE477" s="302">
        <f t="shared" si="51"/>
        <v>89820.397090575629</v>
      </c>
      <c r="AF477" s="478">
        <f t="shared" si="39"/>
        <v>89820.397090575629</v>
      </c>
      <c r="AI477" s="543">
        <f t="shared" si="52"/>
        <v>146437.06756264929</v>
      </c>
      <c r="AJ477" s="543"/>
      <c r="AK477" s="300"/>
      <c r="AL477" s="543"/>
      <c r="AM477" s="10"/>
    </row>
    <row r="478" spans="1:39" s="11" customFormat="1" ht="13.8" hidden="1" x14ac:dyDescent="0.25">
      <c r="A478" s="11">
        <v>123</v>
      </c>
      <c r="B478" s="11">
        <f t="shared" si="40"/>
        <v>11</v>
      </c>
      <c r="C478" s="354">
        <f t="shared" si="29"/>
        <v>0</v>
      </c>
      <c r="D478" s="300">
        <f t="shared" si="31"/>
        <v>6756121.1961081447</v>
      </c>
      <c r="E478" s="354">
        <f t="shared" si="41"/>
        <v>0.13400000000000001</v>
      </c>
      <c r="F478" s="354">
        <f t="shared" si="30"/>
        <v>0.03</v>
      </c>
      <c r="H478" s="436">
        <f t="shared" si="32"/>
        <v>49551.797227092095</v>
      </c>
      <c r="I478" s="302">
        <f t="shared" si="33"/>
        <v>0</v>
      </c>
      <c r="K478" s="426">
        <f t="shared" si="42"/>
        <v>66802.287800476552</v>
      </c>
      <c r="L478" s="10">
        <f t="shared" si="43"/>
        <v>66802.287800476552</v>
      </c>
      <c r="M478" s="436">
        <f t="shared" si="44"/>
        <v>66802.287800476552</v>
      </c>
      <c r="N478" s="301">
        <f t="shared" si="34"/>
        <v>17250.490573384453</v>
      </c>
      <c r="O478" s="302">
        <f t="shared" si="35"/>
        <v>66802.287800476508</v>
      </c>
      <c r="P478" s="436">
        <f t="shared" si="36"/>
        <v>0</v>
      </c>
      <c r="Q478" s="11">
        <f t="shared" si="45"/>
        <v>0</v>
      </c>
      <c r="R478" s="426">
        <f t="shared" si="46"/>
        <v>9417039.2275905199</v>
      </c>
      <c r="S478" s="354">
        <f>+Hirdetmény!$AA$46</f>
        <v>0.13400000000000001</v>
      </c>
      <c r="T478" s="302">
        <f t="shared" si="37"/>
        <v>38574.880976992587</v>
      </c>
      <c r="U478" s="302">
        <f t="shared" si="47"/>
        <v>107054.18658565672</v>
      </c>
      <c r="V478" s="302">
        <f t="shared" si="48"/>
        <v>145629.06756264932</v>
      </c>
      <c r="W478" s="302">
        <f t="shared" si="49"/>
        <v>145629.06756264932</v>
      </c>
      <c r="AA478" s="10">
        <f t="shared" si="50"/>
        <v>7751761.2867317898</v>
      </c>
      <c r="AB478" s="354">
        <f>+paraméterek!$B$346</f>
        <v>6.4600000000000005E-2</v>
      </c>
      <c r="AC478" s="302">
        <f t="shared" si="38"/>
        <v>47252.585034469936</v>
      </c>
      <c r="AD478" s="302">
        <f t="shared" si="53"/>
        <v>42567.812056105715</v>
      </c>
      <c r="AE478" s="302">
        <f t="shared" si="51"/>
        <v>89820.397090575658</v>
      </c>
      <c r="AF478" s="478">
        <f t="shared" si="39"/>
        <v>89820.397090575658</v>
      </c>
      <c r="AI478" s="543">
        <f t="shared" si="52"/>
        <v>146437.06756264932</v>
      </c>
      <c r="AJ478" s="543"/>
      <c r="AK478" s="300"/>
      <c r="AL478" s="543"/>
      <c r="AM478" s="10"/>
    </row>
    <row r="479" spans="1:39" s="11" customFormat="1" ht="13.8" hidden="1" x14ac:dyDescent="0.25">
      <c r="A479" s="11">
        <v>124</v>
      </c>
      <c r="B479" s="11">
        <f t="shared" si="40"/>
        <v>11</v>
      </c>
      <c r="C479" s="354">
        <f t="shared" si="29"/>
        <v>0</v>
      </c>
      <c r="D479" s="300">
        <f t="shared" si="31"/>
        <v>6706443.7988394704</v>
      </c>
      <c r="E479" s="354">
        <f t="shared" si="41"/>
        <v>0.13400000000000001</v>
      </c>
      <c r="F479" s="354">
        <f t="shared" si="30"/>
        <v>0.03</v>
      </c>
      <c r="H479" s="436">
        <f t="shared" si="32"/>
        <v>49677.397268674642</v>
      </c>
      <c r="I479" s="302">
        <f t="shared" si="33"/>
        <v>0</v>
      </c>
      <c r="K479" s="426">
        <f t="shared" si="42"/>
        <v>66802.287800476537</v>
      </c>
      <c r="L479" s="10">
        <f t="shared" si="43"/>
        <v>66802.287800476537</v>
      </c>
      <c r="M479" s="436">
        <f t="shared" si="44"/>
        <v>66802.287800476537</v>
      </c>
      <c r="N479" s="301">
        <f t="shared" si="34"/>
        <v>17124.890531801895</v>
      </c>
      <c r="O479" s="302">
        <f t="shared" si="35"/>
        <v>66802.287800476508</v>
      </c>
      <c r="P479" s="436">
        <f t="shared" si="36"/>
        <v>0</v>
      </c>
      <c r="Q479" s="11">
        <f t="shared" si="45"/>
        <v>0</v>
      </c>
      <c r="R479" s="426">
        <f t="shared" si="46"/>
        <v>9378027.6110976506</v>
      </c>
      <c r="S479" s="354">
        <f>+Hirdetmény!$AA$46</f>
        <v>0.13400000000000001</v>
      </c>
      <c r="T479" s="302">
        <f t="shared" si="37"/>
        <v>39011.616492868678</v>
      </c>
      <c r="U479" s="302">
        <f t="shared" si="47"/>
        <v>106617.45106978065</v>
      </c>
      <c r="V479" s="302">
        <f t="shared" si="48"/>
        <v>145629.06756264932</v>
      </c>
      <c r="W479" s="302">
        <f t="shared" si="49"/>
        <v>145629.06756264932</v>
      </c>
      <c r="AA479" s="10">
        <f t="shared" si="50"/>
        <v>7704250.7922754381</v>
      </c>
      <c r="AB479" s="354">
        <f>+paraméterek!$B$346</f>
        <v>6.4600000000000005E-2</v>
      </c>
      <c r="AC479" s="302">
        <f t="shared" si="38"/>
        <v>47510.494456351364</v>
      </c>
      <c r="AD479" s="302">
        <f t="shared" si="53"/>
        <v>42309.90263422428</v>
      </c>
      <c r="AE479" s="302">
        <f t="shared" si="51"/>
        <v>89820.397090575643</v>
      </c>
      <c r="AF479" s="478">
        <f t="shared" si="39"/>
        <v>89820.397090575643</v>
      </c>
      <c r="AI479" s="543">
        <f t="shared" si="52"/>
        <v>146437.06756264932</v>
      </c>
      <c r="AJ479" s="543"/>
      <c r="AK479" s="300"/>
      <c r="AL479" s="543"/>
      <c r="AM479" s="10"/>
    </row>
    <row r="480" spans="1:39" s="11" customFormat="1" ht="13.8" hidden="1" x14ac:dyDescent="0.25">
      <c r="A480" s="11">
        <v>125</v>
      </c>
      <c r="B480" s="11">
        <f t="shared" si="40"/>
        <v>11</v>
      </c>
      <c r="C480" s="354">
        <f t="shared" si="29"/>
        <v>0</v>
      </c>
      <c r="D480" s="300">
        <f t="shared" si="31"/>
        <v>6656640.4831679966</v>
      </c>
      <c r="E480" s="354">
        <f t="shared" si="41"/>
        <v>0.13400000000000001</v>
      </c>
      <c r="F480" s="354">
        <f t="shared" si="30"/>
        <v>0.03</v>
      </c>
      <c r="H480" s="436">
        <f t="shared" si="32"/>
        <v>49803.315671473712</v>
      </c>
      <c r="I480" s="302">
        <f t="shared" si="33"/>
        <v>0</v>
      </c>
      <c r="K480" s="426">
        <f t="shared" si="42"/>
        <v>66802.287800476537</v>
      </c>
      <c r="L480" s="10">
        <f t="shared" si="43"/>
        <v>66802.287800476537</v>
      </c>
      <c r="M480" s="436">
        <f t="shared" si="44"/>
        <v>66802.287800476537</v>
      </c>
      <c r="N480" s="301">
        <f t="shared" si="34"/>
        <v>16998.972129002821</v>
      </c>
      <c r="O480" s="302">
        <f t="shared" si="35"/>
        <v>66802.287800476508</v>
      </c>
      <c r="P480" s="436">
        <f t="shared" si="36"/>
        <v>0</v>
      </c>
      <c r="Q480" s="11">
        <f t="shared" si="45"/>
        <v>0</v>
      </c>
      <c r="R480" s="426">
        <f t="shared" si="46"/>
        <v>9338574.3144745342</v>
      </c>
      <c r="S480" s="354">
        <f>+Hirdetmény!$AA$46</f>
        <v>0.13400000000000001</v>
      </c>
      <c r="T480" s="302">
        <f t="shared" si="37"/>
        <v>39453.296623115486</v>
      </c>
      <c r="U480" s="302">
        <f t="shared" si="47"/>
        <v>106175.77093953383</v>
      </c>
      <c r="V480" s="302">
        <f t="shared" si="48"/>
        <v>145629.06756264932</v>
      </c>
      <c r="W480" s="302">
        <f t="shared" si="49"/>
        <v>145629.06756264932</v>
      </c>
      <c r="AA480" s="10">
        <f t="shared" si="50"/>
        <v>7656480.9807013124</v>
      </c>
      <c r="AB480" s="354">
        <f>+paraméterek!$B$346</f>
        <v>6.4600000000000005E-2</v>
      </c>
      <c r="AC480" s="302">
        <f t="shared" si="38"/>
        <v>47769.811574125968</v>
      </c>
      <c r="AD480" s="302">
        <f t="shared" si="53"/>
        <v>42050.585516449668</v>
      </c>
      <c r="AE480" s="302">
        <f t="shared" si="51"/>
        <v>89820.397090575629</v>
      </c>
      <c r="AF480" s="478">
        <f t="shared" si="39"/>
        <v>89820.397090575629</v>
      </c>
      <c r="AI480" s="543">
        <f t="shared" si="52"/>
        <v>146437.06756264932</v>
      </c>
      <c r="AJ480" s="543"/>
      <c r="AK480" s="300"/>
      <c r="AL480" s="543"/>
      <c r="AM480" s="10"/>
    </row>
    <row r="481" spans="1:39" s="11" customFormat="1" ht="13.8" hidden="1" x14ac:dyDescent="0.25">
      <c r="A481" s="11">
        <v>126</v>
      </c>
      <c r="B481" s="11">
        <f t="shared" si="40"/>
        <v>11</v>
      </c>
      <c r="C481" s="354">
        <f t="shared" si="29"/>
        <v>0</v>
      </c>
      <c r="D481" s="300">
        <f t="shared" si="31"/>
        <v>6606710.9299255498</v>
      </c>
      <c r="E481" s="354">
        <f t="shared" si="41"/>
        <v>0.13400000000000001</v>
      </c>
      <c r="F481" s="354">
        <f t="shared" si="30"/>
        <v>0.03</v>
      </c>
      <c r="H481" s="436">
        <f t="shared" si="32"/>
        <v>49929.553242446549</v>
      </c>
      <c r="I481" s="302">
        <f t="shared" si="33"/>
        <v>0</v>
      </c>
      <c r="K481" s="426">
        <f t="shared" si="42"/>
        <v>66802.287800476537</v>
      </c>
      <c r="L481" s="10">
        <f t="shared" si="43"/>
        <v>66802.287800476537</v>
      </c>
      <c r="M481" s="436">
        <f t="shared" si="44"/>
        <v>66802.287800476537</v>
      </c>
      <c r="N481" s="301">
        <f t="shared" si="34"/>
        <v>16872.734558029992</v>
      </c>
      <c r="O481" s="302">
        <f t="shared" si="35"/>
        <v>66802.287800476508</v>
      </c>
      <c r="P481" s="436">
        <f t="shared" si="36"/>
        <v>0</v>
      </c>
      <c r="Q481" s="11">
        <f t="shared" si="45"/>
        <v>0</v>
      </c>
      <c r="R481" s="426">
        <f t="shared" si="46"/>
        <v>9298674.3371250685</v>
      </c>
      <c r="S481" s="354">
        <f>+Hirdetmény!$AA$46</f>
        <v>0.13400000000000001</v>
      </c>
      <c r="T481" s="302">
        <f t="shared" si="37"/>
        <v>39899.977349466542</v>
      </c>
      <c r="U481" s="302">
        <f t="shared" si="47"/>
        <v>105729.09021318276</v>
      </c>
      <c r="V481" s="302">
        <f t="shared" si="48"/>
        <v>145629.06756264932</v>
      </c>
      <c r="W481" s="302">
        <f t="shared" si="49"/>
        <v>145629.06756264932</v>
      </c>
      <c r="AA481" s="10">
        <f t="shared" si="50"/>
        <v>7608450.4366301708</v>
      </c>
      <c r="AB481" s="354">
        <f>+paraméterek!$B$346</f>
        <v>6.4600000000000005E-2</v>
      </c>
      <c r="AC481" s="302">
        <f t="shared" si="38"/>
        <v>48030.544071141325</v>
      </c>
      <c r="AD481" s="302">
        <f t="shared" si="53"/>
        <v>41789.853019434318</v>
      </c>
      <c r="AE481" s="302">
        <f t="shared" si="51"/>
        <v>89820.397090575643</v>
      </c>
      <c r="AF481" s="478">
        <f t="shared" si="39"/>
        <v>89820.397090575643</v>
      </c>
      <c r="AI481" s="543">
        <f t="shared" si="52"/>
        <v>146437.06756264932</v>
      </c>
      <c r="AJ481" s="543"/>
      <c r="AK481" s="300"/>
      <c r="AL481" s="543"/>
      <c r="AM481" s="10"/>
    </row>
    <row r="482" spans="1:39" s="11" customFormat="1" ht="13.8" hidden="1" x14ac:dyDescent="0.25">
      <c r="A482" s="11">
        <v>127</v>
      </c>
      <c r="B482" s="11">
        <f t="shared" si="40"/>
        <v>11</v>
      </c>
      <c r="C482" s="354">
        <f t="shared" si="29"/>
        <v>0</v>
      </c>
      <c r="D482" s="300">
        <f t="shared" si="31"/>
        <v>6556654.8191349544</v>
      </c>
      <c r="E482" s="354">
        <f t="shared" si="41"/>
        <v>0.13400000000000001</v>
      </c>
      <c r="F482" s="354">
        <f t="shared" si="30"/>
        <v>0.03</v>
      </c>
      <c r="H482" s="436">
        <f t="shared" si="32"/>
        <v>50056.110790595812</v>
      </c>
      <c r="I482" s="302">
        <f t="shared" si="33"/>
        <v>0</v>
      </c>
      <c r="K482" s="426">
        <f t="shared" si="42"/>
        <v>66802.287800476537</v>
      </c>
      <c r="L482" s="10">
        <f t="shared" si="43"/>
        <v>66802.287800476537</v>
      </c>
      <c r="M482" s="436">
        <f t="shared" si="44"/>
        <v>66802.287800476537</v>
      </c>
      <c r="N482" s="301">
        <f t="shared" si="34"/>
        <v>16746.177009880732</v>
      </c>
      <c r="O482" s="302">
        <f t="shared" si="35"/>
        <v>66802.287800476508</v>
      </c>
      <c r="P482" s="436">
        <f t="shared" si="36"/>
        <v>0</v>
      </c>
      <c r="Q482" s="11">
        <f t="shared" si="45"/>
        <v>0</v>
      </c>
      <c r="R482" s="426">
        <f t="shared" si="46"/>
        <v>9258322.6218376011</v>
      </c>
      <c r="S482" s="354">
        <f>+Hirdetmény!$AA$46</f>
        <v>0.13400000000000001</v>
      </c>
      <c r="T482" s="302">
        <f t="shared" si="37"/>
        <v>40351.715287467086</v>
      </c>
      <c r="U482" s="302">
        <f t="shared" si="47"/>
        <v>105277.3522751822</v>
      </c>
      <c r="V482" s="302">
        <f t="shared" si="48"/>
        <v>145629.06756264929</v>
      </c>
      <c r="W482" s="302">
        <f t="shared" si="49"/>
        <v>145629.06756264929</v>
      </c>
      <c r="AA482" s="10">
        <f t="shared" si="50"/>
        <v>7560157.7369574895</v>
      </c>
      <c r="AB482" s="354">
        <f>+paraméterek!$B$346</f>
        <v>6.4600000000000005E-2</v>
      </c>
      <c r="AC482" s="302">
        <f t="shared" si="38"/>
        <v>48292.699672681476</v>
      </c>
      <c r="AD482" s="302">
        <f t="shared" si="53"/>
        <v>41527.697417894167</v>
      </c>
      <c r="AE482" s="302">
        <f t="shared" si="51"/>
        <v>89820.397090575643</v>
      </c>
      <c r="AF482" s="478">
        <f t="shared" si="39"/>
        <v>89820.397090575643</v>
      </c>
      <c r="AI482" s="543">
        <f t="shared" si="52"/>
        <v>146437.06756264929</v>
      </c>
      <c r="AJ482" s="543"/>
      <c r="AK482" s="300"/>
      <c r="AL482" s="543"/>
      <c r="AM482" s="10"/>
    </row>
    <row r="483" spans="1:39" s="11" customFormat="1" ht="13.8" hidden="1" x14ac:dyDescent="0.25">
      <c r="A483" s="11">
        <v>128</v>
      </c>
      <c r="B483" s="11">
        <f t="shared" si="40"/>
        <v>11</v>
      </c>
      <c r="C483" s="354">
        <f t="shared" ref="C483:C546" si="54">aktualisbubor</f>
        <v>0</v>
      </c>
      <c r="D483" s="300">
        <f t="shared" si="31"/>
        <v>6506471.8300079796</v>
      </c>
      <c r="E483" s="354">
        <f t="shared" si="41"/>
        <v>0.13400000000000001</v>
      </c>
      <c r="F483" s="354">
        <f t="shared" ref="F483:F546" si="55">$N$292</f>
        <v>0.03</v>
      </c>
      <c r="H483" s="436">
        <f t="shared" si="32"/>
        <v>50182.989126974753</v>
      </c>
      <c r="I483" s="302">
        <f t="shared" si="33"/>
        <v>0</v>
      </c>
      <c r="K483" s="426">
        <f t="shared" si="42"/>
        <v>66802.287800476552</v>
      </c>
      <c r="L483" s="10">
        <f t="shared" si="43"/>
        <v>66802.287800476552</v>
      </c>
      <c r="M483" s="436">
        <f t="shared" si="44"/>
        <v>66802.287800476552</v>
      </c>
      <c r="N483" s="301">
        <f t="shared" si="34"/>
        <v>16619.298673501798</v>
      </c>
      <c r="O483" s="302">
        <f t="shared" si="35"/>
        <v>66802.287800476508</v>
      </c>
      <c r="P483" s="436">
        <f t="shared" si="36"/>
        <v>0</v>
      </c>
      <c r="Q483" s="11">
        <f t="shared" si="45"/>
        <v>0</v>
      </c>
      <c r="R483" s="426">
        <f t="shared" si="46"/>
        <v>9217514.0541439503</v>
      </c>
      <c r="S483" s="354">
        <f>+Hirdetmény!$AA$46</f>
        <v>0.13400000000000001</v>
      </c>
      <c r="T483" s="302">
        <f t="shared" si="37"/>
        <v>40808.567693649966</v>
      </c>
      <c r="U483" s="302">
        <f t="shared" si="47"/>
        <v>104820.49986899934</v>
      </c>
      <c r="V483" s="302">
        <f t="shared" si="48"/>
        <v>145629.06756264932</v>
      </c>
      <c r="W483" s="302">
        <f t="shared" si="49"/>
        <v>145629.06756264932</v>
      </c>
      <c r="AA483" s="10">
        <f t="shared" si="50"/>
        <v>7511601.4508112939</v>
      </c>
      <c r="AB483" s="354">
        <f>+paraméterek!$B$346</f>
        <v>6.4600000000000005E-2</v>
      </c>
      <c r="AC483" s="302">
        <f t="shared" si="38"/>
        <v>48556.286146195867</v>
      </c>
      <c r="AD483" s="302">
        <f t="shared" si="53"/>
        <v>41264.110944379783</v>
      </c>
      <c r="AE483" s="302">
        <f t="shared" si="51"/>
        <v>89820.397090575658</v>
      </c>
      <c r="AF483" s="478">
        <f t="shared" si="39"/>
        <v>89820.397090575658</v>
      </c>
      <c r="AI483" s="543">
        <f t="shared" si="52"/>
        <v>146437.06756264932</v>
      </c>
      <c r="AJ483" s="543"/>
      <c r="AK483" s="300"/>
      <c r="AL483" s="543"/>
      <c r="AM483" s="10"/>
    </row>
    <row r="484" spans="1:39" s="11" customFormat="1" ht="13.8" hidden="1" x14ac:dyDescent="0.25">
      <c r="A484" s="11">
        <v>129</v>
      </c>
      <c r="B484" s="11">
        <f t="shared" si="40"/>
        <v>11</v>
      </c>
      <c r="C484" s="354">
        <f t="shared" si="54"/>
        <v>0</v>
      </c>
      <c r="D484" s="300">
        <f t="shared" ref="D484:D547" si="56">+D483-H484-I484</f>
        <v>6456161.6409432869</v>
      </c>
      <c r="E484" s="354">
        <f t="shared" si="41"/>
        <v>0.13400000000000001</v>
      </c>
      <c r="F484" s="354">
        <f t="shared" si="55"/>
        <v>0.03</v>
      </c>
      <c r="H484" s="436">
        <f t="shared" ref="H484:H547" si="57">IF(A484&lt;=$E$295,0,IF(A484&lt;=$K$5,PPMT(F484/360*(365/12),A484-$E$295,$K$5-$E$295,-$D$355),0))</f>
        <v>50310.189064692437</v>
      </c>
      <c r="I484" s="302">
        <f t="shared" ref="I484:I547" si="58">+IF(A484=$K$5,$K$11,0)</f>
        <v>0</v>
      </c>
      <c r="K484" s="426">
        <f t="shared" si="42"/>
        <v>66802.287800476552</v>
      </c>
      <c r="L484" s="10">
        <f t="shared" si="43"/>
        <v>66802.287800476552</v>
      </c>
      <c r="M484" s="436">
        <f t="shared" si="44"/>
        <v>66802.287800476552</v>
      </c>
      <c r="N484" s="301">
        <f t="shared" ref="N484:N547" si="59">+D483*F484/360*(365/12)</f>
        <v>16492.098735784115</v>
      </c>
      <c r="O484" s="302">
        <f t="shared" ref="O484:O547" si="60">IF(A484&lt;=$K$5,PMT($N$292*365/360/12,$K$5,-$N$18)+P484+Q484+$N$27)+IF($K$6="nem",$E$29,IF(A483&lt;$E$295+1,$E$28,$E$29))</f>
        <v>66802.287800476508</v>
      </c>
      <c r="P484" s="436">
        <f t="shared" ref="P484:P547" si="61">IF(A484&lt;=$K$5,$E$25,0)</f>
        <v>0</v>
      </c>
      <c r="Q484" s="11">
        <f t="shared" si="45"/>
        <v>0</v>
      </c>
      <c r="R484" s="426">
        <f t="shared" si="46"/>
        <v>9176243.4616711568</v>
      </c>
      <c r="S484" s="354">
        <f>+Hirdetmény!$AA$46</f>
        <v>0.13400000000000001</v>
      </c>
      <c r="T484" s="302">
        <f t="shared" ref="T484:T547" si="62">IF(A484&lt;=$K$5,IF(A484&gt;$E$295,PPMT(S484/360*(365/12),1,$K$5-A483,R483,$K$11*-1),0)*-1,0)</f>
        <v>41270.592472792661</v>
      </c>
      <c r="U484" s="302">
        <f t="shared" si="47"/>
        <v>104358.47508985663</v>
      </c>
      <c r="V484" s="302">
        <f t="shared" si="48"/>
        <v>145629.06756264929</v>
      </c>
      <c r="W484" s="302">
        <f t="shared" si="49"/>
        <v>145629.06756264929</v>
      </c>
      <c r="AA484" s="10">
        <f t="shared" si="50"/>
        <v>7462780.1395097645</v>
      </c>
      <c r="AB484" s="354">
        <f>+paraméterek!$B$346</f>
        <v>6.4600000000000005E-2</v>
      </c>
      <c r="AC484" s="302">
        <f t="shared" ref="AC484:AC547" si="63">IF(A484&lt;=$K$5,IF(A484&gt;$E$295,PPMT(AB484/360*(365/12),1,$K$5-A483,AA483,$K$11*-1),0)*-1,0)</f>
        <v>48821.311301529466</v>
      </c>
      <c r="AD484" s="302">
        <f t="shared" si="53"/>
        <v>40999.085789046185</v>
      </c>
      <c r="AE484" s="302">
        <f t="shared" si="51"/>
        <v>89820.397090575658</v>
      </c>
      <c r="AF484" s="478">
        <f t="shared" ref="AF484:AF547" si="64">+AE484+IF($K$6="nem",$E$29,IF(A484&lt;$E$295+1,$E$28,$E$29)+IF(A484&lt;=$K$5,$E$25+Q484+$N$27,0))</f>
        <v>89820.397090575658</v>
      </c>
      <c r="AI484" s="543">
        <f t="shared" si="52"/>
        <v>146437.06756264929</v>
      </c>
      <c r="AJ484" s="543"/>
      <c r="AK484" s="300"/>
      <c r="AL484" s="543"/>
      <c r="AM484" s="10"/>
    </row>
    <row r="485" spans="1:39" s="11" customFormat="1" ht="13.8" hidden="1" x14ac:dyDescent="0.25">
      <c r="A485" s="11">
        <v>130</v>
      </c>
      <c r="B485" s="11">
        <f t="shared" ref="B485:B548" si="65">+ROUNDUP(A485/12,0)</f>
        <v>11</v>
      </c>
      <c r="C485" s="354">
        <f t="shared" si="54"/>
        <v>0</v>
      </c>
      <c r="D485" s="300">
        <f t="shared" si="56"/>
        <v>6405723.9295243677</v>
      </c>
      <c r="E485" s="354">
        <f t="shared" ref="E485:E548" si="66">E484</f>
        <v>0.13400000000000001</v>
      </c>
      <c r="F485" s="354">
        <f t="shared" si="55"/>
        <v>0.03</v>
      </c>
      <c r="H485" s="436">
        <f t="shared" si="57"/>
        <v>50437.711418918901</v>
      </c>
      <c r="I485" s="302">
        <f t="shared" si="58"/>
        <v>0</v>
      </c>
      <c r="K485" s="426">
        <f t="shared" ref="K485:K548" si="67">+(H485+N485)+IF($K$6="nem",$E$29,IF(A485&lt;$E$295+1,$E$28,$E$29)+P485)+Q485+$N$27+I485</f>
        <v>66802.287800476537</v>
      </c>
      <c r="L485" s="10">
        <f t="shared" ref="L485:L548" si="68">K485</f>
        <v>66802.287800476537</v>
      </c>
      <c r="M485" s="436">
        <f t="shared" ref="M485:M548" si="69">H485+N485</f>
        <v>66802.287800476537</v>
      </c>
      <c r="N485" s="301">
        <f t="shared" si="59"/>
        <v>16364.576381557639</v>
      </c>
      <c r="O485" s="302">
        <f t="shared" si="60"/>
        <v>66802.287800476508</v>
      </c>
      <c r="P485" s="436">
        <f t="shared" si="61"/>
        <v>0</v>
      </c>
      <c r="Q485" s="11">
        <f t="shared" ref="Q485:Q548" si="70">IF(A485&gt;$K$5,0,+IF($K$25="havi",$K$23,0)+IF($K$25="negyedéves",$K$23,0)+IF($K$25="féléves",$K$23,0)+IF($K$25="éves",$K$23,0)+IF($E$223="havi",$E$221,0)+IF($E$223="negyedéves",$E$221,0)+IF($E$223="féléves",$E$221,0)+IF($E$223="éves",$E$221,0)+IF($H$223="havi",$H$221,0)+IF($H$223="negyedéves",$H$221,0)+IF($H$223="féléves",$H$221,0)+IF($H$223="éves",$H$221,0)+IF($K$223="havi",$K$221,0)+IF($K$223="negyedéves",$K$221,0)+IF($K$223="féléves",$K$221,0)+IF($K$223="éves",$K$221,0)+IF($N$223="havi",$N$221,0)+IF($N$223="negyedéves",$N$221,0)+IF($N$223="féléves",$N$221,0)+IF($N$223="éves",$N$221,0))</f>
        <v>0</v>
      </c>
      <c r="R485" s="426">
        <f t="shared" ref="R485:R548" si="71">+R484-T485</f>
        <v>9134505.6134859007</v>
      </c>
      <c r="S485" s="354">
        <f>+Hirdetmény!$AA$46</f>
        <v>0.13400000000000001</v>
      </c>
      <c r="T485" s="302">
        <f t="shared" si="62"/>
        <v>41737.848185256611</v>
      </c>
      <c r="U485" s="302">
        <f t="shared" ref="U485:U548" si="72">+R484*S485/360*(365/12)</f>
        <v>103891.21937739267</v>
      </c>
      <c r="V485" s="302">
        <f t="shared" ref="V485:V548" si="73">+T485+U485</f>
        <v>145629.06756264929</v>
      </c>
      <c r="W485" s="302">
        <f t="shared" ref="W485:W548" si="74">+V485+IF($K$6="nem",$E$29,IF(A485&lt;$E$295+1,$E$28,$E$29))+IF(A485&lt;=$K$5,$E$25+Q485+$N$27,0)</f>
        <v>145629.06756264929</v>
      </c>
      <c r="AA485" s="10">
        <f t="shared" ref="AA485:AA548" si="75">+AA484-AC485</f>
        <v>7413692.3565186104</v>
      </c>
      <c r="AB485" s="354">
        <f>+paraméterek!$B$346</f>
        <v>6.4600000000000005E-2</v>
      </c>
      <c r="AC485" s="302">
        <f t="shared" si="63"/>
        <v>49087.782991154178</v>
      </c>
      <c r="AD485" s="302">
        <f t="shared" si="53"/>
        <v>40732.614099421473</v>
      </c>
      <c r="AE485" s="302">
        <f t="shared" ref="AE485:AE548" si="76">+AC485+AD485</f>
        <v>89820.397090575658</v>
      </c>
      <c r="AF485" s="478">
        <f t="shared" si="64"/>
        <v>89820.397090575658</v>
      </c>
      <c r="AI485" s="543">
        <f t="shared" ref="AI485:AI548" si="77">+V485+IF($K$6="nem",$E$29,IF(A485&lt;$E$295+1,$E$28,$E$29)+P485)+IF(A485&gt;$K$5,0,IF($E$221=0,$E$222,$E$221)+$N$27)+I485</f>
        <v>146437.06756264929</v>
      </c>
      <c r="AJ485" s="543"/>
      <c r="AK485" s="300"/>
      <c r="AL485" s="543"/>
      <c r="AM485" s="10"/>
    </row>
    <row r="486" spans="1:39" s="11" customFormat="1" ht="13.8" hidden="1" x14ac:dyDescent="0.25">
      <c r="A486" s="11">
        <v>131</v>
      </c>
      <c r="B486" s="11">
        <f t="shared" si="65"/>
        <v>11</v>
      </c>
      <c r="C486" s="354">
        <f t="shared" si="54"/>
        <v>0</v>
      </c>
      <c r="D486" s="300">
        <f t="shared" si="56"/>
        <v>6355158.3725174768</v>
      </c>
      <c r="E486" s="354">
        <f t="shared" si="66"/>
        <v>0.13400000000000001</v>
      </c>
      <c r="F486" s="354">
        <f t="shared" si="55"/>
        <v>0.03</v>
      </c>
      <c r="H486" s="436">
        <f t="shared" si="57"/>
        <v>50565.557006890471</v>
      </c>
      <c r="I486" s="302">
        <f t="shared" si="58"/>
        <v>0</v>
      </c>
      <c r="K486" s="426">
        <f t="shared" si="67"/>
        <v>66802.287800476537</v>
      </c>
      <c r="L486" s="10">
        <f t="shared" si="68"/>
        <v>66802.287800476537</v>
      </c>
      <c r="M486" s="436">
        <f t="shared" si="69"/>
        <v>66802.287800476537</v>
      </c>
      <c r="N486" s="301">
        <f t="shared" si="59"/>
        <v>16236.730793586072</v>
      </c>
      <c r="O486" s="302">
        <f t="shared" si="60"/>
        <v>66802.287800476508</v>
      </c>
      <c r="P486" s="436">
        <f t="shared" si="61"/>
        <v>0</v>
      </c>
      <c r="Q486" s="11">
        <f t="shared" si="70"/>
        <v>0</v>
      </c>
      <c r="R486" s="426">
        <f t="shared" si="71"/>
        <v>9092295.2194314916</v>
      </c>
      <c r="S486" s="354">
        <f>+Hirdetmény!$AA$46</f>
        <v>0.13400000000000001</v>
      </c>
      <c r="T486" s="302">
        <f t="shared" si="62"/>
        <v>42210.394054409589</v>
      </c>
      <c r="U486" s="302">
        <f t="shared" si="72"/>
        <v>103418.67350823971</v>
      </c>
      <c r="V486" s="302">
        <f t="shared" si="73"/>
        <v>145629.06756264929</v>
      </c>
      <c r="W486" s="302">
        <f t="shared" si="74"/>
        <v>145629.06756264929</v>
      </c>
      <c r="AA486" s="10">
        <f t="shared" si="75"/>
        <v>7364336.6474082088</v>
      </c>
      <c r="AB486" s="354">
        <f>+paraméterek!$B$346</f>
        <v>6.4600000000000005E-2</v>
      </c>
      <c r="AC486" s="302">
        <f t="shared" si="63"/>
        <v>49355.709110401491</v>
      </c>
      <c r="AD486" s="302">
        <f t="shared" ref="AD486:AD549" si="78">+AA485*AB486/360*(365/12)</f>
        <v>40464.687980174145</v>
      </c>
      <c r="AE486" s="302">
        <f t="shared" si="76"/>
        <v>89820.397090575629</v>
      </c>
      <c r="AF486" s="478">
        <f t="shared" si="64"/>
        <v>89820.397090575629</v>
      </c>
      <c r="AI486" s="543">
        <f t="shared" si="77"/>
        <v>146437.06756264929</v>
      </c>
      <c r="AJ486" s="543"/>
      <c r="AK486" s="300"/>
      <c r="AL486" s="543"/>
      <c r="AM486" s="10"/>
    </row>
    <row r="487" spans="1:39" s="11" customFormat="1" ht="13.8" hidden="1" x14ac:dyDescent="0.25">
      <c r="A487" s="11">
        <v>132</v>
      </c>
      <c r="B487" s="11">
        <f t="shared" si="65"/>
        <v>11</v>
      </c>
      <c r="C487" s="354">
        <f t="shared" si="54"/>
        <v>0</v>
      </c>
      <c r="D487" s="300">
        <f t="shared" si="56"/>
        <v>6304464.6458695615</v>
      </c>
      <c r="E487" s="354">
        <f t="shared" si="66"/>
        <v>0.13400000000000001</v>
      </c>
      <c r="F487" s="354">
        <f t="shared" si="55"/>
        <v>0.03</v>
      </c>
      <c r="H487" s="436">
        <f t="shared" si="57"/>
        <v>50693.726647914882</v>
      </c>
      <c r="I487" s="302">
        <f t="shared" si="58"/>
        <v>0</v>
      </c>
      <c r="K487" s="426">
        <f t="shared" si="67"/>
        <v>66802.287800476537</v>
      </c>
      <c r="L487" s="10">
        <f t="shared" si="68"/>
        <v>66802.287800476537</v>
      </c>
      <c r="M487" s="436">
        <f t="shared" si="69"/>
        <v>66802.287800476537</v>
      </c>
      <c r="N487" s="301">
        <f t="shared" si="59"/>
        <v>16108.56115256166</v>
      </c>
      <c r="O487" s="302">
        <f t="shared" si="60"/>
        <v>66802.287800476508</v>
      </c>
      <c r="P487" s="436">
        <f t="shared" si="61"/>
        <v>0</v>
      </c>
      <c r="Q487" s="11">
        <f t="shared" si="70"/>
        <v>0</v>
      </c>
      <c r="R487" s="426">
        <f t="shared" si="71"/>
        <v>9049606.929457359</v>
      </c>
      <c r="S487" s="354">
        <f>+Hirdetmény!$AA$46</f>
        <v>0.13400000000000001</v>
      </c>
      <c r="T487" s="302">
        <f t="shared" si="62"/>
        <v>42688.289974132094</v>
      </c>
      <c r="U487" s="302">
        <f t="shared" si="72"/>
        <v>102940.7775885172</v>
      </c>
      <c r="V487" s="302">
        <f t="shared" si="73"/>
        <v>145629.06756264929</v>
      </c>
      <c r="W487" s="302">
        <f t="shared" si="74"/>
        <v>145629.06756264929</v>
      </c>
      <c r="AA487" s="10">
        <f t="shared" si="75"/>
        <v>7314711.549810512</v>
      </c>
      <c r="AB487" s="354">
        <f>+paraméterek!$B$346</f>
        <v>6.4600000000000005E-2</v>
      </c>
      <c r="AC487" s="302">
        <f t="shared" si="63"/>
        <v>49625.097597696433</v>
      </c>
      <c r="AD487" s="302">
        <f t="shared" si="78"/>
        <v>40195.29949287921</v>
      </c>
      <c r="AE487" s="302">
        <f t="shared" si="76"/>
        <v>89820.397090575643</v>
      </c>
      <c r="AF487" s="478">
        <f t="shared" si="64"/>
        <v>89820.397090575643</v>
      </c>
      <c r="AI487" s="543">
        <f t="shared" si="77"/>
        <v>146437.06756264929</v>
      </c>
      <c r="AJ487" s="543"/>
      <c r="AK487" s="300"/>
      <c r="AL487" s="543"/>
      <c r="AM487" s="10"/>
    </row>
    <row r="488" spans="1:39" s="11" customFormat="1" ht="13.8" hidden="1" x14ac:dyDescent="0.25">
      <c r="A488" s="11">
        <v>133</v>
      </c>
      <c r="B488" s="11">
        <f t="shared" si="65"/>
        <v>12</v>
      </c>
      <c r="C488" s="354">
        <f t="shared" si="54"/>
        <v>0</v>
      </c>
      <c r="D488" s="300">
        <f t="shared" si="56"/>
        <v>6253642.4247061852</v>
      </c>
      <c r="E488" s="354">
        <f t="shared" si="66"/>
        <v>0.13400000000000001</v>
      </c>
      <c r="F488" s="354">
        <f t="shared" si="55"/>
        <v>0.03</v>
      </c>
      <c r="H488" s="436">
        <f t="shared" si="57"/>
        <v>50822.221163376606</v>
      </c>
      <c r="I488" s="302">
        <f t="shared" si="58"/>
        <v>0</v>
      </c>
      <c r="K488" s="426">
        <f t="shared" si="67"/>
        <v>66802.287800476537</v>
      </c>
      <c r="L488" s="10">
        <f t="shared" si="68"/>
        <v>66802.287800476537</v>
      </c>
      <c r="M488" s="436">
        <f t="shared" si="69"/>
        <v>66802.287800476537</v>
      </c>
      <c r="N488" s="301">
        <f t="shared" si="59"/>
        <v>15980.066637099932</v>
      </c>
      <c r="O488" s="302">
        <f t="shared" si="60"/>
        <v>66802.287800476508</v>
      </c>
      <c r="P488" s="436">
        <f t="shared" si="61"/>
        <v>0</v>
      </c>
      <c r="Q488" s="11">
        <f t="shared" si="70"/>
        <v>0</v>
      </c>
      <c r="R488" s="426">
        <f t="shared" si="71"/>
        <v>9006435.332940951</v>
      </c>
      <c r="S488" s="354">
        <f>+Hirdetmény!$AA$46</f>
        <v>0.13400000000000001</v>
      </c>
      <c r="T488" s="302">
        <f t="shared" si="62"/>
        <v>43171.596516408659</v>
      </c>
      <c r="U488" s="302">
        <f t="shared" si="72"/>
        <v>102457.47104624061</v>
      </c>
      <c r="V488" s="302">
        <f t="shared" si="73"/>
        <v>145629.06756264926</v>
      </c>
      <c r="W488" s="302">
        <f t="shared" si="74"/>
        <v>145629.06756264926</v>
      </c>
      <c r="AA488" s="10">
        <f t="shared" si="75"/>
        <v>7264815.5933757192</v>
      </c>
      <c r="AB488" s="354">
        <f>+paraméterek!$B$346</f>
        <v>6.4600000000000005E-2</v>
      </c>
      <c r="AC488" s="302">
        <f t="shared" si="63"/>
        <v>49895.956434792737</v>
      </c>
      <c r="AD488" s="302">
        <f t="shared" si="78"/>
        <v>39924.440655782884</v>
      </c>
      <c r="AE488" s="302">
        <f t="shared" si="76"/>
        <v>89820.397090575629</v>
      </c>
      <c r="AF488" s="478">
        <f t="shared" si="64"/>
        <v>89820.397090575629</v>
      </c>
      <c r="AI488" s="543">
        <f t="shared" si="77"/>
        <v>146437.06756264926</v>
      </c>
      <c r="AJ488" s="543"/>
      <c r="AK488" s="300"/>
      <c r="AL488" s="543"/>
      <c r="AM488" s="10"/>
    </row>
    <row r="489" spans="1:39" s="11" customFormat="1" ht="13.8" hidden="1" x14ac:dyDescent="0.25">
      <c r="A489" s="11">
        <v>134</v>
      </c>
      <c r="B489" s="11">
        <f t="shared" si="65"/>
        <v>12</v>
      </c>
      <c r="C489" s="354">
        <f t="shared" si="54"/>
        <v>0</v>
      </c>
      <c r="D489" s="300">
        <f t="shared" si="56"/>
        <v>6202691.3833294427</v>
      </c>
      <c r="E489" s="354">
        <f t="shared" si="66"/>
        <v>0.13400000000000001</v>
      </c>
      <c r="F489" s="354">
        <f t="shared" si="55"/>
        <v>0.03</v>
      </c>
      <c r="H489" s="436">
        <f t="shared" si="57"/>
        <v>50951.041376742112</v>
      </c>
      <c r="I489" s="302">
        <f t="shared" si="58"/>
        <v>0</v>
      </c>
      <c r="K489" s="426">
        <f t="shared" si="67"/>
        <v>66802.287800476537</v>
      </c>
      <c r="L489" s="10">
        <f t="shared" si="68"/>
        <v>66802.287800476537</v>
      </c>
      <c r="M489" s="436">
        <f t="shared" si="69"/>
        <v>66802.287800476537</v>
      </c>
      <c r="N489" s="301">
        <f t="shared" si="59"/>
        <v>15851.246423734428</v>
      </c>
      <c r="O489" s="302">
        <f t="shared" si="60"/>
        <v>66802.287800476508</v>
      </c>
      <c r="P489" s="436">
        <f t="shared" si="61"/>
        <v>0</v>
      </c>
      <c r="Q489" s="11">
        <f t="shared" si="70"/>
        <v>0</v>
      </c>
      <c r="R489" s="426">
        <f t="shared" si="71"/>
        <v>8962774.9580019452</v>
      </c>
      <c r="S489" s="354">
        <f>+Hirdetmény!$AA$46</f>
        <v>0.13400000000000001</v>
      </c>
      <c r="T489" s="302">
        <f t="shared" si="62"/>
        <v>43660.37493900532</v>
      </c>
      <c r="U489" s="302">
        <f t="shared" si="72"/>
        <v>101968.69262364398</v>
      </c>
      <c r="V489" s="302">
        <f t="shared" si="73"/>
        <v>145629.06756264929</v>
      </c>
      <c r="W489" s="302">
        <f t="shared" si="74"/>
        <v>145629.06756264929</v>
      </c>
      <c r="AA489" s="10">
        <f t="shared" si="75"/>
        <v>7214647.2997287102</v>
      </c>
      <c r="AB489" s="354">
        <f>+paraméterek!$B$346</f>
        <v>6.4600000000000005E-2</v>
      </c>
      <c r="AC489" s="302">
        <f t="shared" si="63"/>
        <v>50168.293647009414</v>
      </c>
      <c r="AD489" s="302">
        <f t="shared" si="78"/>
        <v>39652.10344356623</v>
      </c>
      <c r="AE489" s="302">
        <f t="shared" si="76"/>
        <v>89820.397090575643</v>
      </c>
      <c r="AF489" s="478">
        <f t="shared" si="64"/>
        <v>89820.397090575643</v>
      </c>
      <c r="AI489" s="543">
        <f t="shared" si="77"/>
        <v>146437.06756264929</v>
      </c>
      <c r="AJ489" s="543"/>
      <c r="AK489" s="300"/>
      <c r="AL489" s="543"/>
      <c r="AM489" s="10"/>
    </row>
    <row r="490" spans="1:39" s="11" customFormat="1" ht="13.8" hidden="1" x14ac:dyDescent="0.25">
      <c r="A490" s="11">
        <v>135</v>
      </c>
      <c r="B490" s="11">
        <f t="shared" si="65"/>
        <v>12</v>
      </c>
      <c r="C490" s="354">
        <f t="shared" si="54"/>
        <v>0</v>
      </c>
      <c r="D490" s="300">
        <f t="shared" si="56"/>
        <v>6151611.1952158771</v>
      </c>
      <c r="E490" s="354">
        <f t="shared" si="66"/>
        <v>0.13400000000000001</v>
      </c>
      <c r="F490" s="354">
        <f t="shared" si="55"/>
        <v>0.03</v>
      </c>
      <c r="H490" s="436">
        <f t="shared" si="57"/>
        <v>51080.188113565106</v>
      </c>
      <c r="I490" s="302">
        <f t="shared" si="58"/>
        <v>0</v>
      </c>
      <c r="K490" s="426">
        <f t="shared" si="67"/>
        <v>66802.287800476537</v>
      </c>
      <c r="L490" s="10">
        <f t="shared" si="68"/>
        <v>66802.287800476537</v>
      </c>
      <c r="M490" s="436">
        <f t="shared" si="69"/>
        <v>66802.287800476537</v>
      </c>
      <c r="N490" s="301">
        <f t="shared" si="59"/>
        <v>15722.099686911433</v>
      </c>
      <c r="O490" s="302">
        <f t="shared" si="60"/>
        <v>66802.287800476508</v>
      </c>
      <c r="P490" s="436">
        <f t="shared" si="61"/>
        <v>0</v>
      </c>
      <c r="Q490" s="11">
        <f t="shared" si="70"/>
        <v>0</v>
      </c>
      <c r="R490" s="426">
        <f t="shared" si="71"/>
        <v>8918620.2708087116</v>
      </c>
      <c r="S490" s="354">
        <f>+Hirdetmény!$AA$46</f>
        <v>0.13400000000000001</v>
      </c>
      <c r="T490" s="302">
        <f t="shared" si="62"/>
        <v>44154.687193233738</v>
      </c>
      <c r="U490" s="302">
        <f t="shared" si="72"/>
        <v>101474.38036941554</v>
      </c>
      <c r="V490" s="302">
        <f t="shared" si="73"/>
        <v>145629.06756264926</v>
      </c>
      <c r="W490" s="302">
        <f t="shared" si="74"/>
        <v>145629.06756264926</v>
      </c>
      <c r="AA490" s="10">
        <f t="shared" si="75"/>
        <v>7164205.1824252419</v>
      </c>
      <c r="AB490" s="354">
        <f>+paraméterek!$B$346</f>
        <v>6.4600000000000005E-2</v>
      </c>
      <c r="AC490" s="302">
        <f t="shared" si="63"/>
        <v>50442.117303468411</v>
      </c>
      <c r="AD490" s="302">
        <f t="shared" si="78"/>
        <v>39378.27978710724</v>
      </c>
      <c r="AE490" s="302">
        <f t="shared" si="76"/>
        <v>89820.397090575658</v>
      </c>
      <c r="AF490" s="478">
        <f t="shared" si="64"/>
        <v>89820.397090575658</v>
      </c>
      <c r="AI490" s="543">
        <f t="shared" si="77"/>
        <v>146437.06756264926</v>
      </c>
      <c r="AJ490" s="543"/>
      <c r="AK490" s="300"/>
      <c r="AL490" s="543"/>
      <c r="AM490" s="10"/>
    </row>
    <row r="491" spans="1:39" s="11" customFormat="1" ht="13.8" hidden="1" x14ac:dyDescent="0.25">
      <c r="A491" s="11">
        <v>136</v>
      </c>
      <c r="B491" s="11">
        <f t="shared" si="65"/>
        <v>12</v>
      </c>
      <c r="C491" s="354">
        <f t="shared" si="54"/>
        <v>0</v>
      </c>
      <c r="D491" s="300">
        <f t="shared" si="56"/>
        <v>6100401.533014385</v>
      </c>
      <c r="E491" s="354">
        <f t="shared" si="66"/>
        <v>0.13400000000000001</v>
      </c>
      <c r="F491" s="354">
        <f t="shared" si="55"/>
        <v>0.03</v>
      </c>
      <c r="H491" s="436">
        <f t="shared" si="57"/>
        <v>51209.662201491847</v>
      </c>
      <c r="I491" s="302">
        <f t="shared" si="58"/>
        <v>0</v>
      </c>
      <c r="K491" s="426">
        <f t="shared" si="67"/>
        <v>66802.287800476537</v>
      </c>
      <c r="L491" s="10">
        <f t="shared" si="68"/>
        <v>66802.287800476537</v>
      </c>
      <c r="M491" s="436">
        <f t="shared" si="69"/>
        <v>66802.287800476537</v>
      </c>
      <c r="N491" s="301">
        <f t="shared" si="59"/>
        <v>15592.625598984687</v>
      </c>
      <c r="O491" s="302">
        <f t="shared" si="60"/>
        <v>66802.287800476508</v>
      </c>
      <c r="P491" s="436">
        <f t="shared" si="61"/>
        <v>0</v>
      </c>
      <c r="Q491" s="11">
        <f t="shared" si="70"/>
        <v>0</v>
      </c>
      <c r="R491" s="426">
        <f t="shared" si="71"/>
        <v>8873965.6748769078</v>
      </c>
      <c r="S491" s="354">
        <f>+Hirdetmény!$AA$46</f>
        <v>0.13400000000000001</v>
      </c>
      <c r="T491" s="302">
        <f t="shared" si="62"/>
        <v>44654.595931803429</v>
      </c>
      <c r="U491" s="302">
        <f t="shared" si="72"/>
        <v>100974.47163084586</v>
      </c>
      <c r="V491" s="302">
        <f t="shared" si="73"/>
        <v>145629.06756264929</v>
      </c>
      <c r="W491" s="302">
        <f t="shared" si="74"/>
        <v>145629.06756264929</v>
      </c>
      <c r="AA491" s="10">
        <f t="shared" si="75"/>
        <v>7113487.7469079085</v>
      </c>
      <c r="AB491" s="354">
        <f>+paraméterek!$B$346</f>
        <v>6.4600000000000005E-2</v>
      </c>
      <c r="AC491" s="302">
        <f t="shared" si="63"/>
        <v>50717.435517333797</v>
      </c>
      <c r="AD491" s="302">
        <f t="shared" si="78"/>
        <v>39102.961573241853</v>
      </c>
      <c r="AE491" s="302">
        <f t="shared" si="76"/>
        <v>89820.397090575658</v>
      </c>
      <c r="AF491" s="478">
        <f t="shared" si="64"/>
        <v>89820.397090575658</v>
      </c>
      <c r="AI491" s="543">
        <f t="shared" si="77"/>
        <v>146437.06756264929</v>
      </c>
      <c r="AJ491" s="543"/>
      <c r="AK491" s="300"/>
      <c r="AL491" s="543"/>
      <c r="AM491" s="10"/>
    </row>
    <row r="492" spans="1:39" s="11" customFormat="1" ht="13.8" hidden="1" x14ac:dyDescent="0.25">
      <c r="A492" s="11">
        <v>137</v>
      </c>
      <c r="B492" s="11">
        <f t="shared" si="65"/>
        <v>12</v>
      </c>
      <c r="C492" s="354">
        <f t="shared" si="54"/>
        <v>0</v>
      </c>
      <c r="D492" s="300">
        <f t="shared" si="56"/>
        <v>6049062.0685441187</v>
      </c>
      <c r="E492" s="354">
        <f t="shared" si="66"/>
        <v>0.13400000000000001</v>
      </c>
      <c r="F492" s="354">
        <f t="shared" si="55"/>
        <v>0.03</v>
      </c>
      <c r="H492" s="436">
        <f t="shared" si="57"/>
        <v>51339.464470266459</v>
      </c>
      <c r="I492" s="302">
        <f t="shared" si="58"/>
        <v>0</v>
      </c>
      <c r="K492" s="426">
        <f t="shared" si="67"/>
        <v>66802.287800476537</v>
      </c>
      <c r="L492" s="10">
        <f t="shared" si="68"/>
        <v>66802.287800476537</v>
      </c>
      <c r="M492" s="436">
        <f t="shared" si="69"/>
        <v>66802.287800476537</v>
      </c>
      <c r="N492" s="301">
        <f t="shared" si="59"/>
        <v>15462.823330210073</v>
      </c>
      <c r="O492" s="302">
        <f t="shared" si="60"/>
        <v>66802.287800476508</v>
      </c>
      <c r="P492" s="436">
        <f t="shared" si="61"/>
        <v>0</v>
      </c>
      <c r="Q492" s="11">
        <f t="shared" si="70"/>
        <v>0</v>
      </c>
      <c r="R492" s="426">
        <f t="shared" si="71"/>
        <v>8828805.5103601459</v>
      </c>
      <c r="S492" s="354">
        <f>+Hirdetmény!$AA$46</f>
        <v>0.13400000000000001</v>
      </c>
      <c r="T492" s="302">
        <f t="shared" si="62"/>
        <v>45160.164516762808</v>
      </c>
      <c r="U492" s="302">
        <f t="shared" si="72"/>
        <v>100468.90304588649</v>
      </c>
      <c r="V492" s="302">
        <f t="shared" si="73"/>
        <v>145629.06756264929</v>
      </c>
      <c r="W492" s="302">
        <f t="shared" si="74"/>
        <v>145629.06756264929</v>
      </c>
      <c r="AA492" s="10">
        <f t="shared" si="75"/>
        <v>7062493.4904618561</v>
      </c>
      <c r="AB492" s="354">
        <f>+paraméterek!$B$346</f>
        <v>6.4600000000000005E-2</v>
      </c>
      <c r="AC492" s="302">
        <f t="shared" si="63"/>
        <v>50994.256446052139</v>
      </c>
      <c r="AD492" s="302">
        <f t="shared" si="78"/>
        <v>38826.140644523519</v>
      </c>
      <c r="AE492" s="302">
        <f t="shared" si="76"/>
        <v>89820.397090575658</v>
      </c>
      <c r="AF492" s="478">
        <f t="shared" si="64"/>
        <v>89820.397090575658</v>
      </c>
      <c r="AI492" s="543">
        <f t="shared" si="77"/>
        <v>146437.06756264929</v>
      </c>
      <c r="AJ492" s="543"/>
      <c r="AK492" s="300"/>
      <c r="AL492" s="543"/>
      <c r="AM492" s="10"/>
    </row>
    <row r="493" spans="1:39" s="11" customFormat="1" ht="13.8" hidden="1" x14ac:dyDescent="0.25">
      <c r="A493" s="11">
        <v>138</v>
      </c>
      <c r="B493" s="11">
        <f t="shared" si="65"/>
        <v>12</v>
      </c>
      <c r="C493" s="354">
        <f t="shared" si="54"/>
        <v>0</v>
      </c>
      <c r="D493" s="300">
        <f t="shared" si="56"/>
        <v>5997592.4727923824</v>
      </c>
      <c r="E493" s="354">
        <f t="shared" si="66"/>
        <v>0.13400000000000001</v>
      </c>
      <c r="F493" s="354">
        <f t="shared" si="55"/>
        <v>0.03</v>
      </c>
      <c r="H493" s="436">
        <f t="shared" si="57"/>
        <v>51469.595751736233</v>
      </c>
      <c r="I493" s="302">
        <f t="shared" si="58"/>
        <v>0</v>
      </c>
      <c r="K493" s="426">
        <f t="shared" si="67"/>
        <v>66802.287800476537</v>
      </c>
      <c r="L493" s="10">
        <f t="shared" si="68"/>
        <v>66802.287800476537</v>
      </c>
      <c r="M493" s="436">
        <f t="shared" si="69"/>
        <v>66802.287800476537</v>
      </c>
      <c r="N493" s="301">
        <f t="shared" si="59"/>
        <v>15332.6920487403</v>
      </c>
      <c r="O493" s="302">
        <f t="shared" si="60"/>
        <v>66802.287800476508</v>
      </c>
      <c r="P493" s="436">
        <f t="shared" si="61"/>
        <v>0</v>
      </c>
      <c r="Q493" s="11">
        <f t="shared" si="70"/>
        <v>0</v>
      </c>
      <c r="R493" s="426">
        <f t="shared" si="71"/>
        <v>8783134.0533326156</v>
      </c>
      <c r="S493" s="354">
        <f>+Hirdetmény!$AA$46</f>
        <v>0.13400000000000001</v>
      </c>
      <c r="T493" s="302">
        <f t="shared" si="62"/>
        <v>45671.457027530138</v>
      </c>
      <c r="U493" s="302">
        <f t="shared" si="72"/>
        <v>99957.610535119151</v>
      </c>
      <c r="V493" s="302">
        <f t="shared" si="73"/>
        <v>145629.06756264929</v>
      </c>
      <c r="W493" s="302">
        <f t="shared" si="74"/>
        <v>145629.06756264929</v>
      </c>
      <c r="AA493" s="10">
        <f t="shared" si="75"/>
        <v>7011220.9021702623</v>
      </c>
      <c r="AB493" s="354">
        <f>+paraméterek!$B$346</f>
        <v>6.4600000000000005E-2</v>
      </c>
      <c r="AC493" s="302">
        <f t="shared" si="63"/>
        <v>51272.58829159414</v>
      </c>
      <c r="AD493" s="302">
        <f t="shared" si="78"/>
        <v>38547.80879898151</v>
      </c>
      <c r="AE493" s="302">
        <f t="shared" si="76"/>
        <v>89820.397090575658</v>
      </c>
      <c r="AF493" s="478">
        <f t="shared" si="64"/>
        <v>89820.397090575658</v>
      </c>
      <c r="AI493" s="543">
        <f t="shared" si="77"/>
        <v>146437.06756264929</v>
      </c>
      <c r="AJ493" s="543"/>
      <c r="AK493" s="300"/>
      <c r="AL493" s="543"/>
      <c r="AM493" s="10"/>
    </row>
    <row r="494" spans="1:39" s="11" customFormat="1" ht="13.8" hidden="1" x14ac:dyDescent="0.25">
      <c r="A494" s="11">
        <v>139</v>
      </c>
      <c r="B494" s="11">
        <f t="shared" si="65"/>
        <v>12</v>
      </c>
      <c r="C494" s="354">
        <f t="shared" si="54"/>
        <v>0</v>
      </c>
      <c r="D494" s="300">
        <f t="shared" si="56"/>
        <v>5945992.4159125257</v>
      </c>
      <c r="E494" s="354">
        <f t="shared" si="66"/>
        <v>0.13400000000000001</v>
      </c>
      <c r="F494" s="354">
        <f t="shared" si="55"/>
        <v>0.03</v>
      </c>
      <c r="H494" s="436">
        <f t="shared" si="57"/>
        <v>51600.056879856958</v>
      </c>
      <c r="I494" s="302">
        <f t="shared" si="58"/>
        <v>0</v>
      </c>
      <c r="K494" s="426">
        <f t="shared" si="67"/>
        <v>66802.287800476537</v>
      </c>
      <c r="L494" s="10">
        <f t="shared" si="68"/>
        <v>66802.287800476537</v>
      </c>
      <c r="M494" s="436">
        <f t="shared" si="69"/>
        <v>66802.287800476537</v>
      </c>
      <c r="N494" s="301">
        <f t="shared" si="59"/>
        <v>15202.230920619579</v>
      </c>
      <c r="O494" s="302">
        <f t="shared" si="60"/>
        <v>66802.287800476508</v>
      </c>
      <c r="P494" s="436">
        <f t="shared" si="61"/>
        <v>0</v>
      </c>
      <c r="Q494" s="11">
        <f t="shared" si="70"/>
        <v>0</v>
      </c>
      <c r="R494" s="426">
        <f t="shared" si="71"/>
        <v>8736945.5150636006</v>
      </c>
      <c r="S494" s="354">
        <f>+Hirdetmény!$AA$46</f>
        <v>0.13400000000000001</v>
      </c>
      <c r="T494" s="302">
        <f t="shared" si="62"/>
        <v>46188.538269015437</v>
      </c>
      <c r="U494" s="302">
        <f t="shared" si="72"/>
        <v>99440.529293633866</v>
      </c>
      <c r="V494" s="302">
        <f t="shared" si="73"/>
        <v>145629.06756264932</v>
      </c>
      <c r="W494" s="302">
        <f t="shared" si="74"/>
        <v>145629.06756264932</v>
      </c>
      <c r="AA494" s="10">
        <f t="shared" si="75"/>
        <v>6959668.462869565</v>
      </c>
      <c r="AB494" s="354">
        <f>+paraméterek!$B$346</f>
        <v>6.4600000000000005E-2</v>
      </c>
      <c r="AC494" s="302">
        <f t="shared" si="63"/>
        <v>51552.439300697741</v>
      </c>
      <c r="AD494" s="302">
        <f t="shared" si="78"/>
        <v>38267.957789877924</v>
      </c>
      <c r="AE494" s="302">
        <f t="shared" si="76"/>
        <v>89820.397090575658</v>
      </c>
      <c r="AF494" s="478">
        <f t="shared" si="64"/>
        <v>89820.397090575658</v>
      </c>
      <c r="AI494" s="543">
        <f t="shared" si="77"/>
        <v>146437.06756264932</v>
      </c>
      <c r="AJ494" s="543"/>
      <c r="AK494" s="300"/>
      <c r="AL494" s="543"/>
      <c r="AM494" s="10"/>
    </row>
    <row r="495" spans="1:39" s="11" customFormat="1" ht="13.8" hidden="1" x14ac:dyDescent="0.25">
      <c r="A495" s="11">
        <v>140</v>
      </c>
      <c r="B495" s="11">
        <f t="shared" si="65"/>
        <v>12</v>
      </c>
      <c r="C495" s="354">
        <f t="shared" si="54"/>
        <v>0</v>
      </c>
      <c r="D495" s="300">
        <f t="shared" si="56"/>
        <v>5894261.5672218278</v>
      </c>
      <c r="E495" s="354">
        <f t="shared" si="66"/>
        <v>0.13400000000000001</v>
      </c>
      <c r="F495" s="354">
        <f t="shared" si="55"/>
        <v>0.03</v>
      </c>
      <c r="H495" s="436">
        <f t="shared" si="57"/>
        <v>51730.848690698265</v>
      </c>
      <c r="I495" s="302">
        <f t="shared" si="58"/>
        <v>0</v>
      </c>
      <c r="K495" s="426">
        <f t="shared" si="67"/>
        <v>66802.287800476537</v>
      </c>
      <c r="L495" s="10">
        <f t="shared" si="68"/>
        <v>66802.287800476537</v>
      </c>
      <c r="M495" s="436">
        <f t="shared" si="69"/>
        <v>66802.287800476537</v>
      </c>
      <c r="N495" s="301">
        <f t="shared" si="59"/>
        <v>15071.439109778275</v>
      </c>
      <c r="O495" s="302">
        <f t="shared" si="60"/>
        <v>66802.287800476508</v>
      </c>
      <c r="P495" s="436">
        <f t="shared" si="61"/>
        <v>0</v>
      </c>
      <c r="Q495" s="11">
        <f t="shared" si="70"/>
        <v>0</v>
      </c>
      <c r="R495" s="426">
        <f t="shared" si="71"/>
        <v>8690234.0412837658</v>
      </c>
      <c r="S495" s="354">
        <f>+Hirdetmény!$AA$46</f>
        <v>0.13400000000000001</v>
      </c>
      <c r="T495" s="302">
        <f t="shared" si="62"/>
        <v>46711.473779834319</v>
      </c>
      <c r="U495" s="302">
        <f t="shared" si="72"/>
        <v>98917.593782814991</v>
      </c>
      <c r="V495" s="302">
        <f t="shared" si="73"/>
        <v>145629.06756264932</v>
      </c>
      <c r="W495" s="302">
        <f t="shared" si="74"/>
        <v>145629.06756264932</v>
      </c>
      <c r="AA495" s="10">
        <f t="shared" si="75"/>
        <v>6907834.645104453</v>
      </c>
      <c r="AB495" s="354">
        <f>+paraméterek!$B$346</f>
        <v>6.4600000000000005E-2</v>
      </c>
      <c r="AC495" s="302">
        <f t="shared" si="63"/>
        <v>51833.817765112355</v>
      </c>
      <c r="AD495" s="302">
        <f t="shared" si="78"/>
        <v>37986.57932546331</v>
      </c>
      <c r="AE495" s="302">
        <f t="shared" si="76"/>
        <v>89820.397090575658</v>
      </c>
      <c r="AF495" s="478">
        <f t="shared" si="64"/>
        <v>89820.397090575658</v>
      </c>
      <c r="AI495" s="543">
        <f t="shared" si="77"/>
        <v>146437.06756264932</v>
      </c>
      <c r="AJ495" s="543"/>
      <c r="AK495" s="300"/>
      <c r="AL495" s="543"/>
      <c r="AM495" s="10"/>
    </row>
    <row r="496" spans="1:39" s="11" customFormat="1" ht="13.8" hidden="1" x14ac:dyDescent="0.25">
      <c r="A496" s="11">
        <v>141</v>
      </c>
      <c r="B496" s="11">
        <f t="shared" si="65"/>
        <v>12</v>
      </c>
      <c r="C496" s="354">
        <f t="shared" si="54"/>
        <v>0</v>
      </c>
      <c r="D496" s="300">
        <f t="shared" si="56"/>
        <v>5842399.5951993791</v>
      </c>
      <c r="E496" s="354">
        <f t="shared" si="66"/>
        <v>0.13400000000000001</v>
      </c>
      <c r="F496" s="354">
        <f t="shared" si="55"/>
        <v>0.03</v>
      </c>
      <c r="H496" s="436">
        <f t="shared" si="57"/>
        <v>51861.972022448994</v>
      </c>
      <c r="I496" s="302">
        <f t="shared" si="58"/>
        <v>0</v>
      </c>
      <c r="K496" s="426">
        <f t="shared" si="67"/>
        <v>66802.287800476537</v>
      </c>
      <c r="L496" s="10">
        <f t="shared" si="68"/>
        <v>66802.287800476537</v>
      </c>
      <c r="M496" s="436">
        <f t="shared" si="69"/>
        <v>66802.287800476537</v>
      </c>
      <c r="N496" s="301">
        <f t="shared" si="59"/>
        <v>14940.315778027551</v>
      </c>
      <c r="O496" s="302">
        <f t="shared" si="60"/>
        <v>66802.287800476508</v>
      </c>
      <c r="P496" s="436">
        <f t="shared" si="61"/>
        <v>0</v>
      </c>
      <c r="Q496" s="11">
        <f t="shared" si="70"/>
        <v>0</v>
      </c>
      <c r="R496" s="426">
        <f t="shared" si="71"/>
        <v>8642993.7114431504</v>
      </c>
      <c r="S496" s="354">
        <f>+Hirdetmény!$AA$46</f>
        <v>0.13400000000000001</v>
      </c>
      <c r="T496" s="302">
        <f t="shared" si="62"/>
        <v>47240.329840614802</v>
      </c>
      <c r="U496" s="302">
        <f t="shared" si="72"/>
        <v>98388.737722034493</v>
      </c>
      <c r="V496" s="302">
        <f t="shared" si="73"/>
        <v>145629.06756264929</v>
      </c>
      <c r="W496" s="302">
        <f t="shared" si="74"/>
        <v>145629.06756264929</v>
      </c>
      <c r="AA496" s="10">
        <f t="shared" si="75"/>
        <v>6855717.913082608</v>
      </c>
      <c r="AB496" s="354">
        <f>+paraméterek!$B$346</f>
        <v>6.4600000000000005E-2</v>
      </c>
      <c r="AC496" s="302">
        <f t="shared" si="63"/>
        <v>52116.732021844669</v>
      </c>
      <c r="AD496" s="302">
        <f t="shared" si="78"/>
        <v>37703.665068730996</v>
      </c>
      <c r="AE496" s="302">
        <f t="shared" si="76"/>
        <v>89820.397090575658</v>
      </c>
      <c r="AF496" s="478">
        <f t="shared" si="64"/>
        <v>89820.397090575658</v>
      </c>
      <c r="AI496" s="543">
        <f t="shared" si="77"/>
        <v>146437.06756264929</v>
      </c>
      <c r="AJ496" s="543"/>
      <c r="AK496" s="300"/>
      <c r="AL496" s="543"/>
      <c r="AM496" s="10"/>
    </row>
    <row r="497" spans="1:39" s="11" customFormat="1" ht="13.8" hidden="1" x14ac:dyDescent="0.25">
      <c r="A497" s="11">
        <v>142</v>
      </c>
      <c r="B497" s="11">
        <f t="shared" si="65"/>
        <v>12</v>
      </c>
      <c r="C497" s="354">
        <f t="shared" si="54"/>
        <v>0</v>
      </c>
      <c r="D497" s="300">
        <f t="shared" si="56"/>
        <v>5790406.1674839566</v>
      </c>
      <c r="E497" s="354">
        <f t="shared" si="66"/>
        <v>0.13400000000000001</v>
      </c>
      <c r="F497" s="354">
        <f t="shared" si="55"/>
        <v>0.03</v>
      </c>
      <c r="H497" s="436">
        <f t="shared" si="57"/>
        <v>51993.427715422557</v>
      </c>
      <c r="I497" s="302">
        <f t="shared" si="58"/>
        <v>0</v>
      </c>
      <c r="K497" s="426">
        <f t="shared" si="67"/>
        <v>66802.287800476537</v>
      </c>
      <c r="L497" s="10">
        <f t="shared" si="68"/>
        <v>66802.287800476537</v>
      </c>
      <c r="M497" s="436">
        <f t="shared" si="69"/>
        <v>66802.287800476537</v>
      </c>
      <c r="N497" s="301">
        <f t="shared" si="59"/>
        <v>14808.860085053981</v>
      </c>
      <c r="O497" s="302">
        <f t="shared" si="60"/>
        <v>66802.287800476508</v>
      </c>
      <c r="P497" s="436">
        <f t="shared" si="61"/>
        <v>0</v>
      </c>
      <c r="Q497" s="11">
        <f t="shared" si="70"/>
        <v>0</v>
      </c>
      <c r="R497" s="426">
        <f t="shared" si="71"/>
        <v>8595218.5379607528</v>
      </c>
      <c r="S497" s="354">
        <f>+Hirdetmény!$AA$46</f>
        <v>0.13400000000000001</v>
      </c>
      <c r="T497" s="302">
        <f t="shared" si="62"/>
        <v>47775.173482398248</v>
      </c>
      <c r="U497" s="302">
        <f t="shared" si="72"/>
        <v>97853.894080251048</v>
      </c>
      <c r="V497" s="302">
        <f t="shared" si="73"/>
        <v>145629.06756264929</v>
      </c>
      <c r="W497" s="302">
        <f t="shared" si="74"/>
        <v>145629.06756264929</v>
      </c>
      <c r="AA497" s="10">
        <f t="shared" si="75"/>
        <v>6803316.7226292025</v>
      </c>
      <c r="AB497" s="354">
        <f>+paraméterek!$B$346</f>
        <v>6.4600000000000005E-2</v>
      </c>
      <c r="AC497" s="302">
        <f t="shared" si="63"/>
        <v>52401.190453405572</v>
      </c>
      <c r="AD497" s="302">
        <f t="shared" si="78"/>
        <v>37419.2066371701</v>
      </c>
      <c r="AE497" s="302">
        <f t="shared" si="76"/>
        <v>89820.397090575672</v>
      </c>
      <c r="AF497" s="478">
        <f t="shared" si="64"/>
        <v>89820.397090575672</v>
      </c>
      <c r="AI497" s="543">
        <f t="shared" si="77"/>
        <v>146437.06756264929</v>
      </c>
      <c r="AJ497" s="543"/>
      <c r="AK497" s="300"/>
      <c r="AL497" s="543"/>
      <c r="AM497" s="10"/>
    </row>
    <row r="498" spans="1:39" s="11" customFormat="1" ht="13.8" hidden="1" x14ac:dyDescent="0.25">
      <c r="A498" s="11">
        <v>143</v>
      </c>
      <c r="B498" s="11">
        <f t="shared" si="65"/>
        <v>12</v>
      </c>
      <c r="C498" s="354">
        <f t="shared" si="54"/>
        <v>0</v>
      </c>
      <c r="D498" s="300">
        <f t="shared" si="56"/>
        <v>5738280.9508718941</v>
      </c>
      <c r="E498" s="354">
        <f t="shared" si="66"/>
        <v>0.13400000000000001</v>
      </c>
      <c r="F498" s="354">
        <f t="shared" si="55"/>
        <v>0.03</v>
      </c>
      <c r="H498" s="436">
        <f t="shared" si="57"/>
        <v>52125.216612062344</v>
      </c>
      <c r="I498" s="302">
        <f t="shared" si="58"/>
        <v>0</v>
      </c>
      <c r="K498" s="426">
        <f t="shared" si="67"/>
        <v>66802.287800476537</v>
      </c>
      <c r="L498" s="10">
        <f t="shared" si="68"/>
        <v>66802.287800476537</v>
      </c>
      <c r="M498" s="436">
        <f t="shared" si="69"/>
        <v>66802.287800476537</v>
      </c>
      <c r="N498" s="301">
        <f t="shared" si="59"/>
        <v>14677.071188414197</v>
      </c>
      <c r="O498" s="302">
        <f t="shared" si="60"/>
        <v>66802.287800476508</v>
      </c>
      <c r="P498" s="436">
        <f t="shared" si="61"/>
        <v>0</v>
      </c>
      <c r="Q498" s="11">
        <f t="shared" si="70"/>
        <v>0</v>
      </c>
      <c r="R498" s="426">
        <f t="shared" si="71"/>
        <v>8546902.4654656183</v>
      </c>
      <c r="S498" s="354">
        <f>+Hirdetmény!$AA$46</f>
        <v>0.13400000000000001</v>
      </c>
      <c r="T498" s="302">
        <f t="shared" si="62"/>
        <v>48316.072495135297</v>
      </c>
      <c r="U498" s="302">
        <f t="shared" si="72"/>
        <v>97312.995067513999</v>
      </c>
      <c r="V498" s="302">
        <f t="shared" si="73"/>
        <v>145629.06756264929</v>
      </c>
      <c r="W498" s="302">
        <f t="shared" si="74"/>
        <v>145629.06756264929</v>
      </c>
      <c r="AA498" s="10">
        <f t="shared" si="75"/>
        <v>6750629.5211411444</v>
      </c>
      <c r="AB498" s="354">
        <f>+paraméterek!$B$346</f>
        <v>6.4600000000000005E-2</v>
      </c>
      <c r="AC498" s="302">
        <f t="shared" si="63"/>
        <v>52687.201488058534</v>
      </c>
      <c r="AD498" s="302">
        <f t="shared" si="78"/>
        <v>37133.195602517124</v>
      </c>
      <c r="AE498" s="302">
        <f t="shared" si="76"/>
        <v>89820.397090575658</v>
      </c>
      <c r="AF498" s="478">
        <f t="shared" si="64"/>
        <v>89820.397090575658</v>
      </c>
      <c r="AI498" s="543">
        <f t="shared" si="77"/>
        <v>146437.06756264929</v>
      </c>
      <c r="AJ498" s="543"/>
      <c r="AK498" s="300"/>
      <c r="AL498" s="543"/>
      <c r="AM498" s="10"/>
    </row>
    <row r="499" spans="1:39" s="11" customFormat="1" ht="13.8" hidden="1" x14ac:dyDescent="0.25">
      <c r="A499" s="11">
        <v>144</v>
      </c>
      <c r="B499" s="11">
        <f t="shared" si="65"/>
        <v>12</v>
      </c>
      <c r="C499" s="354">
        <f t="shared" si="54"/>
        <v>0</v>
      </c>
      <c r="D499" s="300">
        <f t="shared" si="56"/>
        <v>5686023.6113149468</v>
      </c>
      <c r="E499" s="354">
        <f t="shared" si="66"/>
        <v>0.13400000000000001</v>
      </c>
      <c r="F499" s="354">
        <f t="shared" si="55"/>
        <v>0.03</v>
      </c>
      <c r="H499" s="436">
        <f t="shared" si="57"/>
        <v>52257.339556947089</v>
      </c>
      <c r="I499" s="302">
        <f t="shared" si="58"/>
        <v>0</v>
      </c>
      <c r="K499" s="426">
        <f t="shared" si="67"/>
        <v>66802.287800476537</v>
      </c>
      <c r="L499" s="10">
        <f t="shared" si="68"/>
        <v>66802.287800476537</v>
      </c>
      <c r="M499" s="436">
        <f t="shared" si="69"/>
        <v>66802.287800476537</v>
      </c>
      <c r="N499" s="301">
        <f t="shared" si="59"/>
        <v>14544.948243529452</v>
      </c>
      <c r="O499" s="302">
        <f t="shared" si="60"/>
        <v>66802.287800476508</v>
      </c>
      <c r="P499" s="436">
        <f t="shared" si="61"/>
        <v>0</v>
      </c>
      <c r="Q499" s="11">
        <f t="shared" si="70"/>
        <v>0</v>
      </c>
      <c r="R499" s="426">
        <f t="shared" si="71"/>
        <v>8498039.3700293396</v>
      </c>
      <c r="S499" s="354">
        <f>+Hirdetmény!$AA$46</f>
        <v>0.13400000000000001</v>
      </c>
      <c r="T499" s="302">
        <f t="shared" si="62"/>
        <v>48863.095436278163</v>
      </c>
      <c r="U499" s="302">
        <f t="shared" si="72"/>
        <v>96765.972126371169</v>
      </c>
      <c r="V499" s="302">
        <f t="shared" si="73"/>
        <v>145629.06756264932</v>
      </c>
      <c r="W499" s="302">
        <f t="shared" si="74"/>
        <v>145629.06756264932</v>
      </c>
      <c r="AA499" s="10">
        <f t="shared" si="75"/>
        <v>6697654.7475410746</v>
      </c>
      <c r="AB499" s="354">
        <f>+paraméterek!$B$346</f>
        <v>6.4600000000000005E-2</v>
      </c>
      <c r="AC499" s="302">
        <f t="shared" si="63"/>
        <v>52974.773600069399</v>
      </c>
      <c r="AD499" s="302">
        <f t="shared" si="78"/>
        <v>36845.623490506267</v>
      </c>
      <c r="AE499" s="302">
        <f t="shared" si="76"/>
        <v>89820.397090575658</v>
      </c>
      <c r="AF499" s="478">
        <f t="shared" si="64"/>
        <v>89820.397090575658</v>
      </c>
      <c r="AI499" s="543">
        <f t="shared" si="77"/>
        <v>146437.06756264932</v>
      </c>
      <c r="AJ499" s="543"/>
      <c r="AK499" s="300"/>
      <c r="AL499" s="543"/>
      <c r="AM499" s="10"/>
    </row>
    <row r="500" spans="1:39" s="11" customFormat="1" ht="13.8" hidden="1" x14ac:dyDescent="0.25">
      <c r="A500" s="11">
        <v>145</v>
      </c>
      <c r="B500" s="11">
        <f t="shared" si="65"/>
        <v>13</v>
      </c>
      <c r="C500" s="354">
        <f t="shared" si="54"/>
        <v>0</v>
      </c>
      <c r="D500" s="300">
        <f t="shared" si="56"/>
        <v>5633633.813918151</v>
      </c>
      <c r="E500" s="354">
        <f t="shared" si="66"/>
        <v>0.13400000000000001</v>
      </c>
      <c r="F500" s="354">
        <f t="shared" si="55"/>
        <v>0.03</v>
      </c>
      <c r="H500" s="436">
        <f t="shared" si="57"/>
        <v>52389.79739679629</v>
      </c>
      <c r="I500" s="302">
        <f t="shared" si="58"/>
        <v>0</v>
      </c>
      <c r="K500" s="426">
        <f t="shared" si="67"/>
        <v>66802.287800476537</v>
      </c>
      <c r="L500" s="10">
        <f t="shared" si="68"/>
        <v>66802.287800476537</v>
      </c>
      <c r="M500" s="436">
        <f t="shared" si="69"/>
        <v>66802.287800476537</v>
      </c>
      <c r="N500" s="301">
        <f t="shared" si="59"/>
        <v>14412.490403680247</v>
      </c>
      <c r="O500" s="302">
        <f t="shared" si="60"/>
        <v>66802.287800476508</v>
      </c>
      <c r="P500" s="436">
        <f t="shared" si="61"/>
        <v>0</v>
      </c>
      <c r="Q500" s="11">
        <f t="shared" si="70"/>
        <v>0</v>
      </c>
      <c r="R500" s="426">
        <f t="shared" si="71"/>
        <v>8448623.0583898704</v>
      </c>
      <c r="S500" s="354">
        <f>+Hirdetmény!$AA$46</f>
        <v>0.13400000000000001</v>
      </c>
      <c r="T500" s="302">
        <f t="shared" si="62"/>
        <v>49416.311639469874</v>
      </c>
      <c r="U500" s="302">
        <f t="shared" si="72"/>
        <v>96212.7559231794</v>
      </c>
      <c r="V500" s="302">
        <f t="shared" si="73"/>
        <v>145629.06756264926</v>
      </c>
      <c r="W500" s="302">
        <f t="shared" si="74"/>
        <v>145629.06756264926</v>
      </c>
      <c r="AA500" s="10">
        <f t="shared" si="75"/>
        <v>6644390.8322311174</v>
      </c>
      <c r="AB500" s="354">
        <f>+paraméterek!$B$346</f>
        <v>6.4600000000000005E-2</v>
      </c>
      <c r="AC500" s="302">
        <f t="shared" si="63"/>
        <v>53263.915309957374</v>
      </c>
      <c r="AD500" s="302">
        <f t="shared" si="78"/>
        <v>36556.481780618291</v>
      </c>
      <c r="AE500" s="302">
        <f t="shared" si="76"/>
        <v>89820.397090575658</v>
      </c>
      <c r="AF500" s="478">
        <f t="shared" si="64"/>
        <v>89820.397090575658</v>
      </c>
      <c r="AI500" s="543">
        <f t="shared" si="77"/>
        <v>146437.06756264926</v>
      </c>
      <c r="AJ500" s="543"/>
      <c r="AK500" s="300"/>
      <c r="AL500" s="543"/>
      <c r="AM500" s="10"/>
    </row>
    <row r="501" spans="1:39" s="11" customFormat="1" ht="13.8" hidden="1" x14ac:dyDescent="0.25">
      <c r="A501" s="11">
        <v>146</v>
      </c>
      <c r="B501" s="11">
        <f t="shared" si="65"/>
        <v>13</v>
      </c>
      <c r="C501" s="354">
        <f t="shared" si="54"/>
        <v>0</v>
      </c>
      <c r="D501" s="300">
        <f t="shared" si="56"/>
        <v>5581111.2229376752</v>
      </c>
      <c r="E501" s="354">
        <f t="shared" si="66"/>
        <v>0.13400000000000001</v>
      </c>
      <c r="F501" s="354">
        <f t="shared" si="55"/>
        <v>0.03</v>
      </c>
      <c r="H501" s="436">
        <f t="shared" si="57"/>
        <v>52522.590980475674</v>
      </c>
      <c r="I501" s="302">
        <f t="shared" si="58"/>
        <v>0</v>
      </c>
      <c r="K501" s="426">
        <f t="shared" si="67"/>
        <v>66802.287800476537</v>
      </c>
      <c r="L501" s="10">
        <f t="shared" si="68"/>
        <v>66802.287800476537</v>
      </c>
      <c r="M501" s="436">
        <f t="shared" si="69"/>
        <v>66802.287800476537</v>
      </c>
      <c r="N501" s="301">
        <f t="shared" si="59"/>
        <v>14279.696820000871</v>
      </c>
      <c r="O501" s="302">
        <f t="shared" si="60"/>
        <v>66802.287800476508</v>
      </c>
      <c r="P501" s="436">
        <f t="shared" si="61"/>
        <v>0</v>
      </c>
      <c r="Q501" s="11">
        <f t="shared" si="70"/>
        <v>0</v>
      </c>
      <c r="R501" s="426">
        <f t="shared" si="71"/>
        <v>8398647.2671665382</v>
      </c>
      <c r="S501" s="354">
        <f>+Hirdetmény!$AA$46</f>
        <v>0.13400000000000001</v>
      </c>
      <c r="T501" s="302">
        <f t="shared" si="62"/>
        <v>49975.791223332511</v>
      </c>
      <c r="U501" s="302">
        <f t="shared" si="72"/>
        <v>95653.276339316799</v>
      </c>
      <c r="V501" s="302">
        <f t="shared" si="73"/>
        <v>145629.06756264932</v>
      </c>
      <c r="W501" s="302">
        <f t="shared" si="74"/>
        <v>145629.06756264932</v>
      </c>
      <c r="AA501" s="10">
        <f t="shared" si="75"/>
        <v>6590836.1970463702</v>
      </c>
      <c r="AB501" s="354">
        <f>+paraméterek!$B$346</f>
        <v>6.4600000000000005E-2</v>
      </c>
      <c r="AC501" s="302">
        <f t="shared" si="63"/>
        <v>53554.635184747523</v>
      </c>
      <c r="AD501" s="302">
        <f t="shared" si="78"/>
        <v>36265.761905828127</v>
      </c>
      <c r="AE501" s="302">
        <f t="shared" si="76"/>
        <v>89820.397090575658</v>
      </c>
      <c r="AF501" s="478">
        <f t="shared" si="64"/>
        <v>89820.397090575658</v>
      </c>
      <c r="AI501" s="543">
        <f t="shared" si="77"/>
        <v>146437.06756264932</v>
      </c>
      <c r="AJ501" s="543"/>
      <c r="AK501" s="300"/>
      <c r="AL501" s="543"/>
      <c r="AM501" s="10"/>
    </row>
    <row r="502" spans="1:39" s="11" customFormat="1" ht="13.8" hidden="1" x14ac:dyDescent="0.25">
      <c r="A502" s="11">
        <v>147</v>
      </c>
      <c r="B502" s="11">
        <f t="shared" si="65"/>
        <v>13</v>
      </c>
      <c r="C502" s="354">
        <f t="shared" si="54"/>
        <v>0</v>
      </c>
      <c r="D502" s="300">
        <f t="shared" si="56"/>
        <v>5528455.5017786724</v>
      </c>
      <c r="E502" s="354">
        <f t="shared" si="66"/>
        <v>0.13400000000000001</v>
      </c>
      <c r="F502" s="354">
        <f t="shared" si="55"/>
        <v>0.03</v>
      </c>
      <c r="H502" s="436">
        <f t="shared" si="57"/>
        <v>52655.721159002569</v>
      </c>
      <c r="I502" s="302">
        <f t="shared" si="58"/>
        <v>0</v>
      </c>
      <c r="K502" s="426">
        <f t="shared" si="67"/>
        <v>66802.287800476537</v>
      </c>
      <c r="L502" s="10">
        <f t="shared" si="68"/>
        <v>66802.287800476537</v>
      </c>
      <c r="M502" s="436">
        <f t="shared" si="69"/>
        <v>66802.287800476537</v>
      </c>
      <c r="N502" s="301">
        <f t="shared" si="59"/>
        <v>14146.566641473968</v>
      </c>
      <c r="O502" s="302">
        <f t="shared" si="60"/>
        <v>66802.287800476508</v>
      </c>
      <c r="P502" s="436">
        <f t="shared" si="61"/>
        <v>0</v>
      </c>
      <c r="Q502" s="11">
        <f t="shared" si="70"/>
        <v>0</v>
      </c>
      <c r="R502" s="426">
        <f t="shared" si="71"/>
        <v>8348105.662066184</v>
      </c>
      <c r="S502" s="354">
        <f>+Hirdetmény!$AA$46</f>
        <v>0.13400000000000001</v>
      </c>
      <c r="T502" s="302">
        <f t="shared" si="62"/>
        <v>50541.605100354092</v>
      </c>
      <c r="U502" s="302">
        <f t="shared" si="72"/>
        <v>95087.46246229524</v>
      </c>
      <c r="V502" s="302">
        <f t="shared" si="73"/>
        <v>145629.06756264932</v>
      </c>
      <c r="W502" s="302">
        <f t="shared" si="74"/>
        <v>145629.06756264932</v>
      </c>
      <c r="AA502" s="10">
        <f t="shared" si="75"/>
        <v>6536989.2552081458</v>
      </c>
      <c r="AB502" s="354">
        <f>+paraméterek!$B$346</f>
        <v>6.4600000000000005E-2</v>
      </c>
      <c r="AC502" s="302">
        <f t="shared" si="63"/>
        <v>53846.941838224651</v>
      </c>
      <c r="AD502" s="302">
        <f t="shared" si="78"/>
        <v>35973.455252351021</v>
      </c>
      <c r="AE502" s="302">
        <f t="shared" si="76"/>
        <v>89820.397090575672</v>
      </c>
      <c r="AF502" s="478">
        <f t="shared" si="64"/>
        <v>89820.397090575672</v>
      </c>
      <c r="AI502" s="543">
        <f t="shared" si="77"/>
        <v>146437.06756264932</v>
      </c>
      <c r="AJ502" s="543"/>
      <c r="AK502" s="300"/>
      <c r="AL502" s="543"/>
      <c r="AM502" s="10"/>
    </row>
    <row r="503" spans="1:39" s="11" customFormat="1" ht="13.8" hidden="1" x14ac:dyDescent="0.25">
      <c r="A503" s="11">
        <v>148</v>
      </c>
      <c r="B503" s="11">
        <f t="shared" si="65"/>
        <v>13</v>
      </c>
      <c r="C503" s="354">
        <f t="shared" si="54"/>
        <v>0</v>
      </c>
      <c r="D503" s="300">
        <f t="shared" si="56"/>
        <v>5475666.3129931213</v>
      </c>
      <c r="E503" s="354">
        <f t="shared" si="66"/>
        <v>0.13400000000000001</v>
      </c>
      <c r="F503" s="354">
        <f t="shared" si="55"/>
        <v>0.03</v>
      </c>
      <c r="H503" s="436">
        <f t="shared" si="57"/>
        <v>52789.188785551436</v>
      </c>
      <c r="I503" s="302">
        <f t="shared" si="58"/>
        <v>0</v>
      </c>
      <c r="K503" s="426">
        <f t="shared" si="67"/>
        <v>66802.287800476537</v>
      </c>
      <c r="L503" s="10">
        <f t="shared" si="68"/>
        <v>66802.287800476537</v>
      </c>
      <c r="M503" s="436">
        <f t="shared" si="69"/>
        <v>66802.287800476537</v>
      </c>
      <c r="N503" s="301">
        <f t="shared" si="59"/>
        <v>14013.099014925108</v>
      </c>
      <c r="O503" s="302">
        <f t="shared" si="60"/>
        <v>66802.287800476508</v>
      </c>
      <c r="P503" s="436">
        <f t="shared" si="61"/>
        <v>0</v>
      </c>
      <c r="Q503" s="11">
        <f t="shared" si="70"/>
        <v>0</v>
      </c>
      <c r="R503" s="426">
        <f t="shared" si="71"/>
        <v>8296991.8370803073</v>
      </c>
      <c r="S503" s="354">
        <f>+Hirdetmény!$AA$46</f>
        <v>0.13400000000000001</v>
      </c>
      <c r="T503" s="302">
        <f t="shared" si="62"/>
        <v>51113.824985876839</v>
      </c>
      <c r="U503" s="302">
        <f t="shared" si="72"/>
        <v>94515.242576772464</v>
      </c>
      <c r="V503" s="302">
        <f t="shared" si="73"/>
        <v>145629.06756264932</v>
      </c>
      <c r="W503" s="302">
        <f t="shared" si="74"/>
        <v>145629.06756264932</v>
      </c>
      <c r="AA503" s="10">
        <f t="shared" si="75"/>
        <v>6482848.411276957</v>
      </c>
      <c r="AB503" s="354">
        <f>+paraméterek!$B$346</f>
        <v>6.4600000000000005E-2</v>
      </c>
      <c r="AC503" s="302">
        <f t="shared" si="63"/>
        <v>54140.843931188436</v>
      </c>
      <c r="AD503" s="302">
        <f t="shared" si="78"/>
        <v>35679.553159387244</v>
      </c>
      <c r="AE503" s="302">
        <f t="shared" si="76"/>
        <v>89820.397090575687</v>
      </c>
      <c r="AF503" s="478">
        <f t="shared" si="64"/>
        <v>89820.397090575687</v>
      </c>
      <c r="AI503" s="543">
        <f t="shared" si="77"/>
        <v>146437.06756264932</v>
      </c>
      <c r="AJ503" s="543"/>
      <c r="AK503" s="300"/>
      <c r="AL503" s="543"/>
      <c r="AM503" s="10"/>
    </row>
    <row r="504" spans="1:39" s="11" customFormat="1" ht="13.8" hidden="1" x14ac:dyDescent="0.25">
      <c r="A504" s="11">
        <v>149</v>
      </c>
      <c r="B504" s="11">
        <f t="shared" si="65"/>
        <v>13</v>
      </c>
      <c r="C504" s="354">
        <f t="shared" si="54"/>
        <v>0</v>
      </c>
      <c r="D504" s="300">
        <f t="shared" si="56"/>
        <v>5422743.3182776617</v>
      </c>
      <c r="E504" s="354">
        <f t="shared" si="66"/>
        <v>0.13400000000000001</v>
      </c>
      <c r="F504" s="354">
        <f t="shared" si="55"/>
        <v>0.03</v>
      </c>
      <c r="H504" s="436">
        <f t="shared" si="57"/>
        <v>52922.994715459252</v>
      </c>
      <c r="I504" s="302">
        <f t="shared" si="58"/>
        <v>0</v>
      </c>
      <c r="K504" s="426">
        <f t="shared" si="67"/>
        <v>66802.287800476537</v>
      </c>
      <c r="L504" s="10">
        <f t="shared" si="68"/>
        <v>66802.287800476537</v>
      </c>
      <c r="M504" s="436">
        <f t="shared" si="69"/>
        <v>66802.287800476537</v>
      </c>
      <c r="N504" s="301">
        <f t="shared" si="59"/>
        <v>13879.293085017287</v>
      </c>
      <c r="O504" s="302">
        <f t="shared" si="60"/>
        <v>66802.287800476508</v>
      </c>
      <c r="P504" s="436">
        <f t="shared" si="61"/>
        <v>0</v>
      </c>
      <c r="Q504" s="11">
        <f t="shared" si="70"/>
        <v>0</v>
      </c>
      <c r="R504" s="426">
        <f t="shared" si="71"/>
        <v>8245299.31367312</v>
      </c>
      <c r="S504" s="354">
        <f>+Hirdetmény!$AA$46</f>
        <v>0.13400000000000001</v>
      </c>
      <c r="T504" s="302">
        <f t="shared" si="62"/>
        <v>51692.523407186847</v>
      </c>
      <c r="U504" s="302">
        <f t="shared" si="72"/>
        <v>93936.544155462456</v>
      </c>
      <c r="V504" s="302">
        <f t="shared" si="73"/>
        <v>145629.06756264932</v>
      </c>
      <c r="W504" s="302">
        <f t="shared" si="74"/>
        <v>145629.06756264932</v>
      </c>
      <c r="AA504" s="10">
        <f t="shared" si="75"/>
        <v>6428412.0611052467</v>
      </c>
      <c r="AB504" s="354">
        <f>+paraméterek!$B$346</f>
        <v>6.4600000000000005E-2</v>
      </c>
      <c r="AC504" s="302">
        <f t="shared" si="63"/>
        <v>54436.350171710066</v>
      </c>
      <c r="AD504" s="302">
        <f t="shared" si="78"/>
        <v>35384.046918865599</v>
      </c>
      <c r="AE504" s="302">
        <f t="shared" si="76"/>
        <v>89820.397090575658</v>
      </c>
      <c r="AF504" s="478">
        <f t="shared" si="64"/>
        <v>89820.397090575658</v>
      </c>
      <c r="AI504" s="543">
        <f t="shared" si="77"/>
        <v>146437.06756264932</v>
      </c>
      <c r="AJ504" s="543"/>
      <c r="AK504" s="300"/>
      <c r="AL504" s="543"/>
      <c r="AM504" s="10"/>
    </row>
    <row r="505" spans="1:39" s="11" customFormat="1" ht="13.8" hidden="1" x14ac:dyDescent="0.25">
      <c r="A505" s="11">
        <v>150</v>
      </c>
      <c r="B505" s="11">
        <f t="shared" si="65"/>
        <v>13</v>
      </c>
      <c r="C505" s="354">
        <f t="shared" si="54"/>
        <v>0</v>
      </c>
      <c r="D505" s="300">
        <f t="shared" si="56"/>
        <v>5369686.1784714302</v>
      </c>
      <c r="E505" s="354">
        <f t="shared" si="66"/>
        <v>0.13400000000000001</v>
      </c>
      <c r="F505" s="354">
        <f t="shared" si="55"/>
        <v>0.03</v>
      </c>
      <c r="H505" s="436">
        <f t="shared" si="57"/>
        <v>53057.139806231076</v>
      </c>
      <c r="I505" s="302">
        <f t="shared" si="58"/>
        <v>0</v>
      </c>
      <c r="K505" s="426">
        <f t="shared" si="67"/>
        <v>66802.287800476537</v>
      </c>
      <c r="L505" s="10">
        <f t="shared" si="68"/>
        <v>66802.287800476537</v>
      </c>
      <c r="M505" s="436">
        <f t="shared" si="69"/>
        <v>66802.287800476537</v>
      </c>
      <c r="N505" s="301">
        <f t="shared" si="59"/>
        <v>13745.147994245463</v>
      </c>
      <c r="O505" s="302">
        <f t="shared" si="60"/>
        <v>66802.287800476508</v>
      </c>
      <c r="P505" s="436">
        <f t="shared" si="61"/>
        <v>0</v>
      </c>
      <c r="Q505" s="11">
        <f t="shared" si="70"/>
        <v>0</v>
      </c>
      <c r="R505" s="426">
        <f t="shared" si="71"/>
        <v>8193021.5399604132</v>
      </c>
      <c r="S505" s="354">
        <f>+Hirdetmény!$AA$46</f>
        <v>0.13400000000000001</v>
      </c>
      <c r="T505" s="302">
        <f t="shared" si="62"/>
        <v>52277.773712706636</v>
      </c>
      <c r="U505" s="302">
        <f t="shared" si="72"/>
        <v>93351.293849942667</v>
      </c>
      <c r="V505" s="302">
        <f t="shared" si="73"/>
        <v>145629.06756264932</v>
      </c>
      <c r="W505" s="302">
        <f t="shared" si="74"/>
        <v>145629.06756264932</v>
      </c>
      <c r="AA505" s="10">
        <f t="shared" si="75"/>
        <v>6373678.5917898566</v>
      </c>
      <c r="AB505" s="354">
        <f>+paraméterek!$B$346</f>
        <v>6.4600000000000005E-2</v>
      </c>
      <c r="AC505" s="302">
        <f t="shared" si="63"/>
        <v>54733.469315390335</v>
      </c>
      <c r="AD505" s="302">
        <f t="shared" si="78"/>
        <v>35086.92777518533</v>
      </c>
      <c r="AE505" s="302">
        <f t="shared" si="76"/>
        <v>89820.397090575658</v>
      </c>
      <c r="AF505" s="478">
        <f t="shared" si="64"/>
        <v>89820.397090575658</v>
      </c>
      <c r="AI505" s="543">
        <f t="shared" si="77"/>
        <v>146437.06756264932</v>
      </c>
      <c r="AJ505" s="543"/>
      <c r="AK505" s="300"/>
      <c r="AL505" s="543"/>
      <c r="AM505" s="10"/>
    </row>
    <row r="506" spans="1:39" s="11" customFormat="1" ht="13.8" hidden="1" x14ac:dyDescent="0.25">
      <c r="A506" s="11">
        <v>151</v>
      </c>
      <c r="B506" s="11">
        <f t="shared" si="65"/>
        <v>13</v>
      </c>
      <c r="C506" s="354">
        <f t="shared" si="54"/>
        <v>0</v>
      </c>
      <c r="D506" s="300">
        <f t="shared" si="56"/>
        <v>5316494.5535538848</v>
      </c>
      <c r="E506" s="354">
        <f t="shared" si="66"/>
        <v>0.13400000000000001</v>
      </c>
      <c r="F506" s="354">
        <f t="shared" si="55"/>
        <v>0.03</v>
      </c>
      <c r="H506" s="436">
        <f t="shared" si="57"/>
        <v>53191.62491754548</v>
      </c>
      <c r="I506" s="302">
        <f t="shared" si="58"/>
        <v>0</v>
      </c>
      <c r="K506" s="426">
        <f t="shared" si="67"/>
        <v>66802.287800476537</v>
      </c>
      <c r="L506" s="10">
        <f t="shared" si="68"/>
        <v>66802.287800476537</v>
      </c>
      <c r="M506" s="436">
        <f t="shared" si="69"/>
        <v>66802.287800476537</v>
      </c>
      <c r="N506" s="301">
        <f t="shared" si="59"/>
        <v>13610.662882931058</v>
      </c>
      <c r="O506" s="302">
        <f t="shared" si="60"/>
        <v>66802.287800476508</v>
      </c>
      <c r="P506" s="436">
        <f t="shared" si="61"/>
        <v>0</v>
      </c>
      <c r="Q506" s="11">
        <f t="shared" si="70"/>
        <v>0</v>
      </c>
      <c r="R506" s="426">
        <f t="shared" si="71"/>
        <v>8140151.8898791214</v>
      </c>
      <c r="S506" s="354">
        <f>+Hirdetmény!$AA$46</f>
        <v>0.13400000000000001</v>
      </c>
      <c r="T506" s="302">
        <f t="shared" si="62"/>
        <v>52869.65008129194</v>
      </c>
      <c r="U506" s="302">
        <f t="shared" si="72"/>
        <v>92759.417481357377</v>
      </c>
      <c r="V506" s="302">
        <f t="shared" si="73"/>
        <v>145629.06756264932</v>
      </c>
      <c r="W506" s="302">
        <f t="shared" si="74"/>
        <v>145629.06756264932</v>
      </c>
      <c r="AA506" s="10">
        <f t="shared" si="75"/>
        <v>6318646.3816242376</v>
      </c>
      <c r="AB506" s="354">
        <f>+paraméterek!$B$346</f>
        <v>6.4600000000000005E-2</v>
      </c>
      <c r="AC506" s="302">
        <f t="shared" si="63"/>
        <v>55032.210165618941</v>
      </c>
      <c r="AD506" s="302">
        <f t="shared" si="78"/>
        <v>34788.186924956724</v>
      </c>
      <c r="AE506" s="302">
        <f t="shared" si="76"/>
        <v>89820.397090575658</v>
      </c>
      <c r="AF506" s="478">
        <f t="shared" si="64"/>
        <v>89820.397090575658</v>
      </c>
      <c r="AI506" s="543">
        <f t="shared" si="77"/>
        <v>146437.06756264932</v>
      </c>
      <c r="AJ506" s="543"/>
      <c r="AK506" s="300"/>
      <c r="AL506" s="543"/>
      <c r="AM506" s="10"/>
    </row>
    <row r="507" spans="1:39" s="11" customFormat="1" ht="13.8" hidden="1" x14ac:dyDescent="0.25">
      <c r="A507" s="11">
        <v>152</v>
      </c>
      <c r="B507" s="11">
        <f t="shared" si="65"/>
        <v>13</v>
      </c>
      <c r="C507" s="354">
        <f t="shared" si="54"/>
        <v>0</v>
      </c>
      <c r="D507" s="300">
        <f t="shared" si="56"/>
        <v>5263168.1026426246</v>
      </c>
      <c r="E507" s="354">
        <f t="shared" si="66"/>
        <v>0.13400000000000001</v>
      </c>
      <c r="F507" s="354">
        <f t="shared" si="55"/>
        <v>0.03</v>
      </c>
      <c r="H507" s="436">
        <f t="shared" si="57"/>
        <v>53326.450911260094</v>
      </c>
      <c r="I507" s="302">
        <f t="shared" si="58"/>
        <v>0</v>
      </c>
      <c r="K507" s="426">
        <f t="shared" si="67"/>
        <v>66802.287800476537</v>
      </c>
      <c r="L507" s="10">
        <f t="shared" si="68"/>
        <v>66802.287800476537</v>
      </c>
      <c r="M507" s="436">
        <f t="shared" si="69"/>
        <v>66802.287800476537</v>
      </c>
      <c r="N507" s="301">
        <f t="shared" si="59"/>
        <v>13475.836889216444</v>
      </c>
      <c r="O507" s="302">
        <f t="shared" si="60"/>
        <v>66802.287800476508</v>
      </c>
      <c r="P507" s="436">
        <f t="shared" si="61"/>
        <v>0</v>
      </c>
      <c r="Q507" s="11">
        <f t="shared" si="70"/>
        <v>0</v>
      </c>
      <c r="R507" s="426">
        <f t="shared" si="71"/>
        <v>8086683.6623474881</v>
      </c>
      <c r="S507" s="354">
        <f>+Hirdetmény!$AA$46</f>
        <v>0.13400000000000001</v>
      </c>
      <c r="T507" s="302">
        <f t="shared" si="62"/>
        <v>53468.227531633609</v>
      </c>
      <c r="U507" s="302">
        <f t="shared" si="72"/>
        <v>92160.84003101573</v>
      </c>
      <c r="V507" s="302">
        <f t="shared" si="73"/>
        <v>145629.06756264935</v>
      </c>
      <c r="W507" s="302">
        <f t="shared" si="74"/>
        <v>145629.06756264935</v>
      </c>
      <c r="AA507" s="10">
        <f t="shared" si="75"/>
        <v>6263313.8000504021</v>
      </c>
      <c r="AB507" s="354">
        <f>+paraméterek!$B$346</f>
        <v>6.4600000000000005E-2</v>
      </c>
      <c r="AC507" s="302">
        <f t="shared" si="63"/>
        <v>55332.581573835407</v>
      </c>
      <c r="AD507" s="302">
        <f t="shared" si="78"/>
        <v>34487.815516740258</v>
      </c>
      <c r="AE507" s="302">
        <f t="shared" si="76"/>
        <v>89820.397090575658</v>
      </c>
      <c r="AF507" s="478">
        <f t="shared" si="64"/>
        <v>89820.397090575658</v>
      </c>
      <c r="AI507" s="543">
        <f t="shared" si="77"/>
        <v>146437.06756264935</v>
      </c>
      <c r="AJ507" s="543"/>
      <c r="AK507" s="300"/>
      <c r="AL507" s="543"/>
      <c r="AM507" s="10"/>
    </row>
    <row r="508" spans="1:39" s="11" customFormat="1" ht="13.8" hidden="1" x14ac:dyDescent="0.25">
      <c r="A508" s="11">
        <v>153</v>
      </c>
      <c r="B508" s="11">
        <f t="shared" si="65"/>
        <v>13</v>
      </c>
      <c r="C508" s="354">
        <f t="shared" si="54"/>
        <v>0</v>
      </c>
      <c r="D508" s="300">
        <f t="shared" si="56"/>
        <v>5209706.4839912076</v>
      </c>
      <c r="E508" s="354">
        <f t="shared" si="66"/>
        <v>0.13400000000000001</v>
      </c>
      <c r="F508" s="354">
        <f t="shared" si="55"/>
        <v>0.03</v>
      </c>
      <c r="H508" s="436">
        <f t="shared" si="57"/>
        <v>53461.618651417099</v>
      </c>
      <c r="I508" s="302">
        <f t="shared" si="58"/>
        <v>0</v>
      </c>
      <c r="K508" s="426">
        <f t="shared" si="67"/>
        <v>66802.287800476523</v>
      </c>
      <c r="L508" s="10">
        <f t="shared" si="68"/>
        <v>66802.287800476523</v>
      </c>
      <c r="M508" s="436">
        <f t="shared" si="69"/>
        <v>66802.287800476523</v>
      </c>
      <c r="N508" s="301">
        <f t="shared" si="59"/>
        <v>13340.669149059429</v>
      </c>
      <c r="O508" s="302">
        <f t="shared" si="60"/>
        <v>66802.287800476508</v>
      </c>
      <c r="P508" s="436">
        <f t="shared" si="61"/>
        <v>0</v>
      </c>
      <c r="Q508" s="11">
        <f t="shared" si="70"/>
        <v>0</v>
      </c>
      <c r="R508" s="426">
        <f t="shared" si="71"/>
        <v>8032610.080415722</v>
      </c>
      <c r="S508" s="354">
        <f>+Hirdetmény!$AA$46</f>
        <v>0.13400000000000001</v>
      </c>
      <c r="T508" s="302">
        <f t="shared" si="62"/>
        <v>54073.581931766057</v>
      </c>
      <c r="U508" s="302">
        <f t="shared" si="72"/>
        <v>91555.485630883268</v>
      </c>
      <c r="V508" s="302">
        <f t="shared" si="73"/>
        <v>145629.06756264932</v>
      </c>
      <c r="W508" s="302">
        <f t="shared" si="74"/>
        <v>145629.06756264932</v>
      </c>
      <c r="AA508" s="10">
        <f t="shared" si="75"/>
        <v>6207679.2076106109</v>
      </c>
      <c r="AB508" s="354">
        <f>+paraméterek!$B$346</f>
        <v>6.4600000000000005E-2</v>
      </c>
      <c r="AC508" s="302">
        <f t="shared" si="63"/>
        <v>55634.592439791297</v>
      </c>
      <c r="AD508" s="302">
        <f t="shared" si="78"/>
        <v>34185.804650784361</v>
      </c>
      <c r="AE508" s="302">
        <f t="shared" si="76"/>
        <v>89820.397090575658</v>
      </c>
      <c r="AF508" s="478">
        <f t="shared" si="64"/>
        <v>89820.397090575658</v>
      </c>
      <c r="AI508" s="543">
        <f t="shared" si="77"/>
        <v>146437.06756264932</v>
      </c>
      <c r="AJ508" s="543"/>
      <c r="AK508" s="300"/>
      <c r="AL508" s="543"/>
      <c r="AM508" s="10"/>
    </row>
    <row r="509" spans="1:39" s="11" customFormat="1" ht="13.8" hidden="1" x14ac:dyDescent="0.25">
      <c r="A509" s="11">
        <v>154</v>
      </c>
      <c r="B509" s="11">
        <f t="shared" si="65"/>
        <v>13</v>
      </c>
      <c r="C509" s="354">
        <f t="shared" si="54"/>
        <v>0</v>
      </c>
      <c r="D509" s="300">
        <f t="shared" si="56"/>
        <v>5156109.3549869591</v>
      </c>
      <c r="E509" s="354">
        <f t="shared" si="66"/>
        <v>0.13400000000000001</v>
      </c>
      <c r="F509" s="354">
        <f t="shared" si="55"/>
        <v>0.03</v>
      </c>
      <c r="H509" s="436">
        <f t="shared" si="57"/>
        <v>53597.129004248825</v>
      </c>
      <c r="I509" s="302">
        <f t="shared" si="58"/>
        <v>0</v>
      </c>
      <c r="K509" s="426">
        <f t="shared" si="67"/>
        <v>66802.287800476537</v>
      </c>
      <c r="L509" s="10">
        <f t="shared" si="68"/>
        <v>66802.287800476537</v>
      </c>
      <c r="M509" s="436">
        <f t="shared" si="69"/>
        <v>66802.287800476537</v>
      </c>
      <c r="N509" s="301">
        <f t="shared" si="59"/>
        <v>13205.158796227714</v>
      </c>
      <c r="O509" s="302">
        <f t="shared" si="60"/>
        <v>66802.287800476508</v>
      </c>
      <c r="P509" s="436">
        <f t="shared" si="61"/>
        <v>0</v>
      </c>
      <c r="Q509" s="11">
        <f t="shared" si="70"/>
        <v>0</v>
      </c>
      <c r="R509" s="426">
        <f t="shared" si="71"/>
        <v>7977924.2904070383</v>
      </c>
      <c r="S509" s="354">
        <f>+Hirdetmény!$AA$46</f>
        <v>0.13400000000000001</v>
      </c>
      <c r="T509" s="302">
        <f t="shared" si="62"/>
        <v>54685.790008683354</v>
      </c>
      <c r="U509" s="302">
        <f t="shared" si="72"/>
        <v>90943.277553965963</v>
      </c>
      <c r="V509" s="302">
        <f t="shared" si="73"/>
        <v>145629.06756264932</v>
      </c>
      <c r="W509" s="302">
        <f t="shared" si="74"/>
        <v>145629.06756264932</v>
      </c>
      <c r="AA509" s="10">
        <f t="shared" si="75"/>
        <v>6151740.9558987971</v>
      </c>
      <c r="AB509" s="354">
        <f>+paraméterek!$B$346</f>
        <v>6.4600000000000005E-2</v>
      </c>
      <c r="AC509" s="302">
        <f t="shared" si="63"/>
        <v>55938.251711813951</v>
      </c>
      <c r="AD509" s="302">
        <f t="shared" si="78"/>
        <v>33882.145378761714</v>
      </c>
      <c r="AE509" s="302">
        <f t="shared" si="76"/>
        <v>89820.397090575658</v>
      </c>
      <c r="AF509" s="478">
        <f t="shared" si="64"/>
        <v>89820.397090575658</v>
      </c>
      <c r="AI509" s="543">
        <f t="shared" si="77"/>
        <v>146437.06756264932</v>
      </c>
      <c r="AJ509" s="543"/>
      <c r="AK509" s="300"/>
      <c r="AL509" s="543"/>
      <c r="AM509" s="10"/>
    </row>
    <row r="510" spans="1:39" s="11" customFormat="1" ht="13.8" hidden="1" x14ac:dyDescent="0.25">
      <c r="A510" s="11">
        <v>155</v>
      </c>
      <c r="B510" s="11">
        <f t="shared" si="65"/>
        <v>13</v>
      </c>
      <c r="C510" s="354">
        <f t="shared" si="54"/>
        <v>0</v>
      </c>
      <c r="D510" s="300">
        <f t="shared" si="56"/>
        <v>5102376.3721487755</v>
      </c>
      <c r="E510" s="354">
        <f t="shared" si="66"/>
        <v>0.13400000000000001</v>
      </c>
      <c r="F510" s="354">
        <f t="shared" si="55"/>
        <v>0.03</v>
      </c>
      <c r="H510" s="436">
        <f t="shared" si="57"/>
        <v>53732.982838183205</v>
      </c>
      <c r="I510" s="302">
        <f t="shared" si="58"/>
        <v>0</v>
      </c>
      <c r="K510" s="426">
        <f t="shared" si="67"/>
        <v>66802.287800476537</v>
      </c>
      <c r="L510" s="10">
        <f t="shared" si="68"/>
        <v>66802.287800476537</v>
      </c>
      <c r="M510" s="436">
        <f t="shared" si="69"/>
        <v>66802.287800476537</v>
      </c>
      <c r="N510" s="301">
        <f t="shared" si="59"/>
        <v>13069.304962293332</v>
      </c>
      <c r="O510" s="302">
        <f t="shared" si="60"/>
        <v>66802.287800476508</v>
      </c>
      <c r="P510" s="436">
        <f t="shared" si="61"/>
        <v>0</v>
      </c>
      <c r="Q510" s="11">
        <f t="shared" si="70"/>
        <v>0</v>
      </c>
      <c r="R510" s="426">
        <f t="shared" si="71"/>
        <v>7922619.3610489741</v>
      </c>
      <c r="S510" s="354">
        <f>+Hirdetmény!$AA$46</f>
        <v>0.13400000000000001</v>
      </c>
      <c r="T510" s="302">
        <f t="shared" si="62"/>
        <v>55304.929358064066</v>
      </c>
      <c r="U510" s="302">
        <f t="shared" si="72"/>
        <v>90324.138204585252</v>
      </c>
      <c r="V510" s="302">
        <f t="shared" si="73"/>
        <v>145629.06756264932</v>
      </c>
      <c r="W510" s="302">
        <f t="shared" si="74"/>
        <v>145629.06756264932</v>
      </c>
      <c r="AA510" s="10">
        <f t="shared" si="75"/>
        <v>6095497.3875117255</v>
      </c>
      <c r="AB510" s="354">
        <f>+paraméterek!$B$346</f>
        <v>6.4600000000000005E-2</v>
      </c>
      <c r="AC510" s="302">
        <f t="shared" si="63"/>
        <v>56243.568387071558</v>
      </c>
      <c r="AD510" s="302">
        <f t="shared" si="78"/>
        <v>33576.828703504107</v>
      </c>
      <c r="AE510" s="302">
        <f t="shared" si="76"/>
        <v>89820.397090575658</v>
      </c>
      <c r="AF510" s="478">
        <f t="shared" si="64"/>
        <v>89820.397090575658</v>
      </c>
      <c r="AI510" s="543">
        <f t="shared" si="77"/>
        <v>146437.06756264932</v>
      </c>
      <c r="AJ510" s="543"/>
      <c r="AK510" s="300"/>
      <c r="AL510" s="543"/>
      <c r="AM510" s="10"/>
    </row>
    <row r="511" spans="1:39" s="11" customFormat="1" ht="13.8" hidden="1" x14ac:dyDescent="0.25">
      <c r="A511" s="11">
        <v>156</v>
      </c>
      <c r="B511" s="11">
        <f t="shared" si="65"/>
        <v>13</v>
      </c>
      <c r="C511" s="354">
        <f t="shared" si="54"/>
        <v>0</v>
      </c>
      <c r="D511" s="300">
        <f t="shared" si="56"/>
        <v>5048507.1911249263</v>
      </c>
      <c r="E511" s="354">
        <f t="shared" si="66"/>
        <v>0.13400000000000001</v>
      </c>
      <c r="F511" s="354">
        <f t="shared" si="55"/>
        <v>0.03</v>
      </c>
      <c r="H511" s="436">
        <f t="shared" si="57"/>
        <v>53869.181023849429</v>
      </c>
      <c r="I511" s="302">
        <f t="shared" si="58"/>
        <v>0</v>
      </c>
      <c r="K511" s="426">
        <f t="shared" si="67"/>
        <v>66802.287800476537</v>
      </c>
      <c r="L511" s="10">
        <f t="shared" si="68"/>
        <v>66802.287800476537</v>
      </c>
      <c r="M511" s="436">
        <f t="shared" si="69"/>
        <v>66802.287800476537</v>
      </c>
      <c r="N511" s="301">
        <f t="shared" si="59"/>
        <v>12933.106776627104</v>
      </c>
      <c r="O511" s="302">
        <f t="shared" si="60"/>
        <v>66802.287800476508</v>
      </c>
      <c r="P511" s="436">
        <f t="shared" si="61"/>
        <v>0</v>
      </c>
      <c r="Q511" s="11">
        <f t="shared" si="70"/>
        <v>0</v>
      </c>
      <c r="R511" s="426">
        <f t="shared" si="71"/>
        <v>7866688.282594868</v>
      </c>
      <c r="S511" s="354">
        <f>+Hirdetmény!$AA$46</f>
        <v>0.13400000000000001</v>
      </c>
      <c r="T511" s="302">
        <f t="shared" si="62"/>
        <v>55931.078454106406</v>
      </c>
      <c r="U511" s="302">
        <f t="shared" si="72"/>
        <v>89697.989108542897</v>
      </c>
      <c r="V511" s="302">
        <f t="shared" si="73"/>
        <v>145629.06756264932</v>
      </c>
      <c r="W511" s="302">
        <f t="shared" si="74"/>
        <v>145629.06756264932</v>
      </c>
      <c r="AA511" s="10">
        <f t="shared" si="75"/>
        <v>6038946.8359998856</v>
      </c>
      <c r="AB511" s="354">
        <f>+paraméterek!$B$346</f>
        <v>6.4600000000000005E-2</v>
      </c>
      <c r="AC511" s="302">
        <f t="shared" si="63"/>
        <v>56550.551511839796</v>
      </c>
      <c r="AD511" s="302">
        <f t="shared" si="78"/>
        <v>33269.845578735876</v>
      </c>
      <c r="AE511" s="302">
        <f t="shared" si="76"/>
        <v>89820.397090575672</v>
      </c>
      <c r="AF511" s="478">
        <f t="shared" si="64"/>
        <v>89820.397090575672</v>
      </c>
      <c r="AI511" s="543">
        <f t="shared" si="77"/>
        <v>146437.06756264932</v>
      </c>
      <c r="AJ511" s="543"/>
      <c r="AK511" s="300"/>
      <c r="AL511" s="543"/>
      <c r="AM511" s="10"/>
    </row>
    <row r="512" spans="1:39" s="11" customFormat="1" ht="13.8" hidden="1" x14ac:dyDescent="0.25">
      <c r="A512" s="11">
        <v>157</v>
      </c>
      <c r="B512" s="11">
        <f t="shared" si="65"/>
        <v>14</v>
      </c>
      <c r="C512" s="354">
        <f t="shared" si="54"/>
        <v>0</v>
      </c>
      <c r="D512" s="300">
        <f t="shared" si="56"/>
        <v>4994501.466690843</v>
      </c>
      <c r="E512" s="354">
        <f t="shared" si="66"/>
        <v>0.13400000000000001</v>
      </c>
      <c r="F512" s="354">
        <f t="shared" si="55"/>
        <v>0.03</v>
      </c>
      <c r="H512" s="436">
        <f t="shared" si="57"/>
        <v>54005.724434083502</v>
      </c>
      <c r="I512" s="302">
        <f t="shared" si="58"/>
        <v>0</v>
      </c>
      <c r="K512" s="426">
        <f t="shared" si="67"/>
        <v>66802.287800476537</v>
      </c>
      <c r="L512" s="10">
        <f t="shared" si="68"/>
        <v>66802.287800476537</v>
      </c>
      <c r="M512" s="436">
        <f t="shared" si="69"/>
        <v>66802.287800476537</v>
      </c>
      <c r="N512" s="301">
        <f t="shared" si="59"/>
        <v>12796.563366393042</v>
      </c>
      <c r="O512" s="302">
        <f t="shared" si="60"/>
        <v>66802.287800476508</v>
      </c>
      <c r="P512" s="436">
        <f t="shared" si="61"/>
        <v>0</v>
      </c>
      <c r="Q512" s="11">
        <f t="shared" si="70"/>
        <v>0</v>
      </c>
      <c r="R512" s="426">
        <f t="shared" si="71"/>
        <v>7810123.9659353932</v>
      </c>
      <c r="S512" s="354">
        <f>+Hirdetmény!$AA$46</f>
        <v>0.13400000000000001</v>
      </c>
      <c r="T512" s="302">
        <f t="shared" si="62"/>
        <v>56564.316659474542</v>
      </c>
      <c r="U512" s="302">
        <f t="shared" si="72"/>
        <v>89064.750903174776</v>
      </c>
      <c r="V512" s="302">
        <f t="shared" si="73"/>
        <v>145629.06756264932</v>
      </c>
      <c r="W512" s="302">
        <f t="shared" si="74"/>
        <v>145629.06756264932</v>
      </c>
      <c r="AA512" s="10">
        <f t="shared" si="75"/>
        <v>5982087.6258181157</v>
      </c>
      <c r="AB512" s="354">
        <f>+paraméterek!$B$346</f>
        <v>6.4600000000000005E-2</v>
      </c>
      <c r="AC512" s="302">
        <f t="shared" si="63"/>
        <v>56859.210181769806</v>
      </c>
      <c r="AD512" s="302">
        <f t="shared" si="78"/>
        <v>32961.186908805859</v>
      </c>
      <c r="AE512" s="302">
        <f t="shared" si="76"/>
        <v>89820.397090575658</v>
      </c>
      <c r="AF512" s="478">
        <f t="shared" si="64"/>
        <v>89820.397090575658</v>
      </c>
      <c r="AI512" s="543">
        <f t="shared" si="77"/>
        <v>146437.06756264932</v>
      </c>
      <c r="AJ512" s="543"/>
      <c r="AK512" s="300"/>
      <c r="AL512" s="543"/>
      <c r="AM512" s="10"/>
    </row>
    <row r="513" spans="1:39" s="11" customFormat="1" ht="13.8" hidden="1" x14ac:dyDescent="0.25">
      <c r="A513" s="11">
        <v>158</v>
      </c>
      <c r="B513" s="11">
        <f t="shared" si="65"/>
        <v>14</v>
      </c>
      <c r="C513" s="354">
        <f t="shared" si="54"/>
        <v>0</v>
      </c>
      <c r="D513" s="300">
        <f t="shared" si="56"/>
        <v>4940358.8527469095</v>
      </c>
      <c r="E513" s="354">
        <f t="shared" si="66"/>
        <v>0.13400000000000001</v>
      </c>
      <c r="F513" s="354">
        <f t="shared" si="55"/>
        <v>0.03</v>
      </c>
      <c r="H513" s="436">
        <f t="shared" si="57"/>
        <v>54142.613943933771</v>
      </c>
      <c r="I513" s="302">
        <f t="shared" si="58"/>
        <v>0</v>
      </c>
      <c r="K513" s="426">
        <f t="shared" si="67"/>
        <v>66802.287800476537</v>
      </c>
      <c r="L513" s="10">
        <f t="shared" si="68"/>
        <v>66802.287800476537</v>
      </c>
      <c r="M513" s="436">
        <f t="shared" si="69"/>
        <v>66802.287800476537</v>
      </c>
      <c r="N513" s="301">
        <f t="shared" si="59"/>
        <v>12659.673856542762</v>
      </c>
      <c r="O513" s="302">
        <f t="shared" si="60"/>
        <v>66802.287800476508</v>
      </c>
      <c r="P513" s="436">
        <f t="shared" si="61"/>
        <v>0</v>
      </c>
      <c r="Q513" s="11">
        <f t="shared" si="70"/>
        <v>0</v>
      </c>
      <c r="R513" s="426">
        <f t="shared" si="71"/>
        <v>7752919.2417000355</v>
      </c>
      <c r="S513" s="354">
        <f>+Hirdetmény!$AA$46</f>
        <v>0.13400000000000001</v>
      </c>
      <c r="T513" s="302">
        <f t="shared" si="62"/>
        <v>57204.724235357608</v>
      </c>
      <c r="U513" s="302">
        <f t="shared" si="72"/>
        <v>88424.343327291703</v>
      </c>
      <c r="V513" s="302">
        <f t="shared" si="73"/>
        <v>145629.06756264932</v>
      </c>
      <c r="W513" s="302">
        <f t="shared" si="74"/>
        <v>145629.06756264932</v>
      </c>
      <c r="AA513" s="10">
        <f t="shared" si="75"/>
        <v>5924918.072275958</v>
      </c>
      <c r="AB513" s="354">
        <f>+paraméterek!$B$346</f>
        <v>6.4600000000000005E-2</v>
      </c>
      <c r="AC513" s="302">
        <f t="shared" si="63"/>
        <v>57169.553542157752</v>
      </c>
      <c r="AD513" s="302">
        <f t="shared" si="78"/>
        <v>32650.84354841791</v>
      </c>
      <c r="AE513" s="302">
        <f t="shared" si="76"/>
        <v>89820.397090575658</v>
      </c>
      <c r="AF513" s="478">
        <f t="shared" si="64"/>
        <v>89820.397090575658</v>
      </c>
      <c r="AI513" s="543">
        <f t="shared" si="77"/>
        <v>146437.06756264932</v>
      </c>
      <c r="AJ513" s="543"/>
      <c r="AK513" s="300"/>
      <c r="AL513" s="543"/>
      <c r="AM513" s="10"/>
    </row>
    <row r="514" spans="1:39" s="11" customFormat="1" ht="13.8" hidden="1" x14ac:dyDescent="0.25">
      <c r="A514" s="11">
        <v>159</v>
      </c>
      <c r="B514" s="11">
        <f t="shared" si="65"/>
        <v>14</v>
      </c>
      <c r="C514" s="354">
        <f t="shared" si="54"/>
        <v>0</v>
      </c>
      <c r="D514" s="300">
        <f t="shared" si="56"/>
        <v>4886079.002316243</v>
      </c>
      <c r="E514" s="354">
        <f t="shared" si="66"/>
        <v>0.13400000000000001</v>
      </c>
      <c r="F514" s="354">
        <f t="shared" si="55"/>
        <v>0.03</v>
      </c>
      <c r="H514" s="436">
        <f t="shared" si="57"/>
        <v>54279.850430666665</v>
      </c>
      <c r="I514" s="302">
        <f t="shared" si="58"/>
        <v>0</v>
      </c>
      <c r="K514" s="426">
        <f t="shared" si="67"/>
        <v>66802.287800476537</v>
      </c>
      <c r="L514" s="10">
        <f t="shared" si="68"/>
        <v>66802.287800476537</v>
      </c>
      <c r="M514" s="436">
        <f t="shared" si="69"/>
        <v>66802.287800476537</v>
      </c>
      <c r="N514" s="301">
        <f t="shared" si="59"/>
        <v>12522.437369809873</v>
      </c>
      <c r="O514" s="302">
        <f t="shared" si="60"/>
        <v>66802.287800476508</v>
      </c>
      <c r="P514" s="436">
        <f t="shared" si="61"/>
        <v>0</v>
      </c>
      <c r="Q514" s="11">
        <f t="shared" si="70"/>
        <v>0</v>
      </c>
      <c r="R514" s="426">
        <f t="shared" si="71"/>
        <v>7695066.859348393</v>
      </c>
      <c r="S514" s="354">
        <f>+Hirdetmény!$AA$46</f>
        <v>0.13400000000000001</v>
      </c>
      <c r="T514" s="302">
        <f t="shared" si="62"/>
        <v>57852.382351642656</v>
      </c>
      <c r="U514" s="302">
        <f t="shared" si="72"/>
        <v>87776.685211006668</v>
      </c>
      <c r="V514" s="302">
        <f t="shared" si="73"/>
        <v>145629.06756264932</v>
      </c>
      <c r="W514" s="302">
        <f t="shared" si="74"/>
        <v>145629.06756264932</v>
      </c>
      <c r="AA514" s="10">
        <f t="shared" si="75"/>
        <v>5867436.4814877426</v>
      </c>
      <c r="AB514" s="354">
        <f>+paraméterek!$B$346</f>
        <v>6.4600000000000005E-2</v>
      </c>
      <c r="AC514" s="302">
        <f t="shared" si="63"/>
        <v>57481.590788215755</v>
      </c>
      <c r="AD514" s="302">
        <f t="shared" si="78"/>
        <v>32338.806302359913</v>
      </c>
      <c r="AE514" s="302">
        <f t="shared" si="76"/>
        <v>89820.397090575672</v>
      </c>
      <c r="AF514" s="478">
        <f t="shared" si="64"/>
        <v>89820.397090575672</v>
      </c>
      <c r="AI514" s="543">
        <f t="shared" si="77"/>
        <v>146437.06756264932</v>
      </c>
      <c r="AJ514" s="543"/>
      <c r="AK514" s="300"/>
      <c r="AL514" s="543"/>
      <c r="AM514" s="10"/>
    </row>
    <row r="515" spans="1:39" s="11" customFormat="1" ht="13.8" hidden="1" x14ac:dyDescent="0.25">
      <c r="A515" s="11">
        <v>160</v>
      </c>
      <c r="B515" s="11">
        <f t="shared" si="65"/>
        <v>14</v>
      </c>
      <c r="C515" s="354">
        <f t="shared" si="54"/>
        <v>0</v>
      </c>
      <c r="D515" s="300">
        <f t="shared" si="56"/>
        <v>4831661.567542471</v>
      </c>
      <c r="E515" s="354">
        <f t="shared" si="66"/>
        <v>0.13400000000000001</v>
      </c>
      <c r="F515" s="354">
        <f t="shared" si="55"/>
        <v>0.03</v>
      </c>
      <c r="H515" s="436">
        <f t="shared" si="57"/>
        <v>54417.434773772176</v>
      </c>
      <c r="I515" s="302">
        <f t="shared" si="58"/>
        <v>0</v>
      </c>
      <c r="K515" s="426">
        <f t="shared" si="67"/>
        <v>66802.287800476537</v>
      </c>
      <c r="L515" s="10">
        <f t="shared" si="68"/>
        <v>66802.287800476537</v>
      </c>
      <c r="M515" s="436">
        <f t="shared" si="69"/>
        <v>66802.287800476537</v>
      </c>
      <c r="N515" s="301">
        <f t="shared" si="59"/>
        <v>12384.853026704366</v>
      </c>
      <c r="O515" s="302">
        <f t="shared" si="60"/>
        <v>66802.287800476508</v>
      </c>
      <c r="P515" s="436">
        <f t="shared" si="61"/>
        <v>0</v>
      </c>
      <c r="Q515" s="11">
        <f t="shared" si="70"/>
        <v>0</v>
      </c>
      <c r="R515" s="426">
        <f t="shared" si="71"/>
        <v>7636559.4862511903</v>
      </c>
      <c r="S515" s="354">
        <f>+Hirdetmény!$AA$46</f>
        <v>0.13400000000000001</v>
      </c>
      <c r="T515" s="302">
        <f t="shared" si="62"/>
        <v>58507.373097202573</v>
      </c>
      <c r="U515" s="302">
        <f t="shared" si="72"/>
        <v>87121.694465446752</v>
      </c>
      <c r="V515" s="302">
        <f t="shared" si="73"/>
        <v>145629.06756264932</v>
      </c>
      <c r="W515" s="302">
        <f t="shared" si="74"/>
        <v>145629.06756264932</v>
      </c>
      <c r="AA515" s="10">
        <f t="shared" si="75"/>
        <v>5809641.1503223982</v>
      </c>
      <c r="AB515" s="354">
        <f>+paraméterek!$B$346</f>
        <v>6.4600000000000005E-2</v>
      </c>
      <c r="AC515" s="302">
        <f t="shared" si="63"/>
        <v>57795.331165344309</v>
      </c>
      <c r="AD515" s="302">
        <f t="shared" si="78"/>
        <v>32025.065925231367</v>
      </c>
      <c r="AE515" s="302">
        <f t="shared" si="76"/>
        <v>89820.397090575672</v>
      </c>
      <c r="AF515" s="478">
        <f t="shared" si="64"/>
        <v>89820.397090575672</v>
      </c>
      <c r="AI515" s="543">
        <f t="shared" si="77"/>
        <v>146437.06756264932</v>
      </c>
      <c r="AJ515" s="543"/>
      <c r="AK515" s="300"/>
      <c r="AL515" s="543"/>
      <c r="AM515" s="10"/>
    </row>
    <row r="516" spans="1:39" s="11" customFormat="1" ht="13.8" hidden="1" x14ac:dyDescent="0.25">
      <c r="A516" s="11">
        <v>161</v>
      </c>
      <c r="B516" s="11">
        <f t="shared" si="65"/>
        <v>14</v>
      </c>
      <c r="C516" s="354">
        <f t="shared" si="54"/>
        <v>0</v>
      </c>
      <c r="D516" s="300">
        <f t="shared" si="56"/>
        <v>4777106.1996875014</v>
      </c>
      <c r="E516" s="354">
        <f t="shared" si="66"/>
        <v>0.13400000000000001</v>
      </c>
      <c r="F516" s="354">
        <f t="shared" si="55"/>
        <v>0.03</v>
      </c>
      <c r="H516" s="436">
        <f t="shared" si="57"/>
        <v>54555.367854969583</v>
      </c>
      <c r="I516" s="302">
        <f t="shared" si="58"/>
        <v>0</v>
      </c>
      <c r="K516" s="426">
        <f t="shared" si="67"/>
        <v>66802.287800476537</v>
      </c>
      <c r="L516" s="10">
        <f t="shared" si="68"/>
        <v>66802.287800476537</v>
      </c>
      <c r="M516" s="436">
        <f t="shared" si="69"/>
        <v>66802.287800476537</v>
      </c>
      <c r="N516" s="301">
        <f t="shared" si="59"/>
        <v>12246.919945506959</v>
      </c>
      <c r="O516" s="302">
        <f t="shared" si="60"/>
        <v>66802.287800476508</v>
      </c>
      <c r="P516" s="436">
        <f t="shared" si="61"/>
        <v>0</v>
      </c>
      <c r="Q516" s="11">
        <f t="shared" si="70"/>
        <v>0</v>
      </c>
      <c r="R516" s="426">
        <f t="shared" si="71"/>
        <v>7577389.7067608899</v>
      </c>
      <c r="S516" s="354">
        <f>+Hirdetmény!$AA$46</f>
        <v>0.13400000000000001</v>
      </c>
      <c r="T516" s="302">
        <f t="shared" si="62"/>
        <v>59169.77949030076</v>
      </c>
      <c r="U516" s="302">
        <f t="shared" si="72"/>
        <v>86459.288072348558</v>
      </c>
      <c r="V516" s="302">
        <f t="shared" si="73"/>
        <v>145629.06756264932</v>
      </c>
      <c r="W516" s="302">
        <f t="shared" si="74"/>
        <v>145629.06756264932</v>
      </c>
      <c r="AA516" s="10">
        <f t="shared" si="75"/>
        <v>5751530.3663529921</v>
      </c>
      <c r="AB516" s="354">
        <f>+paraméterek!$B$346</f>
        <v>6.4600000000000005E-2</v>
      </c>
      <c r="AC516" s="302">
        <f t="shared" si="63"/>
        <v>58110.783969406257</v>
      </c>
      <c r="AD516" s="302">
        <f t="shared" si="78"/>
        <v>31709.613121169412</v>
      </c>
      <c r="AE516" s="302">
        <f t="shared" si="76"/>
        <v>89820.397090575672</v>
      </c>
      <c r="AF516" s="478">
        <f t="shared" si="64"/>
        <v>89820.397090575672</v>
      </c>
      <c r="AI516" s="543">
        <f t="shared" si="77"/>
        <v>146437.06756264932</v>
      </c>
      <c r="AJ516" s="543"/>
      <c r="AK516" s="300"/>
      <c r="AL516" s="543"/>
      <c r="AM516" s="10"/>
    </row>
    <row r="517" spans="1:39" s="11" customFormat="1" ht="13.8" hidden="1" x14ac:dyDescent="0.25">
      <c r="A517" s="11">
        <v>162</v>
      </c>
      <c r="B517" s="11">
        <f t="shared" si="65"/>
        <v>14</v>
      </c>
      <c r="C517" s="354">
        <f t="shared" si="54"/>
        <v>0</v>
      </c>
      <c r="D517" s="300">
        <f t="shared" si="56"/>
        <v>4722412.5491292886</v>
      </c>
      <c r="E517" s="354">
        <f t="shared" si="66"/>
        <v>0.13400000000000001</v>
      </c>
      <c r="F517" s="354">
        <f t="shared" si="55"/>
        <v>0.03</v>
      </c>
      <c r="H517" s="436">
        <f t="shared" si="57"/>
        <v>54693.650558213078</v>
      </c>
      <c r="I517" s="302">
        <f t="shared" si="58"/>
        <v>0</v>
      </c>
      <c r="K517" s="426">
        <f t="shared" si="67"/>
        <v>66802.287800476537</v>
      </c>
      <c r="L517" s="10">
        <f t="shared" si="68"/>
        <v>66802.287800476537</v>
      </c>
      <c r="M517" s="436">
        <f t="shared" si="69"/>
        <v>66802.287800476537</v>
      </c>
      <c r="N517" s="301">
        <f t="shared" si="59"/>
        <v>12108.637242263458</v>
      </c>
      <c r="O517" s="302">
        <f t="shared" si="60"/>
        <v>66802.287800476508</v>
      </c>
      <c r="P517" s="436">
        <f t="shared" si="61"/>
        <v>0</v>
      </c>
      <c r="Q517" s="11">
        <f t="shared" si="70"/>
        <v>0</v>
      </c>
      <c r="R517" s="426">
        <f t="shared" si="71"/>
        <v>7517550.0212717764</v>
      </c>
      <c r="S517" s="354">
        <f>+Hirdetmény!$AA$46</f>
        <v>0.13400000000000001</v>
      </c>
      <c r="T517" s="302">
        <f t="shared" si="62"/>
        <v>59839.685489113392</v>
      </c>
      <c r="U517" s="302">
        <f t="shared" si="72"/>
        <v>85789.382073535904</v>
      </c>
      <c r="V517" s="302">
        <f t="shared" si="73"/>
        <v>145629.06756264929</v>
      </c>
      <c r="W517" s="302">
        <f t="shared" si="74"/>
        <v>145629.06756264929</v>
      </c>
      <c r="AA517" s="10">
        <f t="shared" si="75"/>
        <v>5693102.4078059895</v>
      </c>
      <c r="AB517" s="354">
        <f>+paraméterek!$B$346</f>
        <v>6.4600000000000005E-2</v>
      </c>
      <c r="AC517" s="302">
        <f t="shared" si="63"/>
        <v>58427.95854700225</v>
      </c>
      <c r="AD517" s="302">
        <f t="shared" si="78"/>
        <v>31392.438543573426</v>
      </c>
      <c r="AE517" s="302">
        <f t="shared" si="76"/>
        <v>89820.397090575672</v>
      </c>
      <c r="AF517" s="478">
        <f t="shared" si="64"/>
        <v>89820.397090575672</v>
      </c>
      <c r="AI517" s="543">
        <f t="shared" si="77"/>
        <v>146437.06756264929</v>
      </c>
      <c r="AJ517" s="543"/>
      <c r="AK517" s="300"/>
      <c r="AL517" s="543"/>
      <c r="AM517" s="10"/>
    </row>
    <row r="518" spans="1:39" s="11" customFormat="1" ht="13.8" hidden="1" x14ac:dyDescent="0.25">
      <c r="A518" s="11">
        <v>163</v>
      </c>
      <c r="B518" s="11">
        <f t="shared" si="65"/>
        <v>14</v>
      </c>
      <c r="C518" s="354">
        <f t="shared" si="54"/>
        <v>0</v>
      </c>
      <c r="D518" s="300">
        <f t="shared" si="56"/>
        <v>4667580.2653595908</v>
      </c>
      <c r="E518" s="354">
        <f t="shared" si="66"/>
        <v>0.13400000000000001</v>
      </c>
      <c r="F518" s="354">
        <f t="shared" si="55"/>
        <v>0.03</v>
      </c>
      <c r="H518" s="436">
        <f t="shared" si="57"/>
        <v>54832.283769697431</v>
      </c>
      <c r="I518" s="302">
        <f t="shared" si="58"/>
        <v>0</v>
      </c>
      <c r="K518" s="426">
        <f t="shared" si="67"/>
        <v>66802.287800476537</v>
      </c>
      <c r="L518" s="10">
        <f t="shared" si="68"/>
        <v>66802.287800476537</v>
      </c>
      <c r="M518" s="436">
        <f t="shared" si="69"/>
        <v>66802.287800476537</v>
      </c>
      <c r="N518" s="301">
        <f t="shared" si="59"/>
        <v>11970.004030779099</v>
      </c>
      <c r="O518" s="302">
        <f t="shared" si="60"/>
        <v>66802.287800476508</v>
      </c>
      <c r="P518" s="436">
        <f t="shared" si="61"/>
        <v>0</v>
      </c>
      <c r="Q518" s="11">
        <f t="shared" si="70"/>
        <v>0</v>
      </c>
      <c r="R518" s="426">
        <f t="shared" si="71"/>
        <v>7457032.8452694053</v>
      </c>
      <c r="S518" s="354">
        <f>+Hirdetmény!$AA$46</f>
        <v>0.13400000000000001</v>
      </c>
      <c r="T518" s="302">
        <f t="shared" si="62"/>
        <v>60517.176002370921</v>
      </c>
      <c r="U518" s="302">
        <f t="shared" si="72"/>
        <v>85111.891560278367</v>
      </c>
      <c r="V518" s="302">
        <f t="shared" si="73"/>
        <v>145629.06756264929</v>
      </c>
      <c r="W518" s="302">
        <f t="shared" si="74"/>
        <v>145629.06756264929</v>
      </c>
      <c r="AA518" s="10">
        <f t="shared" si="75"/>
        <v>5634355.5435102424</v>
      </c>
      <c r="AB518" s="354">
        <f>+paraméterek!$B$346</f>
        <v>6.4600000000000005E-2</v>
      </c>
      <c r="AC518" s="302">
        <f t="shared" si="63"/>
        <v>58746.864295747553</v>
      </c>
      <c r="AD518" s="302">
        <f t="shared" si="78"/>
        <v>31073.532794828108</v>
      </c>
      <c r="AE518" s="302">
        <f t="shared" si="76"/>
        <v>89820.397090575658</v>
      </c>
      <c r="AF518" s="478">
        <f t="shared" si="64"/>
        <v>89820.397090575658</v>
      </c>
      <c r="AI518" s="543">
        <f t="shared" si="77"/>
        <v>146437.06756264929</v>
      </c>
      <c r="AJ518" s="543"/>
      <c r="AK518" s="300"/>
      <c r="AL518" s="543"/>
      <c r="AM518" s="10"/>
    </row>
    <row r="519" spans="1:39" s="11" customFormat="1" ht="13.8" hidden="1" x14ac:dyDescent="0.25">
      <c r="A519" s="11">
        <v>164</v>
      </c>
      <c r="B519" s="11">
        <f t="shared" si="65"/>
        <v>14</v>
      </c>
      <c r="C519" s="354">
        <f t="shared" si="54"/>
        <v>0</v>
      </c>
      <c r="D519" s="300">
        <f t="shared" si="56"/>
        <v>4612608.996981727</v>
      </c>
      <c r="E519" s="354">
        <f t="shared" si="66"/>
        <v>0.13400000000000001</v>
      </c>
      <c r="F519" s="354">
        <f t="shared" si="55"/>
        <v>0.03</v>
      </c>
      <c r="H519" s="436">
        <f t="shared" si="57"/>
        <v>54971.268377863693</v>
      </c>
      <c r="I519" s="302">
        <f t="shared" si="58"/>
        <v>0</v>
      </c>
      <c r="K519" s="426">
        <f t="shared" si="67"/>
        <v>66802.287800476537</v>
      </c>
      <c r="L519" s="10">
        <f t="shared" si="68"/>
        <v>66802.287800476537</v>
      </c>
      <c r="M519" s="436">
        <f t="shared" si="69"/>
        <v>66802.287800476537</v>
      </c>
      <c r="N519" s="301">
        <f t="shared" si="59"/>
        <v>11831.019422612851</v>
      </c>
      <c r="O519" s="302">
        <f t="shared" si="60"/>
        <v>66802.287800476508</v>
      </c>
      <c r="P519" s="436">
        <f t="shared" si="61"/>
        <v>0</v>
      </c>
      <c r="Q519" s="11">
        <f t="shared" si="70"/>
        <v>0</v>
      </c>
      <c r="R519" s="426">
        <f t="shared" si="71"/>
        <v>7395830.5083692856</v>
      </c>
      <c r="S519" s="354">
        <f>+Hirdetmény!$AA$46</f>
        <v>0.13400000000000001</v>
      </c>
      <c r="T519" s="302">
        <f t="shared" si="62"/>
        <v>61202.336900119997</v>
      </c>
      <c r="U519" s="302">
        <f t="shared" si="72"/>
        <v>84426.730662529313</v>
      </c>
      <c r="V519" s="302">
        <f t="shared" si="73"/>
        <v>145629.06756264932</v>
      </c>
      <c r="W519" s="302">
        <f t="shared" si="74"/>
        <v>145629.06756264932</v>
      </c>
      <c r="AA519" s="10">
        <f t="shared" si="75"/>
        <v>5575288.0328456918</v>
      </c>
      <c r="AB519" s="354">
        <f>+paraméterek!$B$346</f>
        <v>6.4600000000000005E-2</v>
      </c>
      <c r="AC519" s="302">
        <f t="shared" si="63"/>
        <v>59067.510664550668</v>
      </c>
      <c r="AD519" s="302">
        <f t="shared" si="78"/>
        <v>30752.886426025005</v>
      </c>
      <c r="AE519" s="302">
        <f t="shared" si="76"/>
        <v>89820.397090575672</v>
      </c>
      <c r="AF519" s="478">
        <f t="shared" si="64"/>
        <v>89820.397090575672</v>
      </c>
      <c r="AI519" s="543">
        <f t="shared" si="77"/>
        <v>146437.06756264932</v>
      </c>
      <c r="AJ519" s="543"/>
      <c r="AK519" s="300"/>
      <c r="AL519" s="543"/>
      <c r="AM519" s="10"/>
    </row>
    <row r="520" spans="1:39" s="11" customFormat="1" ht="13.8" hidden="1" x14ac:dyDescent="0.25">
      <c r="A520" s="11">
        <v>165</v>
      </c>
      <c r="B520" s="11">
        <f t="shared" si="65"/>
        <v>14</v>
      </c>
      <c r="C520" s="354">
        <f t="shared" si="54"/>
        <v>0</v>
      </c>
      <c r="D520" s="300">
        <f t="shared" si="56"/>
        <v>4557498.3917083219</v>
      </c>
      <c r="E520" s="354">
        <f t="shared" si="66"/>
        <v>0.13400000000000001</v>
      </c>
      <c r="F520" s="354">
        <f t="shared" si="55"/>
        <v>0.03</v>
      </c>
      <c r="H520" s="436">
        <f t="shared" si="57"/>
        <v>55110.605273404799</v>
      </c>
      <c r="I520" s="302">
        <f t="shared" si="58"/>
        <v>0</v>
      </c>
      <c r="K520" s="426">
        <f t="shared" si="67"/>
        <v>66802.287800476537</v>
      </c>
      <c r="L520" s="10">
        <f t="shared" si="68"/>
        <v>66802.287800476537</v>
      </c>
      <c r="M520" s="436">
        <f t="shared" si="69"/>
        <v>66802.287800476537</v>
      </c>
      <c r="N520" s="301">
        <f t="shared" si="59"/>
        <v>11691.682527071738</v>
      </c>
      <c r="O520" s="302">
        <f t="shared" si="60"/>
        <v>66802.287800476508</v>
      </c>
      <c r="P520" s="436">
        <f t="shared" si="61"/>
        <v>0</v>
      </c>
      <c r="Q520" s="11">
        <f t="shared" si="70"/>
        <v>0</v>
      </c>
      <c r="R520" s="426">
        <f t="shared" si="71"/>
        <v>7333935.2533446783</v>
      </c>
      <c r="S520" s="354">
        <f>+Hirdetmény!$AA$46</f>
        <v>0.13400000000000001</v>
      </c>
      <c r="T520" s="302">
        <f t="shared" si="62"/>
        <v>61895.255024607242</v>
      </c>
      <c r="U520" s="302">
        <f t="shared" si="72"/>
        <v>83733.812538042082</v>
      </c>
      <c r="V520" s="302">
        <f t="shared" si="73"/>
        <v>145629.06756264932</v>
      </c>
      <c r="W520" s="302">
        <f t="shared" si="74"/>
        <v>145629.06756264932</v>
      </c>
      <c r="AA520" s="10">
        <f t="shared" si="75"/>
        <v>5515898.1256917985</v>
      </c>
      <c r="AB520" s="354">
        <f>+paraméterek!$B$346</f>
        <v>6.4600000000000005E-2</v>
      </c>
      <c r="AC520" s="302">
        <f t="shared" si="63"/>
        <v>59389.907153893131</v>
      </c>
      <c r="AD520" s="302">
        <f t="shared" si="78"/>
        <v>30430.489936682541</v>
      </c>
      <c r="AE520" s="302">
        <f t="shared" si="76"/>
        <v>89820.397090575672</v>
      </c>
      <c r="AF520" s="478">
        <f t="shared" si="64"/>
        <v>89820.397090575672</v>
      </c>
      <c r="AI520" s="543">
        <f t="shared" si="77"/>
        <v>146437.06756264932</v>
      </c>
      <c r="AJ520" s="543"/>
      <c r="AK520" s="300"/>
      <c r="AL520" s="543"/>
      <c r="AM520" s="10"/>
    </row>
    <row r="521" spans="1:39" s="11" customFormat="1" ht="13.8" hidden="1" x14ac:dyDescent="0.25">
      <c r="A521" s="11">
        <v>166</v>
      </c>
      <c r="B521" s="11">
        <f t="shared" si="65"/>
        <v>14</v>
      </c>
      <c r="C521" s="354">
        <f t="shared" si="54"/>
        <v>0</v>
      </c>
      <c r="D521" s="300">
        <f t="shared" si="56"/>
        <v>4502248.0963590508</v>
      </c>
      <c r="E521" s="354">
        <f t="shared" si="66"/>
        <v>0.13400000000000001</v>
      </c>
      <c r="F521" s="354">
        <f t="shared" si="55"/>
        <v>0.03</v>
      </c>
      <c r="H521" s="436">
        <f t="shared" si="57"/>
        <v>55250.295349271415</v>
      </c>
      <c r="I521" s="302">
        <f t="shared" si="58"/>
        <v>0</v>
      </c>
      <c r="K521" s="426">
        <f t="shared" si="67"/>
        <v>66802.287800476537</v>
      </c>
      <c r="L521" s="10">
        <f t="shared" si="68"/>
        <v>66802.287800476537</v>
      </c>
      <c r="M521" s="436">
        <f t="shared" si="69"/>
        <v>66802.287800476537</v>
      </c>
      <c r="N521" s="301">
        <f t="shared" si="59"/>
        <v>11551.99245120512</v>
      </c>
      <c r="O521" s="302">
        <f t="shared" si="60"/>
        <v>66802.287800476508</v>
      </c>
      <c r="P521" s="436">
        <f t="shared" si="61"/>
        <v>0</v>
      </c>
      <c r="Q521" s="11">
        <f t="shared" si="70"/>
        <v>0</v>
      </c>
      <c r="R521" s="426">
        <f t="shared" si="71"/>
        <v>7271339.2351433923</v>
      </c>
      <c r="S521" s="354">
        <f>+Hirdetmény!$AA$46</f>
        <v>0.13400000000000001</v>
      </c>
      <c r="T521" s="302">
        <f t="shared" si="62"/>
        <v>62596.018201286293</v>
      </c>
      <c r="U521" s="302">
        <f t="shared" si="72"/>
        <v>83033.04936136301</v>
      </c>
      <c r="V521" s="302">
        <f t="shared" si="73"/>
        <v>145629.06756264932</v>
      </c>
      <c r="W521" s="302">
        <f t="shared" si="74"/>
        <v>145629.06756264932</v>
      </c>
      <c r="AA521" s="10">
        <f t="shared" si="75"/>
        <v>5456184.0623756871</v>
      </c>
      <c r="AB521" s="354">
        <f>+paraméterek!$B$346</f>
        <v>6.4600000000000005E-2</v>
      </c>
      <c r="AC521" s="302">
        <f t="shared" si="63"/>
        <v>59714.063316111096</v>
      </c>
      <c r="AD521" s="302">
        <f t="shared" si="78"/>
        <v>30106.333774464569</v>
      </c>
      <c r="AE521" s="302">
        <f t="shared" si="76"/>
        <v>89820.397090575658</v>
      </c>
      <c r="AF521" s="478">
        <f t="shared" si="64"/>
        <v>89820.397090575658</v>
      </c>
      <c r="AI521" s="543">
        <f t="shared" si="77"/>
        <v>146437.06756264932</v>
      </c>
      <c r="AJ521" s="543"/>
      <c r="AK521" s="300"/>
      <c r="AL521" s="543"/>
      <c r="AM521" s="10"/>
    </row>
    <row r="522" spans="1:39" s="11" customFormat="1" ht="13.8" hidden="1" x14ac:dyDescent="0.25">
      <c r="A522" s="11">
        <v>167</v>
      </c>
      <c r="B522" s="11">
        <f t="shared" si="65"/>
        <v>14</v>
      </c>
      <c r="C522" s="354">
        <f t="shared" si="54"/>
        <v>0</v>
      </c>
      <c r="D522" s="300">
        <f t="shared" si="56"/>
        <v>4446857.7568583731</v>
      </c>
      <c r="E522" s="354">
        <f t="shared" si="66"/>
        <v>0.13400000000000001</v>
      </c>
      <c r="F522" s="354">
        <f t="shared" si="55"/>
        <v>0.03</v>
      </c>
      <c r="H522" s="436">
        <f t="shared" si="57"/>
        <v>55390.339500677561</v>
      </c>
      <c r="I522" s="302">
        <f t="shared" si="58"/>
        <v>0</v>
      </c>
      <c r="K522" s="426">
        <f t="shared" si="67"/>
        <v>66802.287800476537</v>
      </c>
      <c r="L522" s="10">
        <f t="shared" si="68"/>
        <v>66802.287800476537</v>
      </c>
      <c r="M522" s="436">
        <f t="shared" si="69"/>
        <v>66802.287800476537</v>
      </c>
      <c r="N522" s="301">
        <f t="shared" si="59"/>
        <v>11411.948299798983</v>
      </c>
      <c r="O522" s="302">
        <f t="shared" si="60"/>
        <v>66802.287800476508</v>
      </c>
      <c r="P522" s="436">
        <f t="shared" si="61"/>
        <v>0</v>
      </c>
      <c r="Q522" s="11">
        <f t="shared" si="70"/>
        <v>0</v>
      </c>
      <c r="R522" s="426">
        <f t="shared" si="71"/>
        <v>7208034.5198934432</v>
      </c>
      <c r="S522" s="354">
        <f>+Hirdetmény!$AA$46</f>
        <v>0.13400000000000001</v>
      </c>
      <c r="T522" s="302">
        <f t="shared" si="62"/>
        <v>63304.715249949484</v>
      </c>
      <c r="U522" s="302">
        <f t="shared" si="72"/>
        <v>82324.352312699848</v>
      </c>
      <c r="V522" s="302">
        <f t="shared" si="73"/>
        <v>145629.06756264932</v>
      </c>
      <c r="W522" s="302">
        <f t="shared" si="74"/>
        <v>145629.06756264932</v>
      </c>
      <c r="AA522" s="10">
        <f t="shared" si="75"/>
        <v>5396144.0736200083</v>
      </c>
      <c r="AB522" s="354">
        <f>+paraméterek!$B$346</f>
        <v>6.4600000000000005E-2</v>
      </c>
      <c r="AC522" s="302">
        <f t="shared" si="63"/>
        <v>60039.988755678365</v>
      </c>
      <c r="AD522" s="302">
        <f t="shared" si="78"/>
        <v>29780.4083348973</v>
      </c>
      <c r="AE522" s="302">
        <f t="shared" si="76"/>
        <v>89820.397090575658</v>
      </c>
      <c r="AF522" s="478">
        <f t="shared" si="64"/>
        <v>89820.397090575658</v>
      </c>
      <c r="AI522" s="543">
        <f t="shared" si="77"/>
        <v>146437.06756264932</v>
      </c>
      <c r="AJ522" s="543"/>
      <c r="AK522" s="300"/>
      <c r="AL522" s="543"/>
      <c r="AM522" s="10"/>
    </row>
    <row r="523" spans="1:39" s="11" customFormat="1" ht="13.8" hidden="1" x14ac:dyDescent="0.25">
      <c r="A523" s="11">
        <v>168</v>
      </c>
      <c r="B523" s="11">
        <f t="shared" si="65"/>
        <v>14</v>
      </c>
      <c r="C523" s="354">
        <f t="shared" si="54"/>
        <v>0</v>
      </c>
      <c r="D523" s="300">
        <f t="shared" si="56"/>
        <v>4391327.0182332667</v>
      </c>
      <c r="E523" s="354">
        <f t="shared" si="66"/>
        <v>0.13400000000000001</v>
      </c>
      <c r="F523" s="354">
        <f t="shared" si="55"/>
        <v>0.03</v>
      </c>
      <c r="H523" s="436">
        <f t="shared" si="57"/>
        <v>55530.738625106358</v>
      </c>
      <c r="I523" s="302">
        <f t="shared" si="58"/>
        <v>0</v>
      </c>
      <c r="K523" s="426">
        <f t="shared" si="67"/>
        <v>66802.287800476537</v>
      </c>
      <c r="L523" s="10">
        <f t="shared" si="68"/>
        <v>66802.287800476537</v>
      </c>
      <c r="M523" s="436">
        <f t="shared" si="69"/>
        <v>66802.287800476537</v>
      </c>
      <c r="N523" s="301">
        <f t="shared" si="59"/>
        <v>11271.549175370184</v>
      </c>
      <c r="O523" s="302">
        <f t="shared" si="60"/>
        <v>66802.287800476508</v>
      </c>
      <c r="P523" s="436">
        <f t="shared" si="61"/>
        <v>0</v>
      </c>
      <c r="Q523" s="11">
        <f t="shared" si="70"/>
        <v>0</v>
      </c>
      <c r="R523" s="426">
        <f t="shared" si="71"/>
        <v>7144013.0838974575</v>
      </c>
      <c r="S523" s="354">
        <f>+Hirdetmény!$AA$46</f>
        <v>0.13400000000000001</v>
      </c>
      <c r="T523" s="302">
        <f t="shared" si="62"/>
        <v>64021.435995985368</v>
      </c>
      <c r="U523" s="302">
        <f t="shared" si="72"/>
        <v>81607.631566663971</v>
      </c>
      <c r="V523" s="302">
        <f t="shared" si="73"/>
        <v>145629.06756264935</v>
      </c>
      <c r="W523" s="302">
        <f t="shared" si="74"/>
        <v>145629.06756264935</v>
      </c>
      <c r="AA523" s="10">
        <f t="shared" si="75"/>
        <v>5335776.3804905172</v>
      </c>
      <c r="AB523" s="354">
        <f>+paraméterek!$B$346</f>
        <v>6.4600000000000005E-2</v>
      </c>
      <c r="AC523" s="302">
        <f t="shared" si="63"/>
        <v>60367.693129490894</v>
      </c>
      <c r="AD523" s="302">
        <f t="shared" si="78"/>
        <v>29452.703961084768</v>
      </c>
      <c r="AE523" s="302">
        <f t="shared" si="76"/>
        <v>89820.397090575658</v>
      </c>
      <c r="AF523" s="478">
        <f t="shared" si="64"/>
        <v>89820.397090575658</v>
      </c>
      <c r="AI523" s="543">
        <f t="shared" si="77"/>
        <v>146437.06756264935</v>
      </c>
      <c r="AJ523" s="543"/>
      <c r="AK523" s="300"/>
      <c r="AL523" s="543"/>
      <c r="AM523" s="10"/>
    </row>
    <row r="524" spans="1:39" s="11" customFormat="1" ht="13.8" hidden="1" x14ac:dyDescent="0.25">
      <c r="A524" s="11">
        <v>169</v>
      </c>
      <c r="B524" s="11">
        <f t="shared" si="65"/>
        <v>15</v>
      </c>
      <c r="C524" s="354">
        <f t="shared" si="54"/>
        <v>0</v>
      </c>
      <c r="D524" s="300">
        <f t="shared" si="56"/>
        <v>4335655.5246109506</v>
      </c>
      <c r="E524" s="354">
        <f t="shared" si="66"/>
        <v>0.13400000000000001</v>
      </c>
      <c r="F524" s="354">
        <f t="shared" si="55"/>
        <v>0.03</v>
      </c>
      <c r="H524" s="436">
        <f t="shared" si="57"/>
        <v>55671.493622315829</v>
      </c>
      <c r="I524" s="302">
        <f t="shared" si="58"/>
        <v>0</v>
      </c>
      <c r="K524" s="426">
        <f t="shared" si="67"/>
        <v>66802.287800476537</v>
      </c>
      <c r="L524" s="10">
        <f t="shared" si="68"/>
        <v>66802.287800476537</v>
      </c>
      <c r="M524" s="436">
        <f t="shared" si="69"/>
        <v>66802.287800476537</v>
      </c>
      <c r="N524" s="301">
        <f t="shared" si="59"/>
        <v>11130.79417816071</v>
      </c>
      <c r="O524" s="302">
        <f t="shared" si="60"/>
        <v>66802.287800476508</v>
      </c>
      <c r="P524" s="436">
        <f t="shared" si="61"/>
        <v>0</v>
      </c>
      <c r="Q524" s="11">
        <f t="shared" si="70"/>
        <v>0</v>
      </c>
      <c r="R524" s="426">
        <f t="shared" si="71"/>
        <v>7079266.8126156935</v>
      </c>
      <c r="S524" s="354">
        <f>+Hirdetmény!$AA$46</f>
        <v>0.13400000000000001</v>
      </c>
      <c r="T524" s="302">
        <f t="shared" si="62"/>
        <v>64746.271281763977</v>
      </c>
      <c r="U524" s="302">
        <f t="shared" si="72"/>
        <v>80882.796280885348</v>
      </c>
      <c r="V524" s="302">
        <f t="shared" si="73"/>
        <v>145629.06756264932</v>
      </c>
      <c r="W524" s="302">
        <f t="shared" si="74"/>
        <v>145629.06756264932</v>
      </c>
      <c r="AA524" s="10">
        <f t="shared" si="75"/>
        <v>5275079.1943433639</v>
      </c>
      <c r="AB524" s="354">
        <f>+paraméterek!$B$346</f>
        <v>6.4600000000000005E-2</v>
      </c>
      <c r="AC524" s="302">
        <f t="shared" si="63"/>
        <v>60697.186147152992</v>
      </c>
      <c r="AD524" s="302">
        <f t="shared" si="78"/>
        <v>29123.210943422666</v>
      </c>
      <c r="AE524" s="302">
        <f t="shared" si="76"/>
        <v>89820.397090575658</v>
      </c>
      <c r="AF524" s="478">
        <f t="shared" si="64"/>
        <v>89820.397090575658</v>
      </c>
      <c r="AI524" s="543">
        <f t="shared" si="77"/>
        <v>146437.06756264932</v>
      </c>
      <c r="AJ524" s="543"/>
      <c r="AK524" s="300"/>
      <c r="AL524" s="543"/>
      <c r="AM524" s="10"/>
    </row>
    <row r="525" spans="1:39" s="11" customFormat="1" ht="13.8" hidden="1" x14ac:dyDescent="0.25">
      <c r="A525" s="11">
        <v>170</v>
      </c>
      <c r="B525" s="11">
        <f t="shared" si="65"/>
        <v>15</v>
      </c>
      <c r="C525" s="354">
        <f t="shared" si="54"/>
        <v>0</v>
      </c>
      <c r="D525" s="300">
        <f t="shared" si="56"/>
        <v>4279842.9192166058</v>
      </c>
      <c r="E525" s="354">
        <f t="shared" si="66"/>
        <v>0.13400000000000001</v>
      </c>
      <c r="F525" s="354">
        <f t="shared" si="55"/>
        <v>0.03</v>
      </c>
      <c r="H525" s="436">
        <f t="shared" si="57"/>
        <v>55812.60539434461</v>
      </c>
      <c r="I525" s="302">
        <f t="shared" si="58"/>
        <v>0</v>
      </c>
      <c r="K525" s="426">
        <f t="shared" si="67"/>
        <v>66802.287800476537</v>
      </c>
      <c r="L525" s="10">
        <f t="shared" si="68"/>
        <v>66802.287800476537</v>
      </c>
      <c r="M525" s="436">
        <f t="shared" si="69"/>
        <v>66802.287800476537</v>
      </c>
      <c r="N525" s="301">
        <f t="shared" si="59"/>
        <v>10989.682406131924</v>
      </c>
      <c r="O525" s="302">
        <f t="shared" si="60"/>
        <v>66802.287800476508</v>
      </c>
      <c r="P525" s="436">
        <f t="shared" si="61"/>
        <v>0</v>
      </c>
      <c r="Q525" s="11">
        <f t="shared" si="70"/>
        <v>0</v>
      </c>
      <c r="R525" s="426">
        <f t="shared" si="71"/>
        <v>7013787.4996375423</v>
      </c>
      <c r="S525" s="354">
        <f>+Hirdetmény!$AA$46</f>
        <v>0.13400000000000001</v>
      </c>
      <c r="T525" s="302">
        <f t="shared" si="62"/>
        <v>65479.312978150818</v>
      </c>
      <c r="U525" s="302">
        <f t="shared" si="72"/>
        <v>80149.754584498529</v>
      </c>
      <c r="V525" s="302">
        <f t="shared" si="73"/>
        <v>145629.06756264935</v>
      </c>
      <c r="W525" s="302">
        <f t="shared" si="74"/>
        <v>145629.06756264935</v>
      </c>
      <c r="AA525" s="10">
        <f t="shared" si="75"/>
        <v>5214050.716772099</v>
      </c>
      <c r="AB525" s="354">
        <f>+paraméterek!$B$346</f>
        <v>6.4600000000000005E-2</v>
      </c>
      <c r="AC525" s="302">
        <f t="shared" si="63"/>
        <v>61028.477571264957</v>
      </c>
      <c r="AD525" s="302">
        <f t="shared" si="78"/>
        <v>28791.919519310697</v>
      </c>
      <c r="AE525" s="302">
        <f t="shared" si="76"/>
        <v>89820.397090575658</v>
      </c>
      <c r="AF525" s="478">
        <f t="shared" si="64"/>
        <v>89820.397090575658</v>
      </c>
      <c r="AI525" s="543">
        <f t="shared" si="77"/>
        <v>146437.06756264935</v>
      </c>
      <c r="AJ525" s="543"/>
      <c r="AK525" s="300"/>
      <c r="AL525" s="543"/>
      <c r="AM525" s="10"/>
    </row>
    <row r="526" spans="1:39" s="11" customFormat="1" ht="13.8" hidden="1" x14ac:dyDescent="0.25">
      <c r="A526" s="11">
        <v>171</v>
      </c>
      <c r="B526" s="11">
        <f t="shared" si="65"/>
        <v>15</v>
      </c>
      <c r="C526" s="354">
        <f t="shared" si="54"/>
        <v>0</v>
      </c>
      <c r="D526" s="300">
        <f t="shared" si="56"/>
        <v>4223888.8443710878</v>
      </c>
      <c r="E526" s="354">
        <f t="shared" si="66"/>
        <v>0.13400000000000001</v>
      </c>
      <c r="F526" s="354">
        <f t="shared" si="55"/>
        <v>0.03</v>
      </c>
      <c r="H526" s="436">
        <f t="shared" si="57"/>
        <v>55954.074845517775</v>
      </c>
      <c r="I526" s="302">
        <f t="shared" si="58"/>
        <v>0</v>
      </c>
      <c r="K526" s="426">
        <f t="shared" si="67"/>
        <v>66802.287800476537</v>
      </c>
      <c r="L526" s="10">
        <f t="shared" si="68"/>
        <v>66802.287800476537</v>
      </c>
      <c r="M526" s="436">
        <f t="shared" si="69"/>
        <v>66802.287800476537</v>
      </c>
      <c r="N526" s="301">
        <f t="shared" si="59"/>
        <v>10848.212954958757</v>
      </c>
      <c r="O526" s="302">
        <f t="shared" si="60"/>
        <v>66802.287800476508</v>
      </c>
      <c r="P526" s="436">
        <f t="shared" si="61"/>
        <v>0</v>
      </c>
      <c r="Q526" s="11">
        <f t="shared" si="70"/>
        <v>0</v>
      </c>
      <c r="R526" s="426">
        <f t="shared" si="71"/>
        <v>6947566.8456413914</v>
      </c>
      <c r="S526" s="354">
        <f>+Hirdetmény!$AA$46</f>
        <v>0.13400000000000001</v>
      </c>
      <c r="T526" s="302">
        <f t="shared" si="62"/>
        <v>66220.653996151115</v>
      </c>
      <c r="U526" s="302">
        <f t="shared" si="72"/>
        <v>79408.413566498202</v>
      </c>
      <c r="V526" s="302">
        <f t="shared" si="73"/>
        <v>145629.06756264932</v>
      </c>
      <c r="W526" s="302">
        <f t="shared" si="74"/>
        <v>145629.06756264932</v>
      </c>
      <c r="AA526" s="10">
        <f t="shared" si="75"/>
        <v>5152689.139554387</v>
      </c>
      <c r="AB526" s="354">
        <f>+paraméterek!$B$346</f>
        <v>6.4600000000000005E-2</v>
      </c>
      <c r="AC526" s="302">
        <f t="shared" si="63"/>
        <v>61361.57721771238</v>
      </c>
      <c r="AD526" s="302">
        <f t="shared" si="78"/>
        <v>28458.819872863271</v>
      </c>
      <c r="AE526" s="302">
        <f t="shared" si="76"/>
        <v>89820.397090575658</v>
      </c>
      <c r="AF526" s="478">
        <f t="shared" si="64"/>
        <v>89820.397090575658</v>
      </c>
      <c r="AI526" s="543">
        <f t="shared" si="77"/>
        <v>146437.06756264932</v>
      </c>
      <c r="AJ526" s="543"/>
      <c r="AK526" s="300"/>
      <c r="AL526" s="543"/>
      <c r="AM526" s="10"/>
    </row>
    <row r="527" spans="1:39" s="11" customFormat="1" ht="13.8" hidden="1" x14ac:dyDescent="0.25">
      <c r="A527" s="11">
        <v>172</v>
      </c>
      <c r="B527" s="11">
        <f t="shared" si="65"/>
        <v>15</v>
      </c>
      <c r="C527" s="354">
        <f t="shared" si="54"/>
        <v>0</v>
      </c>
      <c r="D527" s="300">
        <f t="shared" si="56"/>
        <v>4167792.9414886353</v>
      </c>
      <c r="E527" s="354">
        <f t="shared" si="66"/>
        <v>0.13400000000000001</v>
      </c>
      <c r="F527" s="354">
        <f t="shared" si="55"/>
        <v>0.03</v>
      </c>
      <c r="H527" s="436">
        <f t="shared" si="57"/>
        <v>56095.902882452596</v>
      </c>
      <c r="I527" s="302">
        <f t="shared" si="58"/>
        <v>0</v>
      </c>
      <c r="K527" s="426">
        <f t="shared" si="67"/>
        <v>66802.287800476537</v>
      </c>
      <c r="L527" s="10">
        <f t="shared" si="68"/>
        <v>66802.287800476537</v>
      </c>
      <c r="M527" s="436">
        <f t="shared" si="69"/>
        <v>66802.287800476537</v>
      </c>
      <c r="N527" s="301">
        <f t="shared" si="59"/>
        <v>10706.384918023938</v>
      </c>
      <c r="O527" s="302">
        <f t="shared" si="60"/>
        <v>66802.287800476508</v>
      </c>
      <c r="P527" s="436">
        <f t="shared" si="61"/>
        <v>0</v>
      </c>
      <c r="Q527" s="11">
        <f t="shared" si="70"/>
        <v>0</v>
      </c>
      <c r="R527" s="426">
        <f t="shared" si="71"/>
        <v>6880596.4573427048</v>
      </c>
      <c r="S527" s="354">
        <f>+Hirdetmény!$AA$46</f>
        <v>0.13400000000000001</v>
      </c>
      <c r="T527" s="302">
        <f t="shared" si="62"/>
        <v>66970.388298686245</v>
      </c>
      <c r="U527" s="302">
        <f t="shared" si="72"/>
        <v>78658.679263963073</v>
      </c>
      <c r="V527" s="302">
        <f t="shared" si="73"/>
        <v>145629.06756264932</v>
      </c>
      <c r="W527" s="302">
        <f t="shared" si="74"/>
        <v>145629.06756264932</v>
      </c>
      <c r="AA527" s="10">
        <f t="shared" si="75"/>
        <v>5090992.64459843</v>
      </c>
      <c r="AB527" s="354">
        <f>+paraméterek!$B$346</f>
        <v>6.4600000000000005E-2</v>
      </c>
      <c r="AC527" s="302">
        <f t="shared" si="63"/>
        <v>61696.494955956936</v>
      </c>
      <c r="AD527" s="302">
        <f t="shared" si="78"/>
        <v>28123.902134618726</v>
      </c>
      <c r="AE527" s="302">
        <f t="shared" si="76"/>
        <v>89820.397090575658</v>
      </c>
      <c r="AF527" s="478">
        <f t="shared" si="64"/>
        <v>89820.397090575658</v>
      </c>
      <c r="AI527" s="543">
        <f t="shared" si="77"/>
        <v>146437.06756264932</v>
      </c>
      <c r="AJ527" s="543"/>
      <c r="AK527" s="300"/>
      <c r="AL527" s="543"/>
      <c r="AM527" s="10"/>
    </row>
    <row r="528" spans="1:39" s="11" customFormat="1" ht="13.8" hidden="1" x14ac:dyDescent="0.25">
      <c r="A528" s="11">
        <v>173</v>
      </c>
      <c r="B528" s="11">
        <f t="shared" si="65"/>
        <v>15</v>
      </c>
      <c r="C528" s="354">
        <f t="shared" si="54"/>
        <v>0</v>
      </c>
      <c r="D528" s="300">
        <f t="shared" si="56"/>
        <v>4111554.8510745708</v>
      </c>
      <c r="E528" s="354">
        <f t="shared" si="66"/>
        <v>0.13400000000000001</v>
      </c>
      <c r="F528" s="354">
        <f t="shared" si="55"/>
        <v>0.03</v>
      </c>
      <c r="H528" s="436">
        <f t="shared" si="57"/>
        <v>56238.090414064369</v>
      </c>
      <c r="I528" s="302">
        <f t="shared" si="58"/>
        <v>0</v>
      </c>
      <c r="K528" s="426">
        <f t="shared" si="67"/>
        <v>66802.287800476537</v>
      </c>
      <c r="L528" s="10">
        <f t="shared" si="68"/>
        <v>66802.287800476537</v>
      </c>
      <c r="M528" s="436">
        <f t="shared" si="69"/>
        <v>66802.287800476537</v>
      </c>
      <c r="N528" s="301">
        <f t="shared" si="59"/>
        <v>10564.197386412166</v>
      </c>
      <c r="O528" s="302">
        <f t="shared" si="60"/>
        <v>66802.287800476508</v>
      </c>
      <c r="P528" s="436">
        <f t="shared" si="61"/>
        <v>0</v>
      </c>
      <c r="Q528" s="11">
        <f t="shared" si="70"/>
        <v>0</v>
      </c>
      <c r="R528" s="426">
        <f t="shared" si="71"/>
        <v>6812867.846430202</v>
      </c>
      <c r="S528" s="354">
        <f>+Hirdetmény!$AA$46</f>
        <v>0.13400000000000001</v>
      </c>
      <c r="T528" s="302">
        <f t="shared" si="62"/>
        <v>67728.610912503078</v>
      </c>
      <c r="U528" s="302">
        <f t="shared" si="72"/>
        <v>77900.456650146225</v>
      </c>
      <c r="V528" s="302">
        <f t="shared" si="73"/>
        <v>145629.06756264932</v>
      </c>
      <c r="W528" s="302">
        <f t="shared" si="74"/>
        <v>145629.06756264932</v>
      </c>
      <c r="AA528" s="10">
        <f t="shared" si="75"/>
        <v>5028959.403889101</v>
      </c>
      <c r="AB528" s="354">
        <f>+paraméterek!$B$346</f>
        <v>6.4600000000000005E-2</v>
      </c>
      <c r="AC528" s="302">
        <f t="shared" si="63"/>
        <v>62033.240709328806</v>
      </c>
      <c r="AD528" s="302">
        <f t="shared" si="78"/>
        <v>27787.156381246852</v>
      </c>
      <c r="AE528" s="302">
        <f t="shared" si="76"/>
        <v>89820.397090575658</v>
      </c>
      <c r="AF528" s="478">
        <f t="shared" si="64"/>
        <v>89820.397090575658</v>
      </c>
      <c r="AI528" s="543">
        <f t="shared" si="77"/>
        <v>146437.06756264932</v>
      </c>
      <c r="AJ528" s="543"/>
      <c r="AK528" s="300"/>
      <c r="AL528" s="543"/>
      <c r="AM528" s="10"/>
    </row>
    <row r="529" spans="1:39" s="11" customFormat="1" ht="13.8" hidden="1" x14ac:dyDescent="0.25">
      <c r="A529" s="11">
        <v>174</v>
      </c>
      <c r="B529" s="11">
        <f t="shared" si="65"/>
        <v>15</v>
      </c>
      <c r="C529" s="354">
        <f t="shared" si="54"/>
        <v>0</v>
      </c>
      <c r="D529" s="300">
        <f t="shared" si="56"/>
        <v>4055174.2127229986</v>
      </c>
      <c r="E529" s="354">
        <f t="shared" si="66"/>
        <v>0.13400000000000001</v>
      </c>
      <c r="F529" s="354">
        <f t="shared" si="55"/>
        <v>0.03</v>
      </c>
      <c r="H529" s="436">
        <f t="shared" si="57"/>
        <v>56380.638351572248</v>
      </c>
      <c r="I529" s="302">
        <f t="shared" si="58"/>
        <v>0</v>
      </c>
      <c r="K529" s="426">
        <f t="shared" si="67"/>
        <v>66802.287800476537</v>
      </c>
      <c r="L529" s="10">
        <f t="shared" si="68"/>
        <v>66802.287800476537</v>
      </c>
      <c r="M529" s="436">
        <f t="shared" si="69"/>
        <v>66802.287800476537</v>
      </c>
      <c r="N529" s="301">
        <f t="shared" si="59"/>
        <v>10421.649448904294</v>
      </c>
      <c r="O529" s="302">
        <f t="shared" si="60"/>
        <v>66802.287800476508</v>
      </c>
      <c r="P529" s="436">
        <f t="shared" si="61"/>
        <v>0</v>
      </c>
      <c r="Q529" s="11">
        <f t="shared" si="70"/>
        <v>0</v>
      </c>
      <c r="R529" s="426">
        <f t="shared" si="71"/>
        <v>6744372.4284899831</v>
      </c>
      <c r="S529" s="354">
        <f>+Hirdetmény!$AA$46</f>
        <v>0.13400000000000001</v>
      </c>
      <c r="T529" s="302">
        <f t="shared" si="62"/>
        <v>68495.417940218482</v>
      </c>
      <c r="U529" s="302">
        <f t="shared" si="72"/>
        <v>77133.649622430836</v>
      </c>
      <c r="V529" s="302">
        <f t="shared" si="73"/>
        <v>145629.06756264932</v>
      </c>
      <c r="W529" s="302">
        <f t="shared" si="74"/>
        <v>145629.06756264932</v>
      </c>
      <c r="AA529" s="10">
        <f t="shared" si="75"/>
        <v>4966587.5794337802</v>
      </c>
      <c r="AB529" s="354">
        <f>+paraméterek!$B$346</f>
        <v>6.4600000000000005E-2</v>
      </c>
      <c r="AC529" s="302">
        <f t="shared" si="63"/>
        <v>62371.82445532077</v>
      </c>
      <c r="AD529" s="302">
        <f t="shared" si="78"/>
        <v>27448.572635254888</v>
      </c>
      <c r="AE529" s="302">
        <f t="shared" si="76"/>
        <v>89820.397090575658</v>
      </c>
      <c r="AF529" s="478">
        <f t="shared" si="64"/>
        <v>89820.397090575658</v>
      </c>
      <c r="AI529" s="543">
        <f t="shared" si="77"/>
        <v>146437.06756264932</v>
      </c>
      <c r="AJ529" s="543"/>
      <c r="AK529" s="300"/>
      <c r="AL529" s="543"/>
      <c r="AM529" s="10"/>
    </row>
    <row r="530" spans="1:39" s="11" customFormat="1" ht="13.8" hidden="1" x14ac:dyDescent="0.25">
      <c r="A530" s="11">
        <v>175</v>
      </c>
      <c r="B530" s="11">
        <f t="shared" si="65"/>
        <v>15</v>
      </c>
      <c r="C530" s="354">
        <f t="shared" si="54"/>
        <v>0</v>
      </c>
      <c r="D530" s="300">
        <f t="shared" si="56"/>
        <v>3998650.6651144936</v>
      </c>
      <c r="E530" s="354">
        <f t="shared" si="66"/>
        <v>0.13400000000000001</v>
      </c>
      <c r="F530" s="354">
        <f t="shared" si="55"/>
        <v>0.03</v>
      </c>
      <c r="H530" s="436">
        <f t="shared" si="57"/>
        <v>56523.547608505047</v>
      </c>
      <c r="I530" s="302">
        <f t="shared" si="58"/>
        <v>0</v>
      </c>
      <c r="K530" s="426">
        <f t="shared" si="67"/>
        <v>66802.287800476537</v>
      </c>
      <c r="L530" s="10">
        <f t="shared" si="68"/>
        <v>66802.287800476537</v>
      </c>
      <c r="M530" s="436">
        <f t="shared" si="69"/>
        <v>66802.287800476537</v>
      </c>
      <c r="N530" s="301">
        <f t="shared" si="59"/>
        <v>10278.740191971488</v>
      </c>
      <c r="O530" s="302">
        <f t="shared" si="60"/>
        <v>66802.287800476508</v>
      </c>
      <c r="P530" s="436">
        <f t="shared" si="61"/>
        <v>0</v>
      </c>
      <c r="Q530" s="11">
        <f t="shared" si="70"/>
        <v>0</v>
      </c>
      <c r="R530" s="426">
        <f t="shared" si="71"/>
        <v>6675101.5219174828</v>
      </c>
      <c r="S530" s="354">
        <f>+Hirdetmény!$AA$46</f>
        <v>0.13400000000000001</v>
      </c>
      <c r="T530" s="302">
        <f t="shared" si="62"/>
        <v>69270.906572499967</v>
      </c>
      <c r="U530" s="302">
        <f t="shared" si="72"/>
        <v>76358.160990149336</v>
      </c>
      <c r="V530" s="302">
        <f t="shared" si="73"/>
        <v>145629.06756264932</v>
      </c>
      <c r="W530" s="302">
        <f t="shared" si="74"/>
        <v>145629.06756264932</v>
      </c>
      <c r="AA530" s="10">
        <f t="shared" si="75"/>
        <v>4903875.3232078962</v>
      </c>
      <c r="AB530" s="354">
        <f>+paraméterek!$B$346</f>
        <v>6.4600000000000005E-2</v>
      </c>
      <c r="AC530" s="302">
        <f t="shared" si="63"/>
        <v>62712.256225883721</v>
      </c>
      <c r="AD530" s="302">
        <f t="shared" si="78"/>
        <v>27108.140864691926</v>
      </c>
      <c r="AE530" s="302">
        <f t="shared" si="76"/>
        <v>89820.397090575643</v>
      </c>
      <c r="AF530" s="478">
        <f t="shared" si="64"/>
        <v>89820.397090575643</v>
      </c>
      <c r="AI530" s="543">
        <f t="shared" si="77"/>
        <v>146437.06756264932</v>
      </c>
      <c r="AJ530" s="543"/>
      <c r="AK530" s="300"/>
      <c r="AL530" s="543"/>
      <c r="AM530" s="10"/>
    </row>
    <row r="531" spans="1:39" s="11" customFormat="1" ht="13.8" hidden="1" x14ac:dyDescent="0.25">
      <c r="A531" s="11">
        <v>176</v>
      </c>
      <c r="B531" s="11">
        <f t="shared" si="65"/>
        <v>15</v>
      </c>
      <c r="C531" s="354">
        <f t="shared" si="54"/>
        <v>0</v>
      </c>
      <c r="D531" s="300">
        <f t="shared" si="56"/>
        <v>3941983.8460137863</v>
      </c>
      <c r="E531" s="354">
        <f t="shared" si="66"/>
        <v>0.13400000000000001</v>
      </c>
      <c r="F531" s="354">
        <f t="shared" si="55"/>
        <v>0.03</v>
      </c>
      <c r="H531" s="436">
        <f t="shared" si="57"/>
        <v>56666.819100707151</v>
      </c>
      <c r="I531" s="302">
        <f t="shared" si="58"/>
        <v>0</v>
      </c>
      <c r="K531" s="426">
        <f t="shared" si="67"/>
        <v>66802.287800476523</v>
      </c>
      <c r="L531" s="10">
        <f t="shared" si="68"/>
        <v>66802.287800476523</v>
      </c>
      <c r="M531" s="436">
        <f t="shared" si="69"/>
        <v>66802.287800476523</v>
      </c>
      <c r="N531" s="301">
        <f t="shared" si="59"/>
        <v>10135.468699769377</v>
      </c>
      <c r="O531" s="302">
        <f t="shared" si="60"/>
        <v>66802.287800476508</v>
      </c>
      <c r="P531" s="436">
        <f t="shared" si="61"/>
        <v>0</v>
      </c>
      <c r="Q531" s="11">
        <f t="shared" si="70"/>
        <v>0</v>
      </c>
      <c r="R531" s="426">
        <f t="shared" si="71"/>
        <v>6605046.3468170986</v>
      </c>
      <c r="S531" s="354">
        <f>+Hirdetmény!$AA$46</f>
        <v>0.13400000000000001</v>
      </c>
      <c r="T531" s="302">
        <f t="shared" si="62"/>
        <v>70055.175100384469</v>
      </c>
      <c r="U531" s="302">
        <f t="shared" si="72"/>
        <v>75573.892462264848</v>
      </c>
      <c r="V531" s="302">
        <f t="shared" si="73"/>
        <v>145629.06756264932</v>
      </c>
      <c r="W531" s="302">
        <f t="shared" si="74"/>
        <v>145629.06756264932</v>
      </c>
      <c r="AA531" s="10">
        <f t="shared" si="75"/>
        <v>4840820.7771001719</v>
      </c>
      <c r="AB531" s="354">
        <f>+paraméterek!$B$346</f>
        <v>6.4600000000000005E-2</v>
      </c>
      <c r="AC531" s="302">
        <f t="shared" si="63"/>
        <v>63054.546107724025</v>
      </c>
      <c r="AD531" s="302">
        <f t="shared" si="78"/>
        <v>26765.850982851622</v>
      </c>
      <c r="AE531" s="302">
        <f t="shared" si="76"/>
        <v>89820.397090575643</v>
      </c>
      <c r="AF531" s="478">
        <f t="shared" si="64"/>
        <v>89820.397090575643</v>
      </c>
      <c r="AI531" s="543">
        <f t="shared" si="77"/>
        <v>146437.06756264932</v>
      </c>
      <c r="AJ531" s="543"/>
      <c r="AK531" s="300"/>
      <c r="AL531" s="543"/>
      <c r="AM531" s="10"/>
    </row>
    <row r="532" spans="1:39" s="11" customFormat="1" ht="13.8" hidden="1" x14ac:dyDescent="0.25">
      <c r="A532" s="11">
        <v>177</v>
      </c>
      <c r="B532" s="11">
        <f t="shared" si="65"/>
        <v>15</v>
      </c>
      <c r="C532" s="354">
        <f t="shared" si="54"/>
        <v>0</v>
      </c>
      <c r="D532" s="300">
        <f t="shared" si="56"/>
        <v>3885173.3922674418</v>
      </c>
      <c r="E532" s="354">
        <f t="shared" si="66"/>
        <v>0.13400000000000001</v>
      </c>
      <c r="F532" s="354">
        <f t="shared" si="55"/>
        <v>0.03</v>
      </c>
      <c r="H532" s="436">
        <f t="shared" si="57"/>
        <v>56810.45374634437</v>
      </c>
      <c r="I532" s="302">
        <f t="shared" si="58"/>
        <v>0</v>
      </c>
      <c r="K532" s="426">
        <f t="shared" si="67"/>
        <v>66802.287800476537</v>
      </c>
      <c r="L532" s="10">
        <f t="shared" si="68"/>
        <v>66802.287800476537</v>
      </c>
      <c r="M532" s="436">
        <f t="shared" si="69"/>
        <v>66802.287800476537</v>
      </c>
      <c r="N532" s="301">
        <f t="shared" si="59"/>
        <v>9991.8340541321668</v>
      </c>
      <c r="O532" s="302">
        <f t="shared" si="60"/>
        <v>66802.287800476508</v>
      </c>
      <c r="P532" s="436">
        <f t="shared" si="61"/>
        <v>0</v>
      </c>
      <c r="Q532" s="11">
        <f t="shared" si="70"/>
        <v>0</v>
      </c>
      <c r="R532" s="426">
        <f t="shared" si="71"/>
        <v>6534198.0238893619</v>
      </c>
      <c r="S532" s="354">
        <f>+Hirdetmény!$AA$46</f>
        <v>0.13400000000000001</v>
      </c>
      <c r="T532" s="302">
        <f t="shared" si="62"/>
        <v>70848.322927736284</v>
      </c>
      <c r="U532" s="302">
        <f t="shared" si="72"/>
        <v>74780.744634913033</v>
      </c>
      <c r="V532" s="302">
        <f t="shared" si="73"/>
        <v>145629.06756264932</v>
      </c>
      <c r="W532" s="302">
        <f t="shared" si="74"/>
        <v>145629.06756264932</v>
      </c>
      <c r="AA532" s="10">
        <f t="shared" si="75"/>
        <v>4777422.0728575699</v>
      </c>
      <c r="AB532" s="354">
        <f>+paraméterek!$B$346</f>
        <v>6.4600000000000005E-2</v>
      </c>
      <c r="AC532" s="302">
        <f t="shared" si="63"/>
        <v>63398.704242602274</v>
      </c>
      <c r="AD532" s="302">
        <f t="shared" si="78"/>
        <v>26421.692847973372</v>
      </c>
      <c r="AE532" s="302">
        <f t="shared" si="76"/>
        <v>89820.397090575643</v>
      </c>
      <c r="AF532" s="478">
        <f t="shared" si="64"/>
        <v>89820.397090575643</v>
      </c>
      <c r="AI532" s="543">
        <f t="shared" si="77"/>
        <v>146437.06756264932</v>
      </c>
      <c r="AJ532" s="543"/>
      <c r="AK532" s="300"/>
      <c r="AL532" s="543"/>
      <c r="AM532" s="10"/>
    </row>
    <row r="533" spans="1:39" s="11" customFormat="1" ht="13.8" hidden="1" x14ac:dyDescent="0.25">
      <c r="A533" s="11">
        <v>178</v>
      </c>
      <c r="B533" s="11">
        <f t="shared" si="65"/>
        <v>15</v>
      </c>
      <c r="C533" s="354">
        <f t="shared" si="54"/>
        <v>0</v>
      </c>
      <c r="D533" s="300">
        <f t="shared" si="56"/>
        <v>3828218.9398015323</v>
      </c>
      <c r="E533" s="354">
        <f t="shared" si="66"/>
        <v>0.13400000000000001</v>
      </c>
      <c r="F533" s="354">
        <f t="shared" si="55"/>
        <v>0.03</v>
      </c>
      <c r="H533" s="436">
        <f t="shared" si="57"/>
        <v>56954.452465909751</v>
      </c>
      <c r="I533" s="302">
        <f t="shared" si="58"/>
        <v>0</v>
      </c>
      <c r="K533" s="426">
        <f t="shared" si="67"/>
        <v>66802.287800476537</v>
      </c>
      <c r="L533" s="10">
        <f t="shared" si="68"/>
        <v>66802.287800476537</v>
      </c>
      <c r="M533" s="436">
        <f t="shared" si="69"/>
        <v>66802.287800476537</v>
      </c>
      <c r="N533" s="301">
        <f t="shared" si="59"/>
        <v>9847.8353345667801</v>
      </c>
      <c r="O533" s="302">
        <f t="shared" si="60"/>
        <v>66802.287800476508</v>
      </c>
      <c r="P533" s="436">
        <f t="shared" si="61"/>
        <v>0</v>
      </c>
      <c r="Q533" s="11">
        <f t="shared" si="70"/>
        <v>0</v>
      </c>
      <c r="R533" s="426">
        <f t="shared" si="71"/>
        <v>6462547.5733055156</v>
      </c>
      <c r="S533" s="354">
        <f>+Hirdetmény!$AA$46</f>
        <v>0.13400000000000001</v>
      </c>
      <c r="T533" s="302">
        <f t="shared" si="62"/>
        <v>71650.450583846337</v>
      </c>
      <c r="U533" s="302">
        <f t="shared" si="72"/>
        <v>73978.616978802937</v>
      </c>
      <c r="V533" s="302">
        <f t="shared" si="73"/>
        <v>145629.06756264926</v>
      </c>
      <c r="W533" s="302">
        <f t="shared" si="74"/>
        <v>145629.06756264926</v>
      </c>
      <c r="AA533" s="10">
        <f t="shared" si="75"/>
        <v>4713677.3320299359</v>
      </c>
      <c r="AB533" s="354">
        <f>+paraméterek!$B$346</f>
        <v>6.4600000000000005E-2</v>
      </c>
      <c r="AC533" s="302">
        <f t="shared" si="63"/>
        <v>63744.740827633832</v>
      </c>
      <c r="AD533" s="302">
        <f t="shared" si="78"/>
        <v>26075.656262941815</v>
      </c>
      <c r="AE533" s="302">
        <f t="shared" si="76"/>
        <v>89820.397090575643</v>
      </c>
      <c r="AF533" s="478">
        <f t="shared" si="64"/>
        <v>89820.397090575643</v>
      </c>
      <c r="AI533" s="543">
        <f t="shared" si="77"/>
        <v>146437.06756264926</v>
      </c>
      <c r="AJ533" s="543"/>
      <c r="AK533" s="300"/>
      <c r="AL533" s="543"/>
      <c r="AM533" s="10"/>
    </row>
    <row r="534" spans="1:39" s="11" customFormat="1" ht="13.8" hidden="1" x14ac:dyDescent="0.25">
      <c r="A534" s="11">
        <v>179</v>
      </c>
      <c r="B534" s="11">
        <f t="shared" si="65"/>
        <v>15</v>
      </c>
      <c r="C534" s="354">
        <f t="shared" si="54"/>
        <v>0</v>
      </c>
      <c r="D534" s="300">
        <f t="shared" si="56"/>
        <v>3771120.1236193026</v>
      </c>
      <c r="E534" s="354">
        <f t="shared" si="66"/>
        <v>0.13400000000000001</v>
      </c>
      <c r="F534" s="354">
        <f t="shared" si="55"/>
        <v>0.03</v>
      </c>
      <c r="H534" s="436">
        <f t="shared" si="57"/>
        <v>57098.816182229595</v>
      </c>
      <c r="I534" s="302">
        <f t="shared" si="58"/>
        <v>0</v>
      </c>
      <c r="K534" s="426">
        <f t="shared" si="67"/>
        <v>66802.287800476537</v>
      </c>
      <c r="L534" s="10">
        <f t="shared" si="68"/>
        <v>66802.287800476537</v>
      </c>
      <c r="M534" s="436">
        <f t="shared" si="69"/>
        <v>66802.287800476537</v>
      </c>
      <c r="N534" s="301">
        <f t="shared" si="59"/>
        <v>9703.4716182469383</v>
      </c>
      <c r="O534" s="302">
        <f t="shared" si="60"/>
        <v>66802.287800476508</v>
      </c>
      <c r="P534" s="436">
        <f t="shared" si="61"/>
        <v>0</v>
      </c>
      <c r="Q534" s="11">
        <f t="shared" si="70"/>
        <v>0</v>
      </c>
      <c r="R534" s="426">
        <f t="shared" si="71"/>
        <v>6390085.9135693414</v>
      </c>
      <c r="S534" s="354">
        <f>+Hirdetmény!$AA$46</f>
        <v>0.13400000000000001</v>
      </c>
      <c r="T534" s="302">
        <f t="shared" si="62"/>
        <v>72461.65973617413</v>
      </c>
      <c r="U534" s="302">
        <f t="shared" si="72"/>
        <v>73167.407826475188</v>
      </c>
      <c r="V534" s="302">
        <f t="shared" si="73"/>
        <v>145629.06756264932</v>
      </c>
      <c r="W534" s="302">
        <f t="shared" si="74"/>
        <v>145629.06756264932</v>
      </c>
      <c r="AA534" s="10">
        <f t="shared" si="75"/>
        <v>4649584.6659143446</v>
      </c>
      <c r="AB534" s="354">
        <f>+paraméterek!$B$346</f>
        <v>6.4600000000000005E-2</v>
      </c>
      <c r="AC534" s="302">
        <f t="shared" si="63"/>
        <v>64092.666115590961</v>
      </c>
      <c r="AD534" s="302">
        <f t="shared" si="78"/>
        <v>25727.73097498469</v>
      </c>
      <c r="AE534" s="302">
        <f t="shared" si="76"/>
        <v>89820.397090575658</v>
      </c>
      <c r="AF534" s="478">
        <f t="shared" si="64"/>
        <v>89820.397090575658</v>
      </c>
      <c r="AI534" s="543">
        <f t="shared" si="77"/>
        <v>146437.06756264932</v>
      </c>
      <c r="AJ534" s="543"/>
      <c r="AK534" s="300"/>
      <c r="AL534" s="543"/>
      <c r="AM534" s="10"/>
    </row>
    <row r="535" spans="1:39" s="11" customFormat="1" ht="13.8" hidden="1" x14ac:dyDescent="0.25">
      <c r="A535" s="11">
        <v>180</v>
      </c>
      <c r="B535" s="11">
        <f t="shared" si="65"/>
        <v>15</v>
      </c>
      <c r="C535" s="354">
        <f t="shared" si="54"/>
        <v>0</v>
      </c>
      <c r="D535" s="300">
        <f t="shared" si="56"/>
        <v>3713876.5777988331</v>
      </c>
      <c r="E535" s="354">
        <f t="shared" si="66"/>
        <v>0.13400000000000001</v>
      </c>
      <c r="F535" s="354">
        <f t="shared" si="55"/>
        <v>0.03</v>
      </c>
      <c r="H535" s="436">
        <f t="shared" si="57"/>
        <v>57243.54582046927</v>
      </c>
      <c r="I535" s="302">
        <f t="shared" si="58"/>
        <v>0</v>
      </c>
      <c r="K535" s="426">
        <f t="shared" si="67"/>
        <v>66802.287800476537</v>
      </c>
      <c r="L535" s="10">
        <f t="shared" si="68"/>
        <v>66802.287800476537</v>
      </c>
      <c r="M535" s="436">
        <f t="shared" si="69"/>
        <v>66802.287800476537</v>
      </c>
      <c r="N535" s="301">
        <f t="shared" si="59"/>
        <v>9558.7419800072603</v>
      </c>
      <c r="O535" s="302">
        <f t="shared" si="60"/>
        <v>66802.287800476508</v>
      </c>
      <c r="P535" s="436">
        <f t="shared" si="61"/>
        <v>0</v>
      </c>
      <c r="Q535" s="11">
        <f t="shared" si="70"/>
        <v>0</v>
      </c>
      <c r="R535" s="426">
        <f t="shared" si="71"/>
        <v>6316803.8603661079</v>
      </c>
      <c r="S535" s="354">
        <f>+Hirdetmény!$AA$46</f>
        <v>0.13400000000000001</v>
      </c>
      <c r="T535" s="302">
        <f t="shared" si="62"/>
        <v>73282.05320323343</v>
      </c>
      <c r="U535" s="302">
        <f t="shared" si="72"/>
        <v>72347.014359415858</v>
      </c>
      <c r="V535" s="302">
        <f t="shared" si="73"/>
        <v>145629.06756264929</v>
      </c>
      <c r="W535" s="302">
        <f t="shared" si="74"/>
        <v>145629.06756264929</v>
      </c>
      <c r="AA535" s="10">
        <f t="shared" si="75"/>
        <v>4585142.1754991384</v>
      </c>
      <c r="AB535" s="354">
        <f>+paraméterek!$B$346</f>
        <v>6.4600000000000005E-2</v>
      </c>
      <c r="AC535" s="302">
        <f t="shared" si="63"/>
        <v>64442.490415206572</v>
      </c>
      <c r="AD535" s="302">
        <f t="shared" si="78"/>
        <v>25377.90667536906</v>
      </c>
      <c r="AE535" s="302">
        <f t="shared" si="76"/>
        <v>89820.397090575629</v>
      </c>
      <c r="AF535" s="478">
        <f t="shared" si="64"/>
        <v>89820.397090575629</v>
      </c>
      <c r="AI535" s="543">
        <f t="shared" si="77"/>
        <v>146437.06756264929</v>
      </c>
      <c r="AJ535" s="543"/>
      <c r="AK535" s="300"/>
      <c r="AL535" s="543"/>
      <c r="AM535" s="10"/>
    </row>
    <row r="536" spans="1:39" s="11" customFormat="1" ht="13.8" hidden="1" x14ac:dyDescent="0.25">
      <c r="A536" s="11">
        <v>181</v>
      </c>
      <c r="B536" s="11">
        <f t="shared" si="65"/>
        <v>16</v>
      </c>
      <c r="C536" s="354">
        <f t="shared" si="54"/>
        <v>0</v>
      </c>
      <c r="D536" s="300">
        <f t="shared" si="56"/>
        <v>3656487.9354906939</v>
      </c>
      <c r="E536" s="354">
        <f t="shared" si="66"/>
        <v>0.13400000000000001</v>
      </c>
      <c r="F536" s="354">
        <f t="shared" si="55"/>
        <v>0.03</v>
      </c>
      <c r="H536" s="436">
        <f t="shared" si="57"/>
        <v>57388.642308139213</v>
      </c>
      <c r="I536" s="302">
        <f t="shared" si="58"/>
        <v>0</v>
      </c>
      <c r="K536" s="426">
        <f t="shared" si="67"/>
        <v>66802.287800476537</v>
      </c>
      <c r="L536" s="10">
        <f t="shared" si="68"/>
        <v>66802.287800476537</v>
      </c>
      <c r="M536" s="436">
        <f t="shared" si="69"/>
        <v>66802.287800476537</v>
      </c>
      <c r="N536" s="301">
        <f t="shared" si="59"/>
        <v>9413.6454923373203</v>
      </c>
      <c r="O536" s="302">
        <f t="shared" si="60"/>
        <v>66802.287800476508</v>
      </c>
      <c r="P536" s="436">
        <f t="shared" si="61"/>
        <v>0</v>
      </c>
      <c r="Q536" s="11">
        <f t="shared" si="70"/>
        <v>0</v>
      </c>
      <c r="R536" s="426">
        <f t="shared" si="71"/>
        <v>6242692.1253984831</v>
      </c>
      <c r="S536" s="354">
        <f>+Hirdetmény!$AA$46</f>
        <v>0.13400000000000001</v>
      </c>
      <c r="T536" s="302">
        <f t="shared" si="62"/>
        <v>74111.734967624667</v>
      </c>
      <c r="U536" s="302">
        <f t="shared" si="72"/>
        <v>71517.332595024622</v>
      </c>
      <c r="V536" s="302">
        <f t="shared" si="73"/>
        <v>145629.06756264929</v>
      </c>
      <c r="W536" s="302">
        <f t="shared" si="74"/>
        <v>145629.06756264929</v>
      </c>
      <c r="AA536" s="10">
        <f t="shared" si="75"/>
        <v>4520347.9514076589</v>
      </c>
      <c r="AB536" s="354">
        <f>+paraméterek!$B$346</f>
        <v>6.4600000000000005E-2</v>
      </c>
      <c r="AC536" s="302">
        <f t="shared" si="63"/>
        <v>64794.224091479766</v>
      </c>
      <c r="AD536" s="302">
        <f t="shared" si="78"/>
        <v>25026.172999095877</v>
      </c>
      <c r="AE536" s="302">
        <f t="shared" si="76"/>
        <v>89820.397090575643</v>
      </c>
      <c r="AF536" s="478">
        <f t="shared" si="64"/>
        <v>89820.397090575643</v>
      </c>
      <c r="AI536" s="543">
        <f t="shared" si="77"/>
        <v>146437.06756264929</v>
      </c>
      <c r="AJ536" s="543"/>
      <c r="AK536" s="300"/>
      <c r="AL536" s="543"/>
      <c r="AM536" s="10"/>
    </row>
    <row r="537" spans="1:39" s="11" customFormat="1" ht="13.8" hidden="1" x14ac:dyDescent="0.25">
      <c r="A537" s="11">
        <v>182</v>
      </c>
      <c r="B537" s="11">
        <f t="shared" si="65"/>
        <v>16</v>
      </c>
      <c r="C537" s="354">
        <f t="shared" si="54"/>
        <v>0</v>
      </c>
      <c r="D537" s="300">
        <f t="shared" si="56"/>
        <v>3598953.8289155932</v>
      </c>
      <c r="E537" s="354">
        <f t="shared" si="66"/>
        <v>0.13400000000000001</v>
      </c>
      <c r="F537" s="354">
        <f t="shared" si="55"/>
        <v>0.03</v>
      </c>
      <c r="H537" s="436">
        <f t="shared" si="57"/>
        <v>57534.106575100814</v>
      </c>
      <c r="I537" s="302">
        <f t="shared" si="58"/>
        <v>0</v>
      </c>
      <c r="K537" s="426">
        <f t="shared" si="67"/>
        <v>66802.287800476537</v>
      </c>
      <c r="L537" s="10">
        <f t="shared" si="68"/>
        <v>66802.287800476537</v>
      </c>
      <c r="M537" s="436">
        <f t="shared" si="69"/>
        <v>66802.287800476537</v>
      </c>
      <c r="N537" s="301">
        <f t="shared" si="59"/>
        <v>9268.181225375718</v>
      </c>
      <c r="O537" s="302">
        <f t="shared" si="60"/>
        <v>66802.287800476508</v>
      </c>
      <c r="P537" s="436">
        <f t="shared" si="61"/>
        <v>0</v>
      </c>
      <c r="Q537" s="11">
        <f t="shared" si="70"/>
        <v>0</v>
      </c>
      <c r="R537" s="426">
        <f t="shared" si="71"/>
        <v>6167741.3152092686</v>
      </c>
      <c r="S537" s="354">
        <f>+Hirdetmény!$AA$46</f>
        <v>0.13400000000000001</v>
      </c>
      <c r="T537" s="302">
        <f t="shared" si="62"/>
        <v>74950.810189214171</v>
      </c>
      <c r="U537" s="302">
        <f t="shared" si="72"/>
        <v>70678.257373435146</v>
      </c>
      <c r="V537" s="302">
        <f t="shared" si="73"/>
        <v>145629.06756264932</v>
      </c>
      <c r="W537" s="302">
        <f t="shared" si="74"/>
        <v>145629.06756264932</v>
      </c>
      <c r="AA537" s="10">
        <f t="shared" si="75"/>
        <v>4455200.0738416761</v>
      </c>
      <c r="AB537" s="354">
        <f>+paraméterek!$B$346</f>
        <v>6.4600000000000005E-2</v>
      </c>
      <c r="AC537" s="302">
        <f t="shared" si="63"/>
        <v>65147.877565982773</v>
      </c>
      <c r="AD537" s="302">
        <f t="shared" si="78"/>
        <v>24672.51952459287</v>
      </c>
      <c r="AE537" s="302">
        <f t="shared" si="76"/>
        <v>89820.397090575643</v>
      </c>
      <c r="AF537" s="478">
        <f t="shared" si="64"/>
        <v>89820.397090575643</v>
      </c>
      <c r="AI537" s="543">
        <f t="shared" si="77"/>
        <v>146437.06756264932</v>
      </c>
      <c r="AJ537" s="543"/>
      <c r="AK537" s="300"/>
      <c r="AL537" s="543"/>
      <c r="AM537" s="10"/>
    </row>
    <row r="538" spans="1:39" s="11" customFormat="1" ht="13.8" hidden="1" x14ac:dyDescent="0.25">
      <c r="A538" s="11">
        <v>183</v>
      </c>
      <c r="B538" s="11">
        <f t="shared" si="65"/>
        <v>16</v>
      </c>
      <c r="C538" s="354">
        <f t="shared" si="54"/>
        <v>0</v>
      </c>
      <c r="D538" s="300">
        <f t="shared" si="56"/>
        <v>3541273.8893620209</v>
      </c>
      <c r="E538" s="354">
        <f t="shared" si="66"/>
        <v>0.13400000000000001</v>
      </c>
      <c r="F538" s="354">
        <f t="shared" si="55"/>
        <v>0.03</v>
      </c>
      <c r="H538" s="436">
        <f t="shared" si="57"/>
        <v>57679.939553572425</v>
      </c>
      <c r="I538" s="302">
        <f t="shared" si="58"/>
        <v>0</v>
      </c>
      <c r="K538" s="426">
        <f t="shared" si="67"/>
        <v>66802.287800476537</v>
      </c>
      <c r="L538" s="10">
        <f t="shared" si="68"/>
        <v>66802.287800476537</v>
      </c>
      <c r="M538" s="436">
        <f t="shared" si="69"/>
        <v>66802.287800476537</v>
      </c>
      <c r="N538" s="301">
        <f t="shared" si="59"/>
        <v>9122.3482469041082</v>
      </c>
      <c r="O538" s="302">
        <f t="shared" si="60"/>
        <v>66802.287800476508</v>
      </c>
      <c r="P538" s="436">
        <f t="shared" si="61"/>
        <v>0</v>
      </c>
      <c r="Q538" s="11">
        <f t="shared" si="70"/>
        <v>0</v>
      </c>
      <c r="R538" s="426">
        <f t="shared" si="71"/>
        <v>6091941.9299908057</v>
      </c>
      <c r="S538" s="354">
        <f>+Hirdetmény!$AA$46</f>
        <v>0.13400000000000001</v>
      </c>
      <c r="T538" s="302">
        <f t="shared" si="62"/>
        <v>75799.385218462878</v>
      </c>
      <c r="U538" s="302">
        <f t="shared" si="72"/>
        <v>69829.682344186425</v>
      </c>
      <c r="V538" s="302">
        <f t="shared" si="73"/>
        <v>145629.06756264932</v>
      </c>
      <c r="W538" s="302">
        <f t="shared" si="74"/>
        <v>145629.06756264932</v>
      </c>
      <c r="AA538" s="10">
        <f t="shared" si="75"/>
        <v>4389696.6125245066</v>
      </c>
      <c r="AB538" s="354">
        <f>+paraméterek!$B$346</f>
        <v>6.4600000000000005E-2</v>
      </c>
      <c r="AC538" s="302">
        <f t="shared" si="63"/>
        <v>65503.461317169895</v>
      </c>
      <c r="AD538" s="302">
        <f t="shared" si="78"/>
        <v>24316.935773405763</v>
      </c>
      <c r="AE538" s="302">
        <f t="shared" si="76"/>
        <v>89820.397090575658</v>
      </c>
      <c r="AF538" s="478">
        <f t="shared" si="64"/>
        <v>89820.397090575658</v>
      </c>
      <c r="AI538" s="543">
        <f t="shared" si="77"/>
        <v>146437.06756264932</v>
      </c>
      <c r="AJ538" s="543"/>
      <c r="AK538" s="300"/>
      <c r="AL538" s="543"/>
      <c r="AM538" s="10"/>
    </row>
    <row r="539" spans="1:39" s="11" customFormat="1" ht="13.8" hidden="1" x14ac:dyDescent="0.25">
      <c r="A539" s="11">
        <v>184</v>
      </c>
      <c r="B539" s="11">
        <f t="shared" si="65"/>
        <v>16</v>
      </c>
      <c r="C539" s="354">
        <f t="shared" si="54"/>
        <v>0</v>
      </c>
      <c r="D539" s="300">
        <f t="shared" si="56"/>
        <v>3483447.7471838854</v>
      </c>
      <c r="E539" s="354">
        <f t="shared" si="66"/>
        <v>0.13400000000000001</v>
      </c>
      <c r="F539" s="354">
        <f t="shared" si="55"/>
        <v>0.03</v>
      </c>
      <c r="H539" s="436">
        <f t="shared" si="57"/>
        <v>57826.142178135306</v>
      </c>
      <c r="I539" s="302">
        <f t="shared" si="58"/>
        <v>0</v>
      </c>
      <c r="K539" s="426">
        <f t="shared" si="67"/>
        <v>66802.287800476537</v>
      </c>
      <c r="L539" s="10">
        <f t="shared" si="68"/>
        <v>66802.287800476537</v>
      </c>
      <c r="M539" s="436">
        <f t="shared" si="69"/>
        <v>66802.287800476537</v>
      </c>
      <c r="N539" s="301">
        <f t="shared" si="59"/>
        <v>8976.1456223412333</v>
      </c>
      <c r="O539" s="302">
        <f t="shared" si="60"/>
        <v>66802.287800476508</v>
      </c>
      <c r="P539" s="436">
        <f t="shared" si="61"/>
        <v>0</v>
      </c>
      <c r="Q539" s="11">
        <f t="shared" si="70"/>
        <v>0</v>
      </c>
      <c r="R539" s="426">
        <f t="shared" si="71"/>
        <v>6015284.3623808995</v>
      </c>
      <c r="S539" s="354">
        <f>+Hirdetmény!$AA$46</f>
        <v>0.13400000000000001</v>
      </c>
      <c r="T539" s="302">
        <f t="shared" si="62"/>
        <v>76657.567609906167</v>
      </c>
      <c r="U539" s="302">
        <f t="shared" si="72"/>
        <v>68971.499952743136</v>
      </c>
      <c r="V539" s="302">
        <f t="shared" si="73"/>
        <v>145629.06756264932</v>
      </c>
      <c r="W539" s="302">
        <f t="shared" si="74"/>
        <v>145629.06756264932</v>
      </c>
      <c r="AA539" s="10">
        <f t="shared" si="75"/>
        <v>4323835.6266438188</v>
      </c>
      <c r="AB539" s="354">
        <f>+paraméterek!$B$346</f>
        <v>6.4600000000000005E-2</v>
      </c>
      <c r="AC539" s="302">
        <f t="shared" si="63"/>
        <v>65860.985880687847</v>
      </c>
      <c r="AD539" s="302">
        <f t="shared" si="78"/>
        <v>23959.411209887814</v>
      </c>
      <c r="AE539" s="302">
        <f t="shared" si="76"/>
        <v>89820.397090575658</v>
      </c>
      <c r="AF539" s="478">
        <f t="shared" si="64"/>
        <v>89820.397090575658</v>
      </c>
      <c r="AI539" s="543">
        <f t="shared" si="77"/>
        <v>146437.06756264932</v>
      </c>
      <c r="AJ539" s="543"/>
      <c r="AK539" s="300"/>
      <c r="AL539" s="543"/>
      <c r="AM539" s="10"/>
    </row>
    <row r="540" spans="1:39" s="11" customFormat="1" ht="13.8" hidden="1" x14ac:dyDescent="0.25">
      <c r="A540" s="11">
        <v>185</v>
      </c>
      <c r="B540" s="11">
        <f t="shared" si="65"/>
        <v>16</v>
      </c>
      <c r="C540" s="354">
        <f t="shared" si="54"/>
        <v>0</v>
      </c>
      <c r="D540" s="300">
        <f t="shared" si="56"/>
        <v>3425475.0317981457</v>
      </c>
      <c r="E540" s="354">
        <f t="shared" si="66"/>
        <v>0.13400000000000001</v>
      </c>
      <c r="F540" s="354">
        <f t="shared" si="55"/>
        <v>0.03</v>
      </c>
      <c r="H540" s="436">
        <f t="shared" si="57"/>
        <v>57972.715385739604</v>
      </c>
      <c r="I540" s="302">
        <f t="shared" si="58"/>
        <v>0</v>
      </c>
      <c r="K540" s="426">
        <f t="shared" si="67"/>
        <v>66802.287800476537</v>
      </c>
      <c r="L540" s="10">
        <f t="shared" si="68"/>
        <v>66802.287800476537</v>
      </c>
      <c r="M540" s="436">
        <f t="shared" si="69"/>
        <v>66802.287800476537</v>
      </c>
      <c r="N540" s="301">
        <f t="shared" si="59"/>
        <v>8829.572414736931</v>
      </c>
      <c r="O540" s="302">
        <f t="shared" si="60"/>
        <v>66802.287800476508</v>
      </c>
      <c r="P540" s="436">
        <f t="shared" si="61"/>
        <v>0</v>
      </c>
      <c r="Q540" s="11">
        <f t="shared" si="70"/>
        <v>0</v>
      </c>
      <c r="R540" s="426">
        <f t="shared" si="71"/>
        <v>5937758.8962451136</v>
      </c>
      <c r="S540" s="354">
        <f>+Hirdetmény!$AA$46</f>
        <v>0.13400000000000001</v>
      </c>
      <c r="T540" s="302">
        <f t="shared" si="62"/>
        <v>77525.466135785915</v>
      </c>
      <c r="U540" s="302">
        <f t="shared" si="72"/>
        <v>68103.601426863388</v>
      </c>
      <c r="V540" s="302">
        <f t="shared" si="73"/>
        <v>145629.06756264932</v>
      </c>
      <c r="W540" s="302">
        <f t="shared" si="74"/>
        <v>145629.06756264932</v>
      </c>
      <c r="AA540" s="10">
        <f t="shared" si="75"/>
        <v>4257615.1647941312</v>
      </c>
      <c r="AB540" s="354">
        <f>+paraméterek!$B$346</f>
        <v>6.4600000000000005E-2</v>
      </c>
      <c r="AC540" s="302">
        <f t="shared" si="63"/>
        <v>66220.461849688014</v>
      </c>
      <c r="AD540" s="302">
        <f t="shared" si="78"/>
        <v>23599.93524088764</v>
      </c>
      <c r="AE540" s="302">
        <f t="shared" si="76"/>
        <v>89820.397090575658</v>
      </c>
      <c r="AF540" s="478">
        <f t="shared" si="64"/>
        <v>89820.397090575658</v>
      </c>
      <c r="AI540" s="543">
        <f t="shared" si="77"/>
        <v>146437.06756264932</v>
      </c>
      <c r="AJ540" s="543"/>
      <c r="AK540" s="300"/>
      <c r="AL540" s="543"/>
      <c r="AM540" s="10"/>
    </row>
    <row r="541" spans="1:39" s="11" customFormat="1" ht="13.8" hidden="1" x14ac:dyDescent="0.25">
      <c r="A541" s="11">
        <v>186</v>
      </c>
      <c r="B541" s="11">
        <f t="shared" si="65"/>
        <v>16</v>
      </c>
      <c r="C541" s="354">
        <f t="shared" si="54"/>
        <v>0</v>
      </c>
      <c r="D541" s="300">
        <f t="shared" si="56"/>
        <v>3367355.3716824353</v>
      </c>
      <c r="E541" s="354">
        <f t="shared" si="66"/>
        <v>0.13400000000000001</v>
      </c>
      <c r="F541" s="354">
        <f t="shared" si="55"/>
        <v>0.03</v>
      </c>
      <c r="H541" s="436">
        <f t="shared" si="57"/>
        <v>58119.660115710401</v>
      </c>
      <c r="I541" s="302">
        <f t="shared" si="58"/>
        <v>0</v>
      </c>
      <c r="K541" s="426">
        <f t="shared" si="67"/>
        <v>66802.287800476537</v>
      </c>
      <c r="L541" s="10">
        <f t="shared" si="68"/>
        <v>66802.287800476537</v>
      </c>
      <c r="M541" s="436">
        <f t="shared" si="69"/>
        <v>66802.287800476537</v>
      </c>
      <c r="N541" s="301">
        <f t="shared" si="59"/>
        <v>8682.627684766132</v>
      </c>
      <c r="O541" s="302">
        <f t="shared" si="60"/>
        <v>66802.287800476508</v>
      </c>
      <c r="P541" s="436">
        <f t="shared" si="61"/>
        <v>0</v>
      </c>
      <c r="Q541" s="11">
        <f t="shared" si="70"/>
        <v>0</v>
      </c>
      <c r="R541" s="426">
        <f t="shared" si="71"/>
        <v>5859355.7054452766</v>
      </c>
      <c r="S541" s="354">
        <f>+Hirdetmény!$AA$46</f>
        <v>0.13400000000000001</v>
      </c>
      <c r="T541" s="302">
        <f t="shared" si="62"/>
        <v>78403.190799837132</v>
      </c>
      <c r="U541" s="302">
        <f t="shared" si="72"/>
        <v>67225.876762812171</v>
      </c>
      <c r="V541" s="302">
        <f t="shared" si="73"/>
        <v>145629.06756264932</v>
      </c>
      <c r="W541" s="302">
        <f t="shared" si="74"/>
        <v>145629.06756264932</v>
      </c>
      <c r="AA541" s="10">
        <f t="shared" si="75"/>
        <v>4191033.2649189909</v>
      </c>
      <c r="AB541" s="354">
        <f>+paraméterek!$B$346</f>
        <v>6.4600000000000005E-2</v>
      </c>
      <c r="AC541" s="302">
        <f t="shared" si="63"/>
        <v>66581.899875140283</v>
      </c>
      <c r="AD541" s="302">
        <f t="shared" si="78"/>
        <v>23238.497215435378</v>
      </c>
      <c r="AE541" s="302">
        <f t="shared" si="76"/>
        <v>89820.397090575658</v>
      </c>
      <c r="AF541" s="478">
        <f t="shared" si="64"/>
        <v>89820.397090575658</v>
      </c>
      <c r="AI541" s="543">
        <f t="shared" si="77"/>
        <v>146437.06756264932</v>
      </c>
      <c r="AJ541" s="543"/>
      <c r="AK541" s="300"/>
      <c r="AL541" s="543"/>
      <c r="AM541" s="10"/>
    </row>
    <row r="542" spans="1:39" s="11" customFormat="1" ht="13.8" hidden="1" x14ac:dyDescent="0.25">
      <c r="A542" s="11">
        <v>187</v>
      </c>
      <c r="B542" s="11">
        <f t="shared" si="65"/>
        <v>16</v>
      </c>
      <c r="C542" s="354">
        <f t="shared" si="54"/>
        <v>0</v>
      </c>
      <c r="D542" s="300">
        <f t="shared" si="56"/>
        <v>3309088.3943726816</v>
      </c>
      <c r="E542" s="354">
        <f t="shared" si="66"/>
        <v>0.13400000000000001</v>
      </c>
      <c r="F542" s="354">
        <f t="shared" si="55"/>
        <v>0.03</v>
      </c>
      <c r="H542" s="436">
        <f t="shared" si="57"/>
        <v>58266.977309753696</v>
      </c>
      <c r="I542" s="302">
        <f t="shared" si="58"/>
        <v>0</v>
      </c>
      <c r="K542" s="426">
        <f t="shared" si="67"/>
        <v>66802.287800476537</v>
      </c>
      <c r="L542" s="10">
        <f t="shared" si="68"/>
        <v>66802.287800476537</v>
      </c>
      <c r="M542" s="436">
        <f t="shared" si="69"/>
        <v>66802.287800476537</v>
      </c>
      <c r="N542" s="301">
        <f t="shared" si="59"/>
        <v>8535.3104907228408</v>
      </c>
      <c r="O542" s="302">
        <f t="shared" si="60"/>
        <v>66802.287800476508</v>
      </c>
      <c r="P542" s="436">
        <f t="shared" si="61"/>
        <v>0</v>
      </c>
      <c r="Q542" s="11">
        <f t="shared" si="70"/>
        <v>0</v>
      </c>
      <c r="R542" s="426">
        <f t="shared" si="71"/>
        <v>5780064.8525940459</v>
      </c>
      <c r="S542" s="354">
        <f>+Hirdetmény!$AA$46</f>
        <v>0.13400000000000001</v>
      </c>
      <c r="T542" s="302">
        <f t="shared" si="62"/>
        <v>79290.852851230666</v>
      </c>
      <c r="U542" s="302">
        <f t="shared" si="72"/>
        <v>66338.214711418637</v>
      </c>
      <c r="V542" s="302">
        <f t="shared" si="73"/>
        <v>145629.06756264932</v>
      </c>
      <c r="W542" s="302">
        <f t="shared" si="74"/>
        <v>145629.06756264932</v>
      </c>
      <c r="AA542" s="10">
        <f t="shared" si="75"/>
        <v>4124087.9542528423</v>
      </c>
      <c r="AB542" s="354">
        <f>+paraméterek!$B$346</f>
        <v>6.4600000000000005E-2</v>
      </c>
      <c r="AC542" s="302">
        <f t="shared" si="63"/>
        <v>66945.310666148594</v>
      </c>
      <c r="AD542" s="302">
        <f t="shared" si="78"/>
        <v>22875.086424427056</v>
      </c>
      <c r="AE542" s="302">
        <f t="shared" si="76"/>
        <v>89820.397090575658</v>
      </c>
      <c r="AF542" s="478">
        <f t="shared" si="64"/>
        <v>89820.397090575658</v>
      </c>
      <c r="AI542" s="543">
        <f t="shared" si="77"/>
        <v>146437.06756264932</v>
      </c>
      <c r="AJ542" s="543"/>
      <c r="AK542" s="300"/>
      <c r="AL542" s="543"/>
      <c r="AM542" s="10"/>
    </row>
    <row r="543" spans="1:39" s="11" customFormat="1" ht="13.8" hidden="1" x14ac:dyDescent="0.25">
      <c r="A543" s="11">
        <v>188</v>
      </c>
      <c r="B543" s="11">
        <f t="shared" si="65"/>
        <v>16</v>
      </c>
      <c r="C543" s="354">
        <f t="shared" si="54"/>
        <v>0</v>
      </c>
      <c r="D543" s="300">
        <f t="shared" si="56"/>
        <v>3250673.726460719</v>
      </c>
      <c r="E543" s="354">
        <f t="shared" si="66"/>
        <v>0.13400000000000001</v>
      </c>
      <c r="F543" s="354">
        <f t="shared" si="55"/>
        <v>0.03</v>
      </c>
      <c r="H543" s="436">
        <f t="shared" si="57"/>
        <v>58414.667911962439</v>
      </c>
      <c r="I543" s="302">
        <f t="shared" si="58"/>
        <v>0</v>
      </c>
      <c r="K543" s="426">
        <f t="shared" si="67"/>
        <v>66802.287800476523</v>
      </c>
      <c r="L543" s="10">
        <f t="shared" si="68"/>
        <v>66802.287800476523</v>
      </c>
      <c r="M543" s="436">
        <f t="shared" si="69"/>
        <v>66802.287800476523</v>
      </c>
      <c r="N543" s="301">
        <f t="shared" si="59"/>
        <v>8387.6198885140893</v>
      </c>
      <c r="O543" s="302">
        <f t="shared" si="60"/>
        <v>66802.287800476508</v>
      </c>
      <c r="P543" s="436">
        <f t="shared" si="61"/>
        <v>0</v>
      </c>
      <c r="Q543" s="11">
        <f t="shared" si="70"/>
        <v>0</v>
      </c>
      <c r="R543" s="426">
        <f t="shared" si="71"/>
        <v>5699876.2877953723</v>
      </c>
      <c r="S543" s="354">
        <f>+Hirdetmény!$AA$46</f>
        <v>0.13400000000000001</v>
      </c>
      <c r="T543" s="302">
        <f t="shared" si="62"/>
        <v>80188.564798673659</v>
      </c>
      <c r="U543" s="302">
        <f t="shared" si="72"/>
        <v>65440.502763975652</v>
      </c>
      <c r="V543" s="302">
        <f t="shared" si="73"/>
        <v>145629.06756264932</v>
      </c>
      <c r="W543" s="302">
        <f t="shared" si="74"/>
        <v>145629.06756264932</v>
      </c>
      <c r="AA543" s="10">
        <f t="shared" si="75"/>
        <v>4056777.2492625741</v>
      </c>
      <c r="AB543" s="354">
        <f>+paraméterek!$B$346</f>
        <v>6.4600000000000005E-2</v>
      </c>
      <c r="AC543" s="302">
        <f t="shared" si="63"/>
        <v>67310.704990268307</v>
      </c>
      <c r="AD543" s="302">
        <f t="shared" si="78"/>
        <v>22509.692100307355</v>
      </c>
      <c r="AE543" s="302">
        <f t="shared" si="76"/>
        <v>89820.397090575658</v>
      </c>
      <c r="AF543" s="478">
        <f t="shared" si="64"/>
        <v>89820.397090575658</v>
      </c>
      <c r="AI543" s="543">
        <f t="shared" si="77"/>
        <v>146437.06756264932</v>
      </c>
      <c r="AJ543" s="543"/>
      <c r="AK543" s="300"/>
      <c r="AL543" s="543"/>
      <c r="AM543" s="10"/>
    </row>
    <row r="544" spans="1:39" s="11" customFormat="1" ht="13.8" hidden="1" x14ac:dyDescent="0.25">
      <c r="A544" s="11">
        <v>189</v>
      </c>
      <c r="B544" s="11">
        <f t="shared" si="65"/>
        <v>16</v>
      </c>
      <c r="C544" s="354">
        <f t="shared" si="54"/>
        <v>0</v>
      </c>
      <c r="D544" s="300">
        <f t="shared" si="56"/>
        <v>3192110.9935918963</v>
      </c>
      <c r="E544" s="354">
        <f t="shared" si="66"/>
        <v>0.13400000000000001</v>
      </c>
      <c r="F544" s="354">
        <f t="shared" si="55"/>
        <v>0.03</v>
      </c>
      <c r="H544" s="436">
        <f t="shared" si="57"/>
        <v>58562.732868822633</v>
      </c>
      <c r="I544" s="302">
        <f t="shared" si="58"/>
        <v>0</v>
      </c>
      <c r="K544" s="426">
        <f t="shared" si="67"/>
        <v>66802.287800476537</v>
      </c>
      <c r="L544" s="10">
        <f t="shared" si="68"/>
        <v>66802.287800476537</v>
      </c>
      <c r="M544" s="436">
        <f t="shared" si="69"/>
        <v>66802.287800476537</v>
      </c>
      <c r="N544" s="301">
        <f t="shared" si="59"/>
        <v>8239.5549316539054</v>
      </c>
      <c r="O544" s="302">
        <f t="shared" si="60"/>
        <v>66802.287800476508</v>
      </c>
      <c r="P544" s="436">
        <f t="shared" si="61"/>
        <v>0</v>
      </c>
      <c r="Q544" s="11">
        <f t="shared" si="70"/>
        <v>0</v>
      </c>
      <c r="R544" s="426">
        <f t="shared" si="71"/>
        <v>5618779.8473707028</v>
      </c>
      <c r="S544" s="354">
        <f>+Hirdetmény!$AA$46</f>
        <v>0.13400000000000001</v>
      </c>
      <c r="T544" s="302">
        <f t="shared" si="62"/>
        <v>81096.440424669752</v>
      </c>
      <c r="U544" s="302">
        <f t="shared" si="72"/>
        <v>64532.627137979558</v>
      </c>
      <c r="V544" s="302">
        <f t="shared" si="73"/>
        <v>145629.06756264932</v>
      </c>
      <c r="W544" s="302">
        <f t="shared" si="74"/>
        <v>145629.06756264932</v>
      </c>
      <c r="AA544" s="10">
        <f t="shared" si="75"/>
        <v>3989099.1555887489</v>
      </c>
      <c r="AB544" s="354">
        <f>+paraméterek!$B$346</f>
        <v>6.4600000000000005E-2</v>
      </c>
      <c r="AC544" s="302">
        <f t="shared" si="63"/>
        <v>67678.093673825162</v>
      </c>
      <c r="AD544" s="302">
        <f t="shared" si="78"/>
        <v>22142.303416750521</v>
      </c>
      <c r="AE544" s="302">
        <f t="shared" si="76"/>
        <v>89820.397090575687</v>
      </c>
      <c r="AF544" s="478">
        <f t="shared" si="64"/>
        <v>89820.397090575687</v>
      </c>
      <c r="AI544" s="543">
        <f t="shared" si="77"/>
        <v>146437.06756264932</v>
      </c>
      <c r="AJ544" s="543"/>
      <c r="AK544" s="300"/>
      <c r="AL544" s="543"/>
      <c r="AM544" s="10"/>
    </row>
    <row r="545" spans="1:39" s="11" customFormat="1" ht="13.8" hidden="1" x14ac:dyDescent="0.25">
      <c r="A545" s="11">
        <v>190</v>
      </c>
      <c r="B545" s="11">
        <f t="shared" si="65"/>
        <v>16</v>
      </c>
      <c r="C545" s="354">
        <f t="shared" si="54"/>
        <v>0</v>
      </c>
      <c r="D545" s="300">
        <f t="shared" si="56"/>
        <v>3133399.8204626772</v>
      </c>
      <c r="E545" s="354">
        <f t="shared" si="66"/>
        <v>0.13400000000000001</v>
      </c>
      <c r="F545" s="354">
        <f t="shared" si="55"/>
        <v>0.03</v>
      </c>
      <c r="H545" s="436">
        <f t="shared" si="57"/>
        <v>58711.173129219307</v>
      </c>
      <c r="I545" s="302">
        <f t="shared" si="58"/>
        <v>0</v>
      </c>
      <c r="K545" s="426">
        <f t="shared" si="67"/>
        <v>66802.287800476552</v>
      </c>
      <c r="L545" s="10">
        <f t="shared" si="68"/>
        <v>66802.287800476552</v>
      </c>
      <c r="M545" s="436">
        <f t="shared" si="69"/>
        <v>66802.287800476552</v>
      </c>
      <c r="N545" s="301">
        <f t="shared" si="59"/>
        <v>8091.1146712572381</v>
      </c>
      <c r="O545" s="302">
        <f t="shared" si="60"/>
        <v>66802.287800476508</v>
      </c>
      <c r="P545" s="436">
        <f t="shared" si="61"/>
        <v>0</v>
      </c>
      <c r="Q545" s="11">
        <f t="shared" si="70"/>
        <v>0</v>
      </c>
      <c r="R545" s="426">
        <f t="shared" si="71"/>
        <v>5536765.2525707623</v>
      </c>
      <c r="S545" s="354">
        <f>+Hirdetmény!$AA$46</f>
        <v>0.13400000000000001</v>
      </c>
      <c r="T545" s="302">
        <f t="shared" si="62"/>
        <v>82014.594799940722</v>
      </c>
      <c r="U545" s="302">
        <f t="shared" si="72"/>
        <v>63614.472762708589</v>
      </c>
      <c r="V545" s="302">
        <f t="shared" si="73"/>
        <v>145629.06756264932</v>
      </c>
      <c r="W545" s="302">
        <f t="shared" si="74"/>
        <v>145629.06756264932</v>
      </c>
      <c r="AA545" s="10">
        <f t="shared" si="75"/>
        <v>3921051.6679865126</v>
      </c>
      <c r="AB545" s="354">
        <f>+paraméterek!$B$346</f>
        <v>6.4600000000000005E-2</v>
      </c>
      <c r="AC545" s="302">
        <f t="shared" si="63"/>
        <v>68047.487602236055</v>
      </c>
      <c r="AD545" s="302">
        <f t="shared" si="78"/>
        <v>21772.90948833961</v>
      </c>
      <c r="AE545" s="302">
        <f t="shared" si="76"/>
        <v>89820.397090575658</v>
      </c>
      <c r="AF545" s="478">
        <f t="shared" si="64"/>
        <v>89820.397090575658</v>
      </c>
      <c r="AI545" s="543">
        <f t="shared" si="77"/>
        <v>146437.06756264932</v>
      </c>
      <c r="AJ545" s="543"/>
      <c r="AK545" s="300"/>
      <c r="AL545" s="543"/>
      <c r="AM545" s="10"/>
    </row>
    <row r="546" spans="1:39" s="11" customFormat="1" ht="13.8" hidden="1" x14ac:dyDescent="0.25">
      <c r="A546" s="11">
        <v>191</v>
      </c>
      <c r="B546" s="11">
        <f t="shared" si="65"/>
        <v>16</v>
      </c>
      <c r="C546" s="354">
        <f t="shared" si="54"/>
        <v>0</v>
      </c>
      <c r="D546" s="300">
        <f t="shared" si="56"/>
        <v>3074539.8308182345</v>
      </c>
      <c r="E546" s="354">
        <f t="shared" si="66"/>
        <v>0.13400000000000001</v>
      </c>
      <c r="F546" s="354">
        <f t="shared" si="55"/>
        <v>0.03</v>
      </c>
      <c r="H546" s="436">
        <f t="shared" si="57"/>
        <v>58859.989644442663</v>
      </c>
      <c r="I546" s="302">
        <f t="shared" si="58"/>
        <v>0</v>
      </c>
      <c r="K546" s="426">
        <f t="shared" si="67"/>
        <v>66802.287800476537</v>
      </c>
      <c r="L546" s="10">
        <f t="shared" si="68"/>
        <v>66802.287800476537</v>
      </c>
      <c r="M546" s="436">
        <f t="shared" si="69"/>
        <v>66802.287800476537</v>
      </c>
      <c r="N546" s="301">
        <f t="shared" si="59"/>
        <v>7942.2981560338694</v>
      </c>
      <c r="O546" s="302">
        <f t="shared" si="60"/>
        <v>66802.287800476508</v>
      </c>
      <c r="P546" s="436">
        <f t="shared" si="61"/>
        <v>0</v>
      </c>
      <c r="Q546" s="11">
        <f t="shared" si="70"/>
        <v>0</v>
      </c>
      <c r="R546" s="426">
        <f t="shared" si="71"/>
        <v>5453822.1082727509</v>
      </c>
      <c r="S546" s="354">
        <f>+Hirdetmény!$AA$46</f>
        <v>0.13400000000000001</v>
      </c>
      <c r="T546" s="302">
        <f t="shared" si="62"/>
        <v>82943.14429801135</v>
      </c>
      <c r="U546" s="302">
        <f t="shared" si="72"/>
        <v>62685.923264637961</v>
      </c>
      <c r="V546" s="302">
        <f t="shared" si="73"/>
        <v>145629.06756264932</v>
      </c>
      <c r="W546" s="302">
        <f t="shared" si="74"/>
        <v>145629.06756264932</v>
      </c>
      <c r="AA546" s="10">
        <f t="shared" si="75"/>
        <v>3852632.7702661809</v>
      </c>
      <c r="AB546" s="354">
        <f>+paraméterek!$B$346</f>
        <v>6.4600000000000005E-2</v>
      </c>
      <c r="AC546" s="302">
        <f t="shared" si="63"/>
        <v>68418.89772033169</v>
      </c>
      <c r="AD546" s="302">
        <f t="shared" si="78"/>
        <v>21401.499370243979</v>
      </c>
      <c r="AE546" s="302">
        <f t="shared" si="76"/>
        <v>89820.397090575672</v>
      </c>
      <c r="AF546" s="478">
        <f t="shared" si="64"/>
        <v>89820.397090575672</v>
      </c>
      <c r="AI546" s="543">
        <f t="shared" si="77"/>
        <v>146437.06756264932</v>
      </c>
      <c r="AJ546" s="543"/>
      <c r="AK546" s="300"/>
      <c r="AL546" s="543"/>
      <c r="AM546" s="10"/>
    </row>
    <row r="547" spans="1:39" s="11" customFormat="1" ht="13.8" hidden="1" x14ac:dyDescent="0.25">
      <c r="A547" s="11">
        <v>192</v>
      </c>
      <c r="B547" s="11">
        <f t="shared" si="65"/>
        <v>16</v>
      </c>
      <c r="C547" s="354">
        <f t="shared" ref="C547:C610" si="79">aktualisbubor</f>
        <v>0</v>
      </c>
      <c r="D547" s="300">
        <f t="shared" si="56"/>
        <v>3015530.6474500401</v>
      </c>
      <c r="E547" s="354">
        <f t="shared" si="66"/>
        <v>0.13400000000000001</v>
      </c>
      <c r="F547" s="354">
        <f t="shared" ref="F547:F610" si="80">$N$292</f>
        <v>0.03</v>
      </c>
      <c r="H547" s="436">
        <f t="shared" si="57"/>
        <v>59009.183368194201</v>
      </c>
      <c r="I547" s="302">
        <f t="shared" si="58"/>
        <v>0</v>
      </c>
      <c r="K547" s="426">
        <f t="shared" si="67"/>
        <v>66802.287800476537</v>
      </c>
      <c r="L547" s="10">
        <f t="shared" si="68"/>
        <v>66802.287800476537</v>
      </c>
      <c r="M547" s="436">
        <f t="shared" si="69"/>
        <v>66802.287800476537</v>
      </c>
      <c r="N547" s="301">
        <f t="shared" si="59"/>
        <v>7793.10443228233</v>
      </c>
      <c r="O547" s="302">
        <f t="shared" si="60"/>
        <v>66802.287800476508</v>
      </c>
      <c r="P547" s="436">
        <f t="shared" si="61"/>
        <v>0</v>
      </c>
      <c r="Q547" s="11">
        <f t="shared" si="70"/>
        <v>0</v>
      </c>
      <c r="R547" s="426">
        <f t="shared" si="71"/>
        <v>5369939.9016627911</v>
      </c>
      <c r="S547" s="354">
        <f>+Hirdetmény!$AA$46</f>
        <v>0.13400000000000001</v>
      </c>
      <c r="T547" s="302">
        <f t="shared" si="62"/>
        <v>83882.206609959438</v>
      </c>
      <c r="U547" s="302">
        <f t="shared" si="72"/>
        <v>61746.86095268988</v>
      </c>
      <c r="V547" s="302">
        <f t="shared" si="73"/>
        <v>145629.06756264932</v>
      </c>
      <c r="W547" s="302">
        <f t="shared" si="74"/>
        <v>145629.06756264932</v>
      </c>
      <c r="AA547" s="10">
        <f t="shared" si="75"/>
        <v>3783840.4352335003</v>
      </c>
      <c r="AB547" s="354">
        <f>+paraméterek!$B$346</f>
        <v>6.4600000000000005E-2</v>
      </c>
      <c r="AC547" s="302">
        <f t="shared" si="63"/>
        <v>68792.335032680683</v>
      </c>
      <c r="AD547" s="302">
        <f t="shared" si="78"/>
        <v>21028.062057894975</v>
      </c>
      <c r="AE547" s="302">
        <f t="shared" si="76"/>
        <v>89820.397090575658</v>
      </c>
      <c r="AF547" s="478">
        <f t="shared" si="64"/>
        <v>89820.397090575658</v>
      </c>
      <c r="AI547" s="543">
        <f t="shared" si="77"/>
        <v>146437.06756264932</v>
      </c>
      <c r="AJ547" s="543"/>
      <c r="AK547" s="300"/>
      <c r="AL547" s="543"/>
      <c r="AM547" s="10"/>
    </row>
    <row r="548" spans="1:39" s="11" customFormat="1" ht="13.8" hidden="1" x14ac:dyDescent="0.25">
      <c r="A548" s="11">
        <v>193</v>
      </c>
      <c r="B548" s="11">
        <f t="shared" si="65"/>
        <v>17</v>
      </c>
      <c r="C548" s="354">
        <f t="shared" si="79"/>
        <v>0</v>
      </c>
      <c r="D548" s="300">
        <f t="shared" ref="D548:D611" si="81">+D547-H548-I548</f>
        <v>2956371.8921934473</v>
      </c>
      <c r="E548" s="354">
        <f t="shared" si="66"/>
        <v>0.13400000000000001</v>
      </c>
      <c r="F548" s="354">
        <f t="shared" si="80"/>
        <v>0.03</v>
      </c>
      <c r="H548" s="436">
        <f t="shared" ref="H548:H611" si="82">IF(A548&lt;=$E$295,0,IF(A548&lt;=$K$5,PPMT(F548/360*(365/12),A548-$E$295,$K$5-$E$295,-$D$355),0))</f>
        <v>59158.755256592747</v>
      </c>
      <c r="I548" s="302">
        <f t="shared" ref="I548:I611" si="83">+IF(A548=$K$5,$K$11,0)</f>
        <v>0</v>
      </c>
      <c r="K548" s="426">
        <f t="shared" si="67"/>
        <v>66802.287800476523</v>
      </c>
      <c r="L548" s="10">
        <f t="shared" si="68"/>
        <v>66802.287800476523</v>
      </c>
      <c r="M548" s="436">
        <f t="shared" si="69"/>
        <v>66802.287800476523</v>
      </c>
      <c r="N548" s="301">
        <f t="shared" ref="N548:N611" si="84">+D547*F548/360*(365/12)</f>
        <v>7643.5325438837817</v>
      </c>
      <c r="O548" s="302">
        <f t="shared" ref="O548:O611" si="85">IF(A548&lt;=$K$5,PMT($N$292*365/360/12,$K$5,-$N$18)+P548+Q548+$N$27)+IF($K$6="nem",$E$29,IF(A547&lt;$E$295+1,$E$28,$E$29))</f>
        <v>66802.287800476508</v>
      </c>
      <c r="P548" s="436">
        <f t="shared" ref="P548:P611" si="86">IF(A548&lt;=$K$5,$E$25,0)</f>
        <v>0</v>
      </c>
      <c r="Q548" s="11">
        <f t="shared" si="70"/>
        <v>0</v>
      </c>
      <c r="R548" s="426">
        <f t="shared" si="71"/>
        <v>5285108.0009034583</v>
      </c>
      <c r="S548" s="354">
        <f>+Hirdetmény!$AA$46</f>
        <v>0.13400000000000001</v>
      </c>
      <c r="T548" s="302">
        <f t="shared" ref="T548:T611" si="87">IF(A548&lt;=$K$5,IF(A548&gt;$E$295,PPMT(S548/360*(365/12),1,$K$5-A547,R547,$K$11*-1),0)*-1,0)</f>
        <v>84831.900759332828</v>
      </c>
      <c r="U548" s="302">
        <f t="shared" si="72"/>
        <v>60797.166803316468</v>
      </c>
      <c r="V548" s="302">
        <f t="shared" si="73"/>
        <v>145629.06756264929</v>
      </c>
      <c r="W548" s="302">
        <f t="shared" si="74"/>
        <v>145629.06756264929</v>
      </c>
      <c r="AA548" s="10">
        <f t="shared" si="75"/>
        <v>3714672.6246295846</v>
      </c>
      <c r="AB548" s="354">
        <f>+paraméterek!$B$346</f>
        <v>6.4600000000000005E-2</v>
      </c>
      <c r="AC548" s="302">
        <f t="shared" ref="AC548:AC611" si="88">IF(A548&lt;=$K$5,IF(A548&gt;$E$295,PPMT(AB548/360*(365/12),1,$K$5-A547,AA547,$K$11*-1),0)*-1,0)</f>
        <v>69167.810603915772</v>
      </c>
      <c r="AD548" s="302">
        <f t="shared" si="78"/>
        <v>20652.586486659886</v>
      </c>
      <c r="AE548" s="302">
        <f t="shared" si="76"/>
        <v>89820.397090575658</v>
      </c>
      <c r="AF548" s="478">
        <f t="shared" ref="AF548:AF611" si="89">+AE548+IF($K$6="nem",$E$29,IF(A548&lt;$E$295+1,$E$28,$E$29)+IF(A548&lt;=$K$5,$E$25+Q548+$N$27,0))</f>
        <v>89820.397090575658</v>
      </c>
      <c r="AI548" s="543">
        <f t="shared" si="77"/>
        <v>146437.06756264929</v>
      </c>
      <c r="AJ548" s="543"/>
      <c r="AK548" s="300"/>
      <c r="AL548" s="543"/>
      <c r="AM548" s="10"/>
    </row>
    <row r="549" spans="1:39" s="11" customFormat="1" ht="13.8" hidden="1" x14ac:dyDescent="0.25">
      <c r="A549" s="11">
        <v>194</v>
      </c>
      <c r="B549" s="11">
        <f t="shared" ref="B549:B612" si="90">+ROUNDUP(A549/12,0)</f>
        <v>17</v>
      </c>
      <c r="C549" s="354">
        <f t="shared" si="79"/>
        <v>0</v>
      </c>
      <c r="D549" s="300">
        <f t="shared" si="81"/>
        <v>2897063.1859252667</v>
      </c>
      <c r="E549" s="354">
        <f t="shared" ref="E549:E612" si="91">E548</f>
        <v>0.13400000000000001</v>
      </c>
      <c r="F549" s="354">
        <f t="shared" si="80"/>
        <v>0.03</v>
      </c>
      <c r="H549" s="436">
        <f t="shared" si="82"/>
        <v>59308.706268180642</v>
      </c>
      <c r="I549" s="302">
        <f t="shared" si="83"/>
        <v>0</v>
      </c>
      <c r="K549" s="426">
        <f t="shared" ref="K549:K612" si="92">+(H549+N549)+IF($K$6="nem",$E$29,IF(A549&lt;$E$295+1,$E$28,$E$29)+P549)+Q549+$N$27+I549</f>
        <v>66802.287800476537</v>
      </c>
      <c r="L549" s="10">
        <f t="shared" ref="L549:L612" si="93">K549</f>
        <v>66802.287800476537</v>
      </c>
      <c r="M549" s="436">
        <f t="shared" ref="M549:M612" si="94">H549+N549</f>
        <v>66802.287800476537</v>
      </c>
      <c r="N549" s="301">
        <f t="shared" si="84"/>
        <v>7493.5815322958906</v>
      </c>
      <c r="O549" s="302">
        <f t="shared" si="85"/>
        <v>66802.287800476508</v>
      </c>
      <c r="P549" s="436">
        <f t="shared" si="86"/>
        <v>0</v>
      </c>
      <c r="Q549" s="11">
        <f t="shared" ref="Q549:Q612" si="95">IF(A549&gt;$K$5,0,+IF($K$25="havi",$K$23,0)+IF($K$25="negyedéves",$K$23,0)+IF($K$25="féléves",$K$23,0)+IF($K$25="éves",$K$23,0)+IF($E$223="havi",$E$221,0)+IF($E$223="negyedéves",$E$221,0)+IF($E$223="féléves",$E$221,0)+IF($E$223="éves",$E$221,0)+IF($H$223="havi",$H$221,0)+IF($H$223="negyedéves",$H$221,0)+IF($H$223="féléves",$H$221,0)+IF($H$223="éves",$H$221,0)+IF($K$223="havi",$K$221,0)+IF($K$223="negyedéves",$K$221,0)+IF($K$223="féléves",$K$221,0)+IF($K$223="éves",$K$221,0)+IF($N$223="havi",$N$221,0)+IF($N$223="negyedéves",$N$221,0)+IF($N$223="féléves",$N$221,0)+IF($N$223="éves",$N$221,0))</f>
        <v>0</v>
      </c>
      <c r="R549" s="426">
        <f t="shared" ref="R549:R612" si="96">+R548-T549</f>
        <v>5199315.6537862234</v>
      </c>
      <c r="S549" s="354">
        <f>+Hirdetmény!$AA$46</f>
        <v>0.13400000000000001</v>
      </c>
      <c r="T549" s="302">
        <f t="shared" si="87"/>
        <v>85792.347117235389</v>
      </c>
      <c r="U549" s="302">
        <f t="shared" ref="U549:U612" si="97">+R548*S549/360*(365/12)</f>
        <v>59836.720445413936</v>
      </c>
      <c r="V549" s="302">
        <f t="shared" ref="V549:V612" si="98">+T549+U549</f>
        <v>145629.06756264932</v>
      </c>
      <c r="W549" s="302">
        <f t="shared" ref="W549:W612" si="99">+V549+IF($K$6="nem",$E$29,IF(A549&lt;$E$295+1,$E$28,$E$29))+IF(A549&lt;=$K$5,$E$25+Q549+$N$27,0)</f>
        <v>145629.06756264932</v>
      </c>
      <c r="AA549" s="10">
        <f t="shared" ref="AA549:AA612" si="100">+AA548-AC549</f>
        <v>3645127.2890705229</v>
      </c>
      <c r="AB549" s="354">
        <f>+paraméterek!$B$346</f>
        <v>6.4600000000000005E-2</v>
      </c>
      <c r="AC549" s="302">
        <f t="shared" si="88"/>
        <v>69545.335559061554</v>
      </c>
      <c r="AD549" s="302">
        <f t="shared" si="78"/>
        <v>20275.061531514119</v>
      </c>
      <c r="AE549" s="302">
        <f t="shared" ref="AE549:AE612" si="101">+AC549+AD549</f>
        <v>89820.397090575672</v>
      </c>
      <c r="AF549" s="478">
        <f t="shared" si="89"/>
        <v>89820.397090575672</v>
      </c>
      <c r="AI549" s="543">
        <f t="shared" ref="AI549:AI612" si="102">+V549+IF($K$6="nem",$E$29,IF(A549&lt;$E$295+1,$E$28,$E$29)+P549)+IF(A549&gt;$K$5,0,IF($E$221=0,$E$222,$E$221)+$N$27)+I549</f>
        <v>146437.06756264932</v>
      </c>
      <c r="AJ549" s="543"/>
      <c r="AK549" s="300"/>
      <c r="AL549" s="543"/>
      <c r="AM549" s="10"/>
    </row>
    <row r="550" spans="1:39" s="11" customFormat="1" ht="13.8" hidden="1" x14ac:dyDescent="0.25">
      <c r="A550" s="11">
        <v>195</v>
      </c>
      <c r="B550" s="11">
        <f t="shared" si="90"/>
        <v>17</v>
      </c>
      <c r="C550" s="354">
        <f t="shared" si="79"/>
        <v>0</v>
      </c>
      <c r="D550" s="300">
        <f t="shared" si="81"/>
        <v>2837604.148561337</v>
      </c>
      <c r="E550" s="354">
        <f t="shared" si="91"/>
        <v>0.13400000000000001</v>
      </c>
      <c r="F550" s="354">
        <f t="shared" si="80"/>
        <v>0.03</v>
      </c>
      <c r="H550" s="436">
        <f t="shared" si="82"/>
        <v>59459.037363929849</v>
      </c>
      <c r="I550" s="302">
        <f t="shared" si="83"/>
        <v>0</v>
      </c>
      <c r="K550" s="426">
        <f t="shared" si="92"/>
        <v>66802.287800476537</v>
      </c>
      <c r="L550" s="10">
        <f t="shared" si="93"/>
        <v>66802.287800476537</v>
      </c>
      <c r="M550" s="436">
        <f t="shared" si="94"/>
        <v>66802.287800476537</v>
      </c>
      <c r="N550" s="301">
        <f t="shared" si="84"/>
        <v>7343.250436546683</v>
      </c>
      <c r="O550" s="302">
        <f t="shared" si="85"/>
        <v>66802.287800476508</v>
      </c>
      <c r="P550" s="436">
        <f t="shared" si="86"/>
        <v>0</v>
      </c>
      <c r="Q550" s="11">
        <f t="shared" si="95"/>
        <v>0</v>
      </c>
      <c r="R550" s="426">
        <f t="shared" si="96"/>
        <v>5112551.9863686394</v>
      </c>
      <c r="S550" s="354">
        <f>+Hirdetmény!$AA$46</f>
        <v>0.13400000000000001</v>
      </c>
      <c r="T550" s="302">
        <f t="shared" si="87"/>
        <v>86763.667417583521</v>
      </c>
      <c r="U550" s="302">
        <f t="shared" si="97"/>
        <v>58865.400145065796</v>
      </c>
      <c r="V550" s="302">
        <f t="shared" si="98"/>
        <v>145629.06756264932</v>
      </c>
      <c r="W550" s="302">
        <f t="shared" si="99"/>
        <v>145629.06756264932</v>
      </c>
      <c r="AA550" s="10">
        <f t="shared" si="100"/>
        <v>3575202.3679866586</v>
      </c>
      <c r="AB550" s="354">
        <f>+paraméterek!$B$346</f>
        <v>6.4600000000000005E-2</v>
      </c>
      <c r="AC550" s="302">
        <f t="shared" si="88"/>
        <v>69924.921083864116</v>
      </c>
      <c r="AD550" s="302">
        <f t="shared" ref="AD550:AD613" si="103">+AA549*AB550/360*(365/12)</f>
        <v>19895.476006711542</v>
      </c>
      <c r="AE550" s="302">
        <f t="shared" si="101"/>
        <v>89820.397090575658</v>
      </c>
      <c r="AF550" s="478">
        <f t="shared" si="89"/>
        <v>89820.397090575658</v>
      </c>
      <c r="AI550" s="543">
        <f t="shared" si="102"/>
        <v>146437.06756264932</v>
      </c>
      <c r="AJ550" s="543"/>
      <c r="AK550" s="300"/>
      <c r="AL550" s="543"/>
      <c r="AM550" s="10"/>
    </row>
    <row r="551" spans="1:39" s="11" customFormat="1" ht="13.8" hidden="1" x14ac:dyDescent="0.25">
      <c r="A551" s="11">
        <v>196</v>
      </c>
      <c r="B551" s="11">
        <f t="shared" si="90"/>
        <v>17</v>
      </c>
      <c r="C551" s="354">
        <f t="shared" si="79"/>
        <v>0</v>
      </c>
      <c r="D551" s="300">
        <f t="shared" si="81"/>
        <v>2777994.3990540891</v>
      </c>
      <c r="E551" s="354">
        <f t="shared" si="91"/>
        <v>0.13400000000000001</v>
      </c>
      <c r="F551" s="354">
        <f t="shared" si="80"/>
        <v>0.03</v>
      </c>
      <c r="H551" s="436">
        <f t="shared" si="82"/>
        <v>59609.749507248147</v>
      </c>
      <c r="I551" s="302">
        <f t="shared" si="83"/>
        <v>0</v>
      </c>
      <c r="K551" s="426">
        <f t="shared" si="92"/>
        <v>66802.287800476537</v>
      </c>
      <c r="L551" s="10">
        <f t="shared" si="93"/>
        <v>66802.287800476537</v>
      </c>
      <c r="M551" s="436">
        <f t="shared" si="94"/>
        <v>66802.287800476537</v>
      </c>
      <c r="N551" s="301">
        <f t="shared" si="84"/>
        <v>7192.5382932283883</v>
      </c>
      <c r="O551" s="302">
        <f t="shared" si="85"/>
        <v>66802.287800476508</v>
      </c>
      <c r="P551" s="436">
        <f t="shared" si="86"/>
        <v>0</v>
      </c>
      <c r="Q551" s="11">
        <f t="shared" si="95"/>
        <v>0</v>
      </c>
      <c r="R551" s="426">
        <f t="shared" si="96"/>
        <v>5024806.0015961034</v>
      </c>
      <c r="S551" s="354">
        <f>+Hirdetmény!$AA$46</f>
        <v>0.13400000000000001</v>
      </c>
      <c r="T551" s="302">
        <f t="shared" si="87"/>
        <v>87745.984772535827</v>
      </c>
      <c r="U551" s="302">
        <f t="shared" si="97"/>
        <v>57883.082790113469</v>
      </c>
      <c r="V551" s="302">
        <f t="shared" si="98"/>
        <v>145629.06756264929</v>
      </c>
      <c r="W551" s="302">
        <f t="shared" si="99"/>
        <v>145629.06756264929</v>
      </c>
      <c r="AA551" s="10">
        <f t="shared" si="100"/>
        <v>3504895.7895615362</v>
      </c>
      <c r="AB551" s="354">
        <f>+paraméterek!$B$346</f>
        <v>6.4600000000000005E-2</v>
      </c>
      <c r="AC551" s="302">
        <f t="shared" si="88"/>
        <v>70306.578425122541</v>
      </c>
      <c r="AD551" s="302">
        <f t="shared" si="103"/>
        <v>19513.818665453109</v>
      </c>
      <c r="AE551" s="302">
        <f t="shared" si="101"/>
        <v>89820.397090575658</v>
      </c>
      <c r="AF551" s="478">
        <f t="shared" si="89"/>
        <v>89820.397090575658</v>
      </c>
      <c r="AI551" s="543">
        <f t="shared" si="102"/>
        <v>146437.06756264929</v>
      </c>
      <c r="AJ551" s="543"/>
      <c r="AK551" s="300"/>
      <c r="AL551" s="543"/>
      <c r="AM551" s="10"/>
    </row>
    <row r="552" spans="1:39" s="11" customFormat="1" ht="13.8" hidden="1" x14ac:dyDescent="0.25">
      <c r="A552" s="11">
        <v>197</v>
      </c>
      <c r="B552" s="11">
        <f t="shared" si="90"/>
        <v>17</v>
      </c>
      <c r="C552" s="354">
        <f t="shared" si="79"/>
        <v>0</v>
      </c>
      <c r="D552" s="300">
        <f t="shared" si="81"/>
        <v>2718233.5553901037</v>
      </c>
      <c r="E552" s="354">
        <f t="shared" si="91"/>
        <v>0.13400000000000001</v>
      </c>
      <c r="F552" s="354">
        <f t="shared" si="80"/>
        <v>0.03</v>
      </c>
      <c r="H552" s="436">
        <f t="shared" si="82"/>
        <v>59760.843663985273</v>
      </c>
      <c r="I552" s="302">
        <f t="shared" si="83"/>
        <v>0</v>
      </c>
      <c r="K552" s="426">
        <f t="shared" si="92"/>
        <v>66802.287800476537</v>
      </c>
      <c r="L552" s="10">
        <f t="shared" si="93"/>
        <v>66802.287800476537</v>
      </c>
      <c r="M552" s="436">
        <f t="shared" si="94"/>
        <v>66802.287800476537</v>
      </c>
      <c r="N552" s="301">
        <f t="shared" si="84"/>
        <v>7041.4441364912673</v>
      </c>
      <c r="O552" s="302">
        <f t="shared" si="85"/>
        <v>66802.287800476508</v>
      </c>
      <c r="P552" s="436">
        <f t="shared" si="86"/>
        <v>0</v>
      </c>
      <c r="Q552" s="11">
        <f t="shared" si="95"/>
        <v>0</v>
      </c>
      <c r="R552" s="426">
        <f t="shared" si="96"/>
        <v>4936066.5779080065</v>
      </c>
      <c r="S552" s="354">
        <f>+Hirdetmény!$AA$46</f>
        <v>0.13400000000000001</v>
      </c>
      <c r="T552" s="302">
        <f t="shared" si="87"/>
        <v>88739.4236880971</v>
      </c>
      <c r="U552" s="302">
        <f t="shared" si="97"/>
        <v>56889.643874552188</v>
      </c>
      <c r="V552" s="302">
        <f t="shared" si="98"/>
        <v>145629.06756264929</v>
      </c>
      <c r="W552" s="302">
        <f t="shared" si="99"/>
        <v>145629.06756264929</v>
      </c>
      <c r="AA552" s="10">
        <f t="shared" si="100"/>
        <v>3434205.4706705143</v>
      </c>
      <c r="AB552" s="354">
        <f>+paraméterek!$B$346</f>
        <v>6.4600000000000005E-2</v>
      </c>
      <c r="AC552" s="302">
        <f t="shared" si="88"/>
        <v>70690.318891022078</v>
      </c>
      <c r="AD552" s="302">
        <f t="shared" si="103"/>
        <v>19130.078199553584</v>
      </c>
      <c r="AE552" s="302">
        <f t="shared" si="101"/>
        <v>89820.397090575658</v>
      </c>
      <c r="AF552" s="478">
        <f t="shared" si="89"/>
        <v>89820.397090575658</v>
      </c>
      <c r="AI552" s="543">
        <f t="shared" si="102"/>
        <v>146437.06756264929</v>
      </c>
      <c r="AJ552" s="543"/>
      <c r="AK552" s="300"/>
      <c r="AL552" s="543"/>
      <c r="AM552" s="10"/>
    </row>
    <row r="553" spans="1:39" s="11" customFormat="1" ht="13.8" hidden="1" x14ac:dyDescent="0.25">
      <c r="A553" s="11">
        <v>198</v>
      </c>
      <c r="B553" s="11">
        <f t="shared" si="90"/>
        <v>17</v>
      </c>
      <c r="C553" s="354">
        <f t="shared" si="79"/>
        <v>0</v>
      </c>
      <c r="D553" s="300">
        <f t="shared" si="81"/>
        <v>2658321.2345876647</v>
      </c>
      <c r="E553" s="354">
        <f t="shared" si="91"/>
        <v>0.13400000000000001</v>
      </c>
      <c r="F553" s="354">
        <f t="shared" si="80"/>
        <v>0.03</v>
      </c>
      <c r="H553" s="436">
        <f t="shared" si="82"/>
        <v>59912.320802439128</v>
      </c>
      <c r="I553" s="302">
        <f t="shared" si="83"/>
        <v>0</v>
      </c>
      <c r="K553" s="426">
        <f t="shared" si="92"/>
        <v>66802.287800476537</v>
      </c>
      <c r="L553" s="10">
        <f t="shared" si="93"/>
        <v>66802.287800476537</v>
      </c>
      <c r="M553" s="436">
        <f t="shared" si="94"/>
        <v>66802.287800476537</v>
      </c>
      <c r="N553" s="301">
        <f t="shared" si="84"/>
        <v>6889.9669980374156</v>
      </c>
      <c r="O553" s="302">
        <f t="shared" si="85"/>
        <v>66802.287800476508</v>
      </c>
      <c r="P553" s="436">
        <f t="shared" si="86"/>
        <v>0</v>
      </c>
      <c r="Q553" s="11">
        <f t="shared" si="95"/>
        <v>0</v>
      </c>
      <c r="R553" s="426">
        <f t="shared" si="96"/>
        <v>4846322.4678281071</v>
      </c>
      <c r="S553" s="354">
        <f>+Hirdetmény!$AA$46</f>
        <v>0.13400000000000001</v>
      </c>
      <c r="T553" s="302">
        <f t="shared" si="87"/>
        <v>89744.110079899168</v>
      </c>
      <c r="U553" s="302">
        <f t="shared" si="97"/>
        <v>55884.957482750142</v>
      </c>
      <c r="V553" s="302">
        <f t="shared" si="98"/>
        <v>145629.06756264932</v>
      </c>
      <c r="W553" s="302">
        <f t="shared" si="99"/>
        <v>145629.06756264932</v>
      </c>
      <c r="AA553" s="10">
        <f t="shared" si="100"/>
        <v>3363129.3168190452</v>
      </c>
      <c r="AB553" s="354">
        <f>+paraméterek!$B$346</f>
        <v>6.4600000000000005E-2</v>
      </c>
      <c r="AC553" s="302">
        <f t="shared" si="88"/>
        <v>71076.153851469164</v>
      </c>
      <c r="AD553" s="302">
        <f t="shared" si="103"/>
        <v>18744.243239106498</v>
      </c>
      <c r="AE553" s="302">
        <f t="shared" si="101"/>
        <v>89820.397090575658</v>
      </c>
      <c r="AF553" s="478">
        <f t="shared" si="89"/>
        <v>89820.397090575658</v>
      </c>
      <c r="AI553" s="543">
        <f t="shared" si="102"/>
        <v>146437.06756264932</v>
      </c>
      <c r="AJ553" s="543"/>
      <c r="AK553" s="300"/>
      <c r="AL553" s="543"/>
      <c r="AM553" s="10"/>
    </row>
    <row r="554" spans="1:39" s="11" customFormat="1" ht="13.8" hidden="1" x14ac:dyDescent="0.25">
      <c r="A554" s="11">
        <v>199</v>
      </c>
      <c r="B554" s="11">
        <f t="shared" si="90"/>
        <v>17</v>
      </c>
      <c r="C554" s="354">
        <f t="shared" si="79"/>
        <v>0</v>
      </c>
      <c r="D554" s="300">
        <f t="shared" si="81"/>
        <v>2598257.052694303</v>
      </c>
      <c r="E554" s="354">
        <f t="shared" si="91"/>
        <v>0.13400000000000001</v>
      </c>
      <c r="F554" s="354">
        <f t="shared" si="80"/>
        <v>0.03</v>
      </c>
      <c r="H554" s="436">
        <f t="shared" si="82"/>
        <v>60064.181893361965</v>
      </c>
      <c r="I554" s="302">
        <f t="shared" si="83"/>
        <v>0</v>
      </c>
      <c r="K554" s="426">
        <f t="shared" si="92"/>
        <v>66802.287800476537</v>
      </c>
      <c r="L554" s="10">
        <f t="shared" si="93"/>
        <v>66802.287800476537</v>
      </c>
      <c r="M554" s="436">
        <f t="shared" si="94"/>
        <v>66802.287800476537</v>
      </c>
      <c r="N554" s="301">
        <f t="shared" si="84"/>
        <v>6738.1059071145683</v>
      </c>
      <c r="O554" s="302">
        <f t="shared" si="85"/>
        <v>66802.287800476508</v>
      </c>
      <c r="P554" s="436">
        <f t="shared" si="86"/>
        <v>0</v>
      </c>
      <c r="Q554" s="11">
        <f t="shared" si="95"/>
        <v>0</v>
      </c>
      <c r="R554" s="426">
        <f t="shared" si="96"/>
        <v>4755562.2965389472</v>
      </c>
      <c r="S554" s="354">
        <f>+Hirdetmény!$AA$46</f>
        <v>0.13400000000000001</v>
      </c>
      <c r="T554" s="302">
        <f t="shared" si="87"/>
        <v>90760.171289160236</v>
      </c>
      <c r="U554" s="302">
        <f t="shared" si="97"/>
        <v>54868.896273489067</v>
      </c>
      <c r="V554" s="302">
        <f t="shared" si="98"/>
        <v>145629.06756264932</v>
      </c>
      <c r="W554" s="302">
        <f t="shared" si="99"/>
        <v>145629.06756264932</v>
      </c>
      <c r="AA554" s="10">
        <f t="shared" si="100"/>
        <v>3291665.2220806167</v>
      </c>
      <c r="AB554" s="354">
        <f>+paraméterek!$B$346</f>
        <v>6.4600000000000005E-2</v>
      </c>
      <c r="AC554" s="302">
        <f t="shared" si="88"/>
        <v>71464.094738428379</v>
      </c>
      <c r="AD554" s="302">
        <f t="shared" si="103"/>
        <v>18356.302352147286</v>
      </c>
      <c r="AE554" s="302">
        <f t="shared" si="101"/>
        <v>89820.397090575658</v>
      </c>
      <c r="AF554" s="478">
        <f t="shared" si="89"/>
        <v>89820.397090575658</v>
      </c>
      <c r="AI554" s="543">
        <f t="shared" si="102"/>
        <v>146437.06756264932</v>
      </c>
      <c r="AJ554" s="543"/>
      <c r="AK554" s="300"/>
      <c r="AL554" s="543"/>
      <c r="AM554" s="10"/>
    </row>
    <row r="555" spans="1:39" s="11" customFormat="1" ht="13.8" hidden="1" x14ac:dyDescent="0.25">
      <c r="A555" s="11">
        <v>200</v>
      </c>
      <c r="B555" s="11">
        <f t="shared" si="90"/>
        <v>17</v>
      </c>
      <c r="C555" s="354">
        <f t="shared" si="79"/>
        <v>0</v>
      </c>
      <c r="D555" s="300">
        <f t="shared" si="81"/>
        <v>2538040.6247843364</v>
      </c>
      <c r="E555" s="354">
        <f t="shared" si="91"/>
        <v>0.13400000000000001</v>
      </c>
      <c r="F555" s="354">
        <f t="shared" si="80"/>
        <v>0.03</v>
      </c>
      <c r="H555" s="436">
        <f t="shared" si="82"/>
        <v>60216.427909966675</v>
      </c>
      <c r="I555" s="302">
        <f t="shared" si="83"/>
        <v>0</v>
      </c>
      <c r="K555" s="426">
        <f t="shared" si="92"/>
        <v>66802.287800476537</v>
      </c>
      <c r="L555" s="10">
        <f t="shared" si="93"/>
        <v>66802.287800476537</v>
      </c>
      <c r="M555" s="436">
        <f t="shared" si="94"/>
        <v>66802.287800476537</v>
      </c>
      <c r="N555" s="301">
        <f t="shared" si="84"/>
        <v>6585.8598905098652</v>
      </c>
      <c r="O555" s="302">
        <f t="shared" si="85"/>
        <v>66802.287800476508</v>
      </c>
      <c r="P555" s="436">
        <f t="shared" si="86"/>
        <v>0</v>
      </c>
      <c r="Q555" s="11">
        <f t="shared" si="95"/>
        <v>0</v>
      </c>
      <c r="R555" s="426">
        <f t="shared" si="96"/>
        <v>4663774.5604401221</v>
      </c>
      <c r="S555" s="354">
        <f>+Hirdetmény!$AA$46</f>
        <v>0.13400000000000001</v>
      </c>
      <c r="T555" s="302">
        <f t="shared" si="87"/>
        <v>91787.736098825248</v>
      </c>
      <c r="U555" s="302">
        <f t="shared" si="97"/>
        <v>53841.331463824055</v>
      </c>
      <c r="V555" s="302">
        <f t="shared" si="98"/>
        <v>145629.06756264932</v>
      </c>
      <c r="W555" s="302">
        <f t="shared" si="99"/>
        <v>145629.06756264932</v>
      </c>
      <c r="AA555" s="10">
        <f t="shared" si="100"/>
        <v>3219811.0690343557</v>
      </c>
      <c r="AB555" s="354">
        <f>+paraméterek!$B$346</f>
        <v>6.4600000000000005E-2</v>
      </c>
      <c r="AC555" s="302">
        <f t="shared" si="88"/>
        <v>71854.153046261112</v>
      </c>
      <c r="AD555" s="302">
        <f t="shared" si="103"/>
        <v>17966.244044314553</v>
      </c>
      <c r="AE555" s="302">
        <f t="shared" si="101"/>
        <v>89820.397090575658</v>
      </c>
      <c r="AF555" s="478">
        <f t="shared" si="89"/>
        <v>89820.397090575658</v>
      </c>
      <c r="AI555" s="543">
        <f t="shared" si="102"/>
        <v>146437.06756264932</v>
      </c>
      <c r="AJ555" s="543"/>
      <c r="AK555" s="300"/>
      <c r="AL555" s="543"/>
      <c r="AM555" s="10"/>
    </row>
    <row r="556" spans="1:39" s="11" customFormat="1" ht="13.8" hidden="1" x14ac:dyDescent="0.25">
      <c r="A556" s="11">
        <v>201</v>
      </c>
      <c r="B556" s="11">
        <f t="shared" si="90"/>
        <v>17</v>
      </c>
      <c r="C556" s="354">
        <f t="shared" si="79"/>
        <v>0</v>
      </c>
      <c r="D556" s="300">
        <f t="shared" si="81"/>
        <v>2477671.5649564033</v>
      </c>
      <c r="E556" s="354">
        <f t="shared" si="91"/>
        <v>0.13400000000000001</v>
      </c>
      <c r="F556" s="354">
        <f t="shared" si="80"/>
        <v>0.03</v>
      </c>
      <c r="H556" s="436">
        <f t="shared" si="82"/>
        <v>60369.059827932906</v>
      </c>
      <c r="I556" s="302">
        <f t="shared" si="83"/>
        <v>0</v>
      </c>
      <c r="K556" s="426">
        <f t="shared" si="92"/>
        <v>66802.287800476537</v>
      </c>
      <c r="L556" s="10">
        <f t="shared" si="93"/>
        <v>66802.287800476537</v>
      </c>
      <c r="M556" s="436">
        <f t="shared" si="94"/>
        <v>66802.287800476537</v>
      </c>
      <c r="N556" s="301">
        <f t="shared" si="84"/>
        <v>6433.2279725436301</v>
      </c>
      <c r="O556" s="302">
        <f t="shared" si="85"/>
        <v>66802.287800476508</v>
      </c>
      <c r="P556" s="436">
        <f t="shared" si="86"/>
        <v>0</v>
      </c>
      <c r="Q556" s="11">
        <f t="shared" si="95"/>
        <v>0</v>
      </c>
      <c r="R556" s="426">
        <f t="shared" si="96"/>
        <v>4570947.6256902339</v>
      </c>
      <c r="S556" s="354">
        <f>+Hirdetmény!$AA$46</f>
        <v>0.13400000000000001</v>
      </c>
      <c r="T556" s="302">
        <f t="shared" si="87"/>
        <v>92826.934749888576</v>
      </c>
      <c r="U556" s="302">
        <f t="shared" si="97"/>
        <v>52802.132812760734</v>
      </c>
      <c r="V556" s="302">
        <f t="shared" si="98"/>
        <v>145629.06756264932</v>
      </c>
      <c r="W556" s="302">
        <f t="shared" si="99"/>
        <v>145629.06756264932</v>
      </c>
      <c r="AA556" s="10">
        <f t="shared" si="100"/>
        <v>3147564.7287022895</v>
      </c>
      <c r="AB556" s="354">
        <f>+paraméterek!$B$346</f>
        <v>6.4600000000000005E-2</v>
      </c>
      <c r="AC556" s="302">
        <f t="shared" si="88"/>
        <v>72246.34033206616</v>
      </c>
      <c r="AD556" s="302">
        <f t="shared" si="103"/>
        <v>17574.056758509509</v>
      </c>
      <c r="AE556" s="302">
        <f t="shared" si="101"/>
        <v>89820.397090575672</v>
      </c>
      <c r="AF556" s="478">
        <f t="shared" si="89"/>
        <v>89820.397090575672</v>
      </c>
      <c r="AI556" s="543">
        <f t="shared" si="102"/>
        <v>146437.06756264932</v>
      </c>
      <c r="AJ556" s="543"/>
      <c r="AK556" s="300"/>
      <c r="AL556" s="543"/>
      <c r="AM556" s="10"/>
    </row>
    <row r="557" spans="1:39" s="11" customFormat="1" ht="13.8" hidden="1" x14ac:dyDescent="0.25">
      <c r="A557" s="11">
        <v>202</v>
      </c>
      <c r="B557" s="11">
        <f t="shared" si="90"/>
        <v>17</v>
      </c>
      <c r="C557" s="354">
        <f t="shared" si="79"/>
        <v>0</v>
      </c>
      <c r="D557" s="300">
        <f t="shared" si="81"/>
        <v>2417149.4863309897</v>
      </c>
      <c r="E557" s="354">
        <f t="shared" si="91"/>
        <v>0.13400000000000001</v>
      </c>
      <c r="F557" s="354">
        <f t="shared" si="80"/>
        <v>0.03</v>
      </c>
      <c r="H557" s="436">
        <f t="shared" si="82"/>
        <v>60522.078625413436</v>
      </c>
      <c r="I557" s="302">
        <f t="shared" si="83"/>
        <v>0</v>
      </c>
      <c r="K557" s="426">
        <f t="shared" si="92"/>
        <v>66802.287800476537</v>
      </c>
      <c r="L557" s="10">
        <f t="shared" si="93"/>
        <v>66802.287800476537</v>
      </c>
      <c r="M557" s="436">
        <f t="shared" si="94"/>
        <v>66802.287800476537</v>
      </c>
      <c r="N557" s="301">
        <f t="shared" si="84"/>
        <v>6280.2091750631062</v>
      </c>
      <c r="O557" s="302">
        <f t="shared" si="85"/>
        <v>66802.287800476508</v>
      </c>
      <c r="P557" s="436">
        <f t="shared" si="86"/>
        <v>0</v>
      </c>
      <c r="Q557" s="11">
        <f t="shared" si="95"/>
        <v>0</v>
      </c>
      <c r="R557" s="426">
        <f t="shared" si="96"/>
        <v>4477069.7267323323</v>
      </c>
      <c r="S557" s="354">
        <f>+Hirdetmény!$AA$46</f>
        <v>0.13400000000000001</v>
      </c>
      <c r="T557" s="302">
        <f t="shared" si="87"/>
        <v>93877.89895790178</v>
      </c>
      <c r="U557" s="302">
        <f t="shared" si="97"/>
        <v>51751.168604747538</v>
      </c>
      <c r="V557" s="302">
        <f t="shared" si="98"/>
        <v>145629.06756264932</v>
      </c>
      <c r="W557" s="302">
        <f t="shared" si="99"/>
        <v>145629.06756264932</v>
      </c>
      <c r="AA557" s="10">
        <f t="shared" si="100"/>
        <v>3074924.0604862673</v>
      </c>
      <c r="AB557" s="354">
        <f>+paraméterek!$B$346</f>
        <v>6.4600000000000005E-2</v>
      </c>
      <c r="AC557" s="302">
        <f t="shared" si="88"/>
        <v>72640.668216022124</v>
      </c>
      <c r="AD557" s="302">
        <f t="shared" si="103"/>
        <v>17179.728874553541</v>
      </c>
      <c r="AE557" s="302">
        <f t="shared" si="101"/>
        <v>89820.397090575658</v>
      </c>
      <c r="AF557" s="478">
        <f t="shared" si="89"/>
        <v>89820.397090575658</v>
      </c>
      <c r="AI557" s="543">
        <f t="shared" si="102"/>
        <v>146437.06756264932</v>
      </c>
      <c r="AJ557" s="543"/>
      <c r="AK557" s="300"/>
      <c r="AL557" s="543"/>
      <c r="AM557" s="10"/>
    </row>
    <row r="558" spans="1:39" s="11" customFormat="1" ht="13.8" hidden="1" x14ac:dyDescent="0.25">
      <c r="A558" s="11">
        <v>203</v>
      </c>
      <c r="B558" s="11">
        <f t="shared" si="90"/>
        <v>17</v>
      </c>
      <c r="C558" s="354">
        <f t="shared" si="79"/>
        <v>0</v>
      </c>
      <c r="D558" s="300">
        <f t="shared" si="81"/>
        <v>2356474.0010479493</v>
      </c>
      <c r="E558" s="354">
        <f t="shared" si="91"/>
        <v>0.13400000000000001</v>
      </c>
      <c r="F558" s="354">
        <f t="shared" si="80"/>
        <v>0.03</v>
      </c>
      <c r="H558" s="436">
        <f t="shared" si="82"/>
        <v>60675.485283040347</v>
      </c>
      <c r="I558" s="302">
        <f t="shared" si="83"/>
        <v>0</v>
      </c>
      <c r="K558" s="426">
        <f t="shared" si="92"/>
        <v>66802.287800476537</v>
      </c>
      <c r="L558" s="10">
        <f t="shared" si="93"/>
        <v>66802.287800476537</v>
      </c>
      <c r="M558" s="436">
        <f t="shared" si="94"/>
        <v>66802.287800476537</v>
      </c>
      <c r="N558" s="301">
        <f t="shared" si="84"/>
        <v>6126.8025174361892</v>
      </c>
      <c r="O558" s="302">
        <f t="shared" si="85"/>
        <v>66802.287800476508</v>
      </c>
      <c r="P558" s="436">
        <f t="shared" si="86"/>
        <v>0</v>
      </c>
      <c r="Q558" s="11">
        <f t="shared" si="95"/>
        <v>0</v>
      </c>
      <c r="R558" s="426">
        <f t="shared" si="96"/>
        <v>4382128.9648026638</v>
      </c>
      <c r="S558" s="354">
        <f>+Hirdetmény!$AA$46</f>
        <v>0.13400000000000001</v>
      </c>
      <c r="T558" s="302">
        <f t="shared" si="87"/>
        <v>94940.761929668224</v>
      </c>
      <c r="U558" s="302">
        <f t="shared" si="97"/>
        <v>50688.305632981115</v>
      </c>
      <c r="V558" s="302">
        <f t="shared" si="98"/>
        <v>145629.06756264935</v>
      </c>
      <c r="W558" s="302">
        <f t="shared" si="99"/>
        <v>145629.06756264935</v>
      </c>
      <c r="AA558" s="10">
        <f t="shared" si="100"/>
        <v>3001886.9121045354</v>
      </c>
      <c r="AB558" s="354">
        <f>+paraméterek!$B$346</f>
        <v>6.4600000000000005E-2</v>
      </c>
      <c r="AC558" s="302">
        <f t="shared" si="88"/>
        <v>73037.148381731749</v>
      </c>
      <c r="AD558" s="302">
        <f t="shared" si="103"/>
        <v>16783.248708843912</v>
      </c>
      <c r="AE558" s="302">
        <f t="shared" si="101"/>
        <v>89820.397090575658</v>
      </c>
      <c r="AF558" s="478">
        <f t="shared" si="89"/>
        <v>89820.397090575658</v>
      </c>
      <c r="AI558" s="543">
        <f t="shared" si="102"/>
        <v>146437.06756264935</v>
      </c>
      <c r="AJ558" s="543"/>
      <c r="AK558" s="300"/>
      <c r="AL558" s="543"/>
      <c r="AM558" s="10"/>
    </row>
    <row r="559" spans="1:39" s="11" customFormat="1" ht="13.8" hidden="1" x14ac:dyDescent="0.25">
      <c r="A559" s="11">
        <v>204</v>
      </c>
      <c r="B559" s="11">
        <f t="shared" si="90"/>
        <v>17</v>
      </c>
      <c r="C559" s="354">
        <f t="shared" si="79"/>
        <v>0</v>
      </c>
      <c r="D559" s="300">
        <f t="shared" si="81"/>
        <v>2295644.720264018</v>
      </c>
      <c r="E559" s="354">
        <f t="shared" si="91"/>
        <v>0.13400000000000001</v>
      </c>
      <c r="F559" s="354">
        <f t="shared" si="80"/>
        <v>0.03</v>
      </c>
      <c r="H559" s="436">
        <f t="shared" si="82"/>
        <v>60829.280783931383</v>
      </c>
      <c r="I559" s="302">
        <f t="shared" si="83"/>
        <v>0</v>
      </c>
      <c r="K559" s="426">
        <f t="shared" si="92"/>
        <v>66802.287800476537</v>
      </c>
      <c r="L559" s="10">
        <f t="shared" si="93"/>
        <v>66802.287800476537</v>
      </c>
      <c r="M559" s="436">
        <f t="shared" si="94"/>
        <v>66802.287800476537</v>
      </c>
      <c r="N559" s="301">
        <f t="shared" si="84"/>
        <v>5973.0070165451498</v>
      </c>
      <c r="O559" s="302">
        <f t="shared" si="85"/>
        <v>66802.287800476508</v>
      </c>
      <c r="P559" s="436">
        <f t="shared" si="86"/>
        <v>0</v>
      </c>
      <c r="Q559" s="11">
        <f t="shared" si="95"/>
        <v>0</v>
      </c>
      <c r="R559" s="426">
        <f t="shared" si="96"/>
        <v>4286113.3064225372</v>
      </c>
      <c r="S559" s="354">
        <f>+Hirdetmény!$AA$46</f>
        <v>0.13400000000000001</v>
      </c>
      <c r="T559" s="302">
        <f t="shared" si="87"/>
        <v>96015.658380126566</v>
      </c>
      <c r="U559" s="302">
        <f t="shared" si="97"/>
        <v>49613.409182522752</v>
      </c>
      <c r="V559" s="302">
        <f t="shared" si="98"/>
        <v>145629.06756264932</v>
      </c>
      <c r="W559" s="302">
        <f t="shared" si="99"/>
        <v>145629.06756264932</v>
      </c>
      <c r="AA559" s="10">
        <f t="shared" si="100"/>
        <v>2928451.1195279672</v>
      </c>
      <c r="AB559" s="354">
        <f>+paraméterek!$B$346</f>
        <v>6.4600000000000005E-2</v>
      </c>
      <c r="AC559" s="302">
        <f t="shared" si="88"/>
        <v>73435.792576568056</v>
      </c>
      <c r="AD559" s="302">
        <f t="shared" si="103"/>
        <v>16384.604514007602</v>
      </c>
      <c r="AE559" s="302">
        <f t="shared" si="101"/>
        <v>89820.397090575658</v>
      </c>
      <c r="AF559" s="478">
        <f t="shared" si="89"/>
        <v>89820.397090575658</v>
      </c>
      <c r="AI559" s="543">
        <f t="shared" si="102"/>
        <v>146437.06756264932</v>
      </c>
      <c r="AJ559" s="543"/>
      <c r="AK559" s="300"/>
      <c r="AL559" s="543"/>
      <c r="AM559" s="10"/>
    </row>
    <row r="560" spans="1:39" s="11" customFormat="1" ht="13.8" hidden="1" x14ac:dyDescent="0.25">
      <c r="A560" s="11">
        <v>205</v>
      </c>
      <c r="B560" s="11">
        <f t="shared" si="90"/>
        <v>18</v>
      </c>
      <c r="C560" s="354">
        <f t="shared" si="79"/>
        <v>0</v>
      </c>
      <c r="D560" s="300">
        <f t="shared" si="81"/>
        <v>2234661.2541503217</v>
      </c>
      <c r="E560" s="354">
        <f t="shared" si="91"/>
        <v>0.13400000000000001</v>
      </c>
      <c r="F560" s="354">
        <f t="shared" si="80"/>
        <v>0.03</v>
      </c>
      <c r="H560" s="436">
        <f t="shared" si="82"/>
        <v>60983.46611369621</v>
      </c>
      <c r="I560" s="302">
        <f t="shared" si="83"/>
        <v>0</v>
      </c>
      <c r="K560" s="426">
        <f t="shared" si="92"/>
        <v>66802.287800476537</v>
      </c>
      <c r="L560" s="10">
        <f t="shared" si="93"/>
        <v>66802.287800476537</v>
      </c>
      <c r="M560" s="436">
        <f t="shared" si="94"/>
        <v>66802.287800476537</v>
      </c>
      <c r="N560" s="301">
        <f t="shared" si="84"/>
        <v>5818.821686780323</v>
      </c>
      <c r="O560" s="302">
        <f t="shared" si="85"/>
        <v>66802.287800476508</v>
      </c>
      <c r="P560" s="436">
        <f t="shared" si="86"/>
        <v>0</v>
      </c>
      <c r="Q560" s="11">
        <f t="shared" si="95"/>
        <v>0</v>
      </c>
      <c r="R560" s="426">
        <f t="shared" si="96"/>
        <v>4189010.5818731114</v>
      </c>
      <c r="S560" s="354">
        <f>+Hirdetmény!$AA$46</f>
        <v>0.13400000000000001</v>
      </c>
      <c r="T560" s="302">
        <f t="shared" si="87"/>
        <v>97102.724549425635</v>
      </c>
      <c r="U560" s="302">
        <f t="shared" si="97"/>
        <v>48526.343013223683</v>
      </c>
      <c r="V560" s="302">
        <f t="shared" si="98"/>
        <v>145629.06756264932</v>
      </c>
      <c r="W560" s="302">
        <f t="shared" si="99"/>
        <v>145629.06756264932</v>
      </c>
      <c r="AA560" s="10">
        <f t="shared" si="100"/>
        <v>2854614.5069159446</v>
      </c>
      <c r="AB560" s="354">
        <f>+paraméterek!$B$346</f>
        <v>6.4600000000000005E-2</v>
      </c>
      <c r="AC560" s="302">
        <f t="shared" si="88"/>
        <v>73836.612612022422</v>
      </c>
      <c r="AD560" s="302">
        <f t="shared" si="103"/>
        <v>15983.784478553231</v>
      </c>
      <c r="AE560" s="302">
        <f t="shared" si="101"/>
        <v>89820.397090575658</v>
      </c>
      <c r="AF560" s="478">
        <f t="shared" si="89"/>
        <v>89820.397090575658</v>
      </c>
      <c r="AI560" s="543">
        <f t="shared" si="102"/>
        <v>146437.06756264932</v>
      </c>
      <c r="AJ560" s="543"/>
      <c r="AK560" s="300"/>
      <c r="AL560" s="543"/>
      <c r="AM560" s="10"/>
    </row>
    <row r="561" spans="1:39" s="11" customFormat="1" ht="13.8" hidden="1" x14ac:dyDescent="0.25">
      <c r="A561" s="11">
        <v>206</v>
      </c>
      <c r="B561" s="11">
        <f t="shared" si="90"/>
        <v>18</v>
      </c>
      <c r="C561" s="354">
        <f t="shared" si="79"/>
        <v>0</v>
      </c>
      <c r="D561" s="300">
        <f t="shared" si="81"/>
        <v>2173523.2118898788</v>
      </c>
      <c r="E561" s="354">
        <f t="shared" si="91"/>
        <v>0.13400000000000001</v>
      </c>
      <c r="F561" s="354">
        <f t="shared" si="80"/>
        <v>0.03</v>
      </c>
      <c r="H561" s="436">
        <f t="shared" si="82"/>
        <v>61138.042260442729</v>
      </c>
      <c r="I561" s="302">
        <f t="shared" si="83"/>
        <v>0</v>
      </c>
      <c r="K561" s="426">
        <f t="shared" si="92"/>
        <v>66802.287800476537</v>
      </c>
      <c r="L561" s="10">
        <f t="shared" si="93"/>
        <v>66802.287800476537</v>
      </c>
      <c r="M561" s="436">
        <f t="shared" si="94"/>
        <v>66802.287800476537</v>
      </c>
      <c r="N561" s="301">
        <f t="shared" si="84"/>
        <v>5664.2455400338013</v>
      </c>
      <c r="O561" s="302">
        <f t="shared" si="85"/>
        <v>66802.287800476508</v>
      </c>
      <c r="P561" s="436">
        <f t="shared" si="86"/>
        <v>0</v>
      </c>
      <c r="Q561" s="11">
        <f t="shared" si="95"/>
        <v>0</v>
      </c>
      <c r="R561" s="426">
        <f t="shared" si="96"/>
        <v>4090808.4836529191</v>
      </c>
      <c r="S561" s="354">
        <f>+Hirdetmény!$AA$46</f>
        <v>0.13400000000000001</v>
      </c>
      <c r="T561" s="302">
        <f t="shared" si="87"/>
        <v>98202.098220192391</v>
      </c>
      <c r="U561" s="302">
        <f t="shared" si="97"/>
        <v>47426.96934245692</v>
      </c>
      <c r="V561" s="302">
        <f t="shared" si="98"/>
        <v>145629.06756264932</v>
      </c>
      <c r="W561" s="302">
        <f t="shared" si="99"/>
        <v>145629.06756264932</v>
      </c>
      <c r="AA561" s="10">
        <f t="shared" si="100"/>
        <v>2780374.8865518901</v>
      </c>
      <c r="AB561" s="354">
        <f>+paraméterek!$B$346</f>
        <v>6.4600000000000005E-2</v>
      </c>
      <c r="AC561" s="302">
        <f t="shared" si="88"/>
        <v>74239.620364054572</v>
      </c>
      <c r="AD561" s="302">
        <f t="shared" si="103"/>
        <v>15580.77672652108</v>
      </c>
      <c r="AE561" s="302">
        <f t="shared" si="101"/>
        <v>89820.397090575658</v>
      </c>
      <c r="AF561" s="478">
        <f t="shared" si="89"/>
        <v>89820.397090575658</v>
      </c>
      <c r="AI561" s="543">
        <f t="shared" si="102"/>
        <v>146437.06756264932</v>
      </c>
      <c r="AJ561" s="543"/>
      <c r="AK561" s="300"/>
      <c r="AL561" s="543"/>
      <c r="AM561" s="10"/>
    </row>
    <row r="562" spans="1:39" s="11" customFormat="1" ht="13.8" hidden="1" x14ac:dyDescent="0.25">
      <c r="A562" s="11">
        <v>207</v>
      </c>
      <c r="B562" s="11">
        <f t="shared" si="90"/>
        <v>18</v>
      </c>
      <c r="C562" s="354">
        <f t="shared" si="79"/>
        <v>0</v>
      </c>
      <c r="D562" s="300">
        <f t="shared" si="81"/>
        <v>2112230.2016750956</v>
      </c>
      <c r="E562" s="354">
        <f t="shared" si="91"/>
        <v>0.13400000000000001</v>
      </c>
      <c r="F562" s="354">
        <f t="shared" si="80"/>
        <v>0.03</v>
      </c>
      <c r="H562" s="436">
        <f t="shared" si="82"/>
        <v>61293.01021478344</v>
      </c>
      <c r="I562" s="302">
        <f t="shared" si="83"/>
        <v>0</v>
      </c>
      <c r="K562" s="426">
        <f t="shared" si="92"/>
        <v>66802.287800476537</v>
      </c>
      <c r="L562" s="10">
        <f t="shared" si="93"/>
        <v>66802.287800476537</v>
      </c>
      <c r="M562" s="436">
        <f t="shared" si="94"/>
        <v>66802.287800476537</v>
      </c>
      <c r="N562" s="301">
        <f t="shared" si="84"/>
        <v>5509.2775856930957</v>
      </c>
      <c r="O562" s="302">
        <f t="shared" si="85"/>
        <v>66802.287800476508</v>
      </c>
      <c r="P562" s="436">
        <f t="shared" si="86"/>
        <v>0</v>
      </c>
      <c r="Q562" s="11">
        <f t="shared" si="95"/>
        <v>0</v>
      </c>
      <c r="R562" s="426">
        <f t="shared" si="96"/>
        <v>3991494.5649179234</v>
      </c>
      <c r="S562" s="354">
        <f>+Hirdetmény!$AA$46</f>
        <v>0.13400000000000001</v>
      </c>
      <c r="T562" s="302">
        <f t="shared" si="87"/>
        <v>99313.918734995561</v>
      </c>
      <c r="U562" s="302">
        <f t="shared" si="97"/>
        <v>46315.148827653771</v>
      </c>
      <c r="V562" s="302">
        <f t="shared" si="98"/>
        <v>145629.06756264932</v>
      </c>
      <c r="W562" s="302">
        <f t="shared" si="99"/>
        <v>145629.06756264932</v>
      </c>
      <c r="AA562" s="10">
        <f t="shared" si="100"/>
        <v>2705730.0587784457</v>
      </c>
      <c r="AB562" s="354">
        <f>+paraméterek!$B$346</f>
        <v>6.4600000000000005E-2</v>
      </c>
      <c r="AC562" s="302">
        <f t="shared" si="88"/>
        <v>74644.827773444398</v>
      </c>
      <c r="AD562" s="302">
        <f t="shared" si="103"/>
        <v>15175.569317131256</v>
      </c>
      <c r="AE562" s="302">
        <f t="shared" si="101"/>
        <v>89820.397090575658</v>
      </c>
      <c r="AF562" s="478">
        <f t="shared" si="89"/>
        <v>89820.397090575658</v>
      </c>
      <c r="AI562" s="543">
        <f t="shared" si="102"/>
        <v>146437.06756264932</v>
      </c>
      <c r="AJ562" s="543"/>
      <c r="AK562" s="300"/>
      <c r="AL562" s="543"/>
      <c r="AM562" s="10"/>
    </row>
    <row r="563" spans="1:39" s="11" customFormat="1" ht="13.8" hidden="1" x14ac:dyDescent="0.25">
      <c r="A563" s="11">
        <v>208</v>
      </c>
      <c r="B563" s="11">
        <f t="shared" si="90"/>
        <v>18</v>
      </c>
      <c r="C563" s="354">
        <f t="shared" si="79"/>
        <v>0</v>
      </c>
      <c r="D563" s="300">
        <f t="shared" si="81"/>
        <v>2050781.8307052539</v>
      </c>
      <c r="E563" s="354">
        <f t="shared" si="91"/>
        <v>0.13400000000000001</v>
      </c>
      <c r="F563" s="354">
        <f t="shared" si="80"/>
        <v>0.03</v>
      </c>
      <c r="H563" s="436">
        <f t="shared" si="82"/>
        <v>61448.370969841744</v>
      </c>
      <c r="I563" s="302">
        <f t="shared" si="83"/>
        <v>0</v>
      </c>
      <c r="K563" s="426">
        <f t="shared" si="92"/>
        <v>66802.287800476537</v>
      </c>
      <c r="L563" s="10">
        <f t="shared" si="93"/>
        <v>66802.287800476537</v>
      </c>
      <c r="M563" s="436">
        <f t="shared" si="94"/>
        <v>66802.287800476537</v>
      </c>
      <c r="N563" s="301">
        <f t="shared" si="84"/>
        <v>5353.916830634791</v>
      </c>
      <c r="O563" s="302">
        <f t="shared" si="85"/>
        <v>66802.287800476508</v>
      </c>
      <c r="P563" s="436">
        <f t="shared" si="86"/>
        <v>0</v>
      </c>
      <c r="Q563" s="11">
        <f t="shared" si="95"/>
        <v>0</v>
      </c>
      <c r="R563" s="426">
        <f t="shared" si="96"/>
        <v>3891056.2379039167</v>
      </c>
      <c r="S563" s="354">
        <f>+Hirdetmény!$AA$46</f>
        <v>0.13400000000000001</v>
      </c>
      <c r="T563" s="302">
        <f t="shared" si="87"/>
        <v>100438.32701400681</v>
      </c>
      <c r="U563" s="302">
        <f t="shared" si="97"/>
        <v>45190.740548642512</v>
      </c>
      <c r="V563" s="302">
        <f t="shared" si="98"/>
        <v>145629.06756264932</v>
      </c>
      <c r="W563" s="302">
        <f t="shared" si="99"/>
        <v>145629.06756264932</v>
      </c>
      <c r="AA563" s="10">
        <f t="shared" si="100"/>
        <v>2630677.8119322998</v>
      </c>
      <c r="AB563" s="354">
        <f>+paraméterek!$B$346</f>
        <v>6.4600000000000005E-2</v>
      </c>
      <c r="AC563" s="302">
        <f t="shared" si="88"/>
        <v>75052.24684614579</v>
      </c>
      <c r="AD563" s="302">
        <f t="shared" si="103"/>
        <v>14768.150244429857</v>
      </c>
      <c r="AE563" s="302">
        <f t="shared" si="101"/>
        <v>89820.397090575643</v>
      </c>
      <c r="AF563" s="478">
        <f t="shared" si="89"/>
        <v>89820.397090575643</v>
      </c>
      <c r="AI563" s="543">
        <f t="shared" si="102"/>
        <v>146437.06756264932</v>
      </c>
      <c r="AJ563" s="543"/>
      <c r="AK563" s="300"/>
      <c r="AL563" s="543"/>
      <c r="AM563" s="10"/>
    </row>
    <row r="564" spans="1:39" s="11" customFormat="1" ht="13.8" hidden="1" x14ac:dyDescent="0.25">
      <c r="A564" s="11">
        <v>209</v>
      </c>
      <c r="B564" s="11">
        <f t="shared" si="90"/>
        <v>18</v>
      </c>
      <c r="C564" s="354">
        <f t="shared" si="79"/>
        <v>0</v>
      </c>
      <c r="D564" s="300">
        <f t="shared" si="81"/>
        <v>1989177.7051839954</v>
      </c>
      <c r="E564" s="354">
        <f t="shared" si="91"/>
        <v>0.13400000000000001</v>
      </c>
      <c r="F564" s="354">
        <f t="shared" si="80"/>
        <v>0.03</v>
      </c>
      <c r="H564" s="436">
        <f t="shared" si="82"/>
        <v>61604.125521258364</v>
      </c>
      <c r="I564" s="302">
        <f t="shared" si="83"/>
        <v>0</v>
      </c>
      <c r="K564" s="426">
        <f t="shared" si="92"/>
        <v>66802.287800476537</v>
      </c>
      <c r="L564" s="10">
        <f t="shared" si="93"/>
        <v>66802.287800476537</v>
      </c>
      <c r="M564" s="436">
        <f t="shared" si="94"/>
        <v>66802.287800476537</v>
      </c>
      <c r="N564" s="301">
        <f t="shared" si="84"/>
        <v>5198.1622792181779</v>
      </c>
      <c r="O564" s="302">
        <f t="shared" si="85"/>
        <v>66802.287800476508</v>
      </c>
      <c r="P564" s="436">
        <f t="shared" si="86"/>
        <v>0</v>
      </c>
      <c r="Q564" s="11">
        <f t="shared" si="95"/>
        <v>0</v>
      </c>
      <c r="R564" s="426">
        <f t="shared" si="96"/>
        <v>3789480.7723310548</v>
      </c>
      <c r="S564" s="354">
        <f>+Hirdetmény!$AA$46</f>
        <v>0.13400000000000001</v>
      </c>
      <c r="T564" s="302">
        <f t="shared" si="87"/>
        <v>101575.46557286216</v>
      </c>
      <c r="U564" s="302">
        <f t="shared" si="97"/>
        <v>44053.601989787174</v>
      </c>
      <c r="V564" s="302">
        <f t="shared" si="98"/>
        <v>145629.06756264932</v>
      </c>
      <c r="W564" s="302">
        <f t="shared" si="99"/>
        <v>145629.06756264932</v>
      </c>
      <c r="AA564" s="10">
        <f t="shared" si="100"/>
        <v>2555215.9222786576</v>
      </c>
      <c r="AB564" s="354">
        <f>+paraméterek!$B$346</f>
        <v>6.4600000000000005E-2</v>
      </c>
      <c r="AC564" s="302">
        <f t="shared" si="88"/>
        <v>75461.889653642385</v>
      </c>
      <c r="AD564" s="302">
        <f t="shared" si="103"/>
        <v>14358.507436933263</v>
      </c>
      <c r="AE564" s="302">
        <f t="shared" si="101"/>
        <v>89820.397090575643</v>
      </c>
      <c r="AF564" s="478">
        <f t="shared" si="89"/>
        <v>89820.397090575643</v>
      </c>
      <c r="AI564" s="543">
        <f t="shared" si="102"/>
        <v>146437.06756264932</v>
      </c>
      <c r="AJ564" s="543"/>
      <c r="AK564" s="300"/>
      <c r="AL564" s="543"/>
      <c r="AM564" s="10"/>
    </row>
    <row r="565" spans="1:39" s="11" customFormat="1" ht="13.8" hidden="1" x14ac:dyDescent="0.25">
      <c r="A565" s="11">
        <v>210</v>
      </c>
      <c r="B565" s="11">
        <f t="shared" si="90"/>
        <v>18</v>
      </c>
      <c r="C565" s="354">
        <f t="shared" si="79"/>
        <v>0</v>
      </c>
      <c r="D565" s="300">
        <f t="shared" si="81"/>
        <v>1927417.4303167977</v>
      </c>
      <c r="E565" s="354">
        <f t="shared" si="91"/>
        <v>0.13400000000000001</v>
      </c>
      <c r="F565" s="354">
        <f t="shared" si="80"/>
        <v>0.03</v>
      </c>
      <c r="H565" s="436">
        <f t="shared" si="82"/>
        <v>61760.274867197659</v>
      </c>
      <c r="I565" s="302">
        <f t="shared" si="83"/>
        <v>0</v>
      </c>
      <c r="K565" s="426">
        <f t="shared" si="92"/>
        <v>66802.287800476537</v>
      </c>
      <c r="L565" s="10">
        <f t="shared" si="93"/>
        <v>66802.287800476537</v>
      </c>
      <c r="M565" s="436">
        <f t="shared" si="94"/>
        <v>66802.287800476537</v>
      </c>
      <c r="N565" s="301">
        <f t="shared" si="84"/>
        <v>5042.0129332788765</v>
      </c>
      <c r="O565" s="302">
        <f t="shared" si="85"/>
        <v>66802.287800476508</v>
      </c>
      <c r="P565" s="436">
        <f t="shared" si="86"/>
        <v>0</v>
      </c>
      <c r="Q565" s="11">
        <f t="shared" si="95"/>
        <v>0</v>
      </c>
      <c r="R565" s="426">
        <f t="shared" si="96"/>
        <v>3686755.2937903297</v>
      </c>
      <c r="S565" s="354">
        <f>+Hirdetmény!$AA$46</f>
        <v>0.13400000000000001</v>
      </c>
      <c r="T565" s="302">
        <f t="shared" si="87"/>
        <v>102725.47854072528</v>
      </c>
      <c r="U565" s="302">
        <f t="shared" si="97"/>
        <v>42903.589021924054</v>
      </c>
      <c r="V565" s="302">
        <f t="shared" si="98"/>
        <v>145629.06756264932</v>
      </c>
      <c r="W565" s="302">
        <f t="shared" si="99"/>
        <v>145629.06756264932</v>
      </c>
      <c r="AA565" s="10">
        <f t="shared" si="100"/>
        <v>2479342.1539453524</v>
      </c>
      <c r="AB565" s="354">
        <f>+paraméterek!$B$346</f>
        <v>6.4600000000000005E-2</v>
      </c>
      <c r="AC565" s="302">
        <f t="shared" si="88"/>
        <v>75873.768333305183</v>
      </c>
      <c r="AD565" s="302">
        <f t="shared" si="103"/>
        <v>13946.62875727048</v>
      </c>
      <c r="AE565" s="302">
        <f t="shared" si="101"/>
        <v>89820.397090575658</v>
      </c>
      <c r="AF565" s="478">
        <f t="shared" si="89"/>
        <v>89820.397090575658</v>
      </c>
      <c r="AI565" s="543">
        <f t="shared" si="102"/>
        <v>146437.06756264932</v>
      </c>
      <c r="AJ565" s="543"/>
      <c r="AK565" s="300"/>
      <c r="AL565" s="543"/>
      <c r="AM565" s="10"/>
    </row>
    <row r="566" spans="1:39" s="11" customFormat="1" ht="13.8" hidden="1" x14ac:dyDescent="0.25">
      <c r="A566" s="11">
        <v>211</v>
      </c>
      <c r="B566" s="11">
        <f t="shared" si="90"/>
        <v>18</v>
      </c>
      <c r="C566" s="354">
        <f t="shared" si="79"/>
        <v>0</v>
      </c>
      <c r="D566" s="300">
        <f t="shared" si="81"/>
        <v>1865500.6103084437</v>
      </c>
      <c r="E566" s="354">
        <f t="shared" si="91"/>
        <v>0.13400000000000001</v>
      </c>
      <c r="F566" s="354">
        <f t="shared" si="80"/>
        <v>0.03</v>
      </c>
      <c r="H566" s="436">
        <f t="shared" si="82"/>
        <v>61916.820008354094</v>
      </c>
      <c r="I566" s="302">
        <f t="shared" si="83"/>
        <v>0</v>
      </c>
      <c r="K566" s="426">
        <f t="shared" si="92"/>
        <v>66802.287800476537</v>
      </c>
      <c r="L566" s="10">
        <f t="shared" si="93"/>
        <v>66802.287800476537</v>
      </c>
      <c r="M566" s="436">
        <f t="shared" si="94"/>
        <v>66802.287800476537</v>
      </c>
      <c r="N566" s="301">
        <f t="shared" si="84"/>
        <v>4885.4677921224393</v>
      </c>
      <c r="O566" s="302">
        <f t="shared" si="85"/>
        <v>66802.287800476508</v>
      </c>
      <c r="P566" s="436">
        <f t="shared" si="86"/>
        <v>0</v>
      </c>
      <c r="Q566" s="11">
        <f t="shared" si="95"/>
        <v>0</v>
      </c>
      <c r="R566" s="426">
        <f t="shared" si="96"/>
        <v>3582866.7821117742</v>
      </c>
      <c r="S566" s="354">
        <f>+Hirdetmény!$AA$46</f>
        <v>0.13400000000000001</v>
      </c>
      <c r="T566" s="302">
        <f t="shared" si="87"/>
        <v>103888.51167855559</v>
      </c>
      <c r="U566" s="302">
        <f t="shared" si="97"/>
        <v>41740.555884093759</v>
      </c>
      <c r="V566" s="302">
        <f t="shared" si="98"/>
        <v>145629.06756264935</v>
      </c>
      <c r="W566" s="302">
        <f t="shared" si="99"/>
        <v>145629.06756264935</v>
      </c>
      <c r="AA566" s="10">
        <f t="shared" si="100"/>
        <v>2403054.2588566002</v>
      </c>
      <c r="AB566" s="354">
        <f>+paraméterek!$B$346</f>
        <v>6.4600000000000005E-2</v>
      </c>
      <c r="AC566" s="302">
        <f t="shared" si="88"/>
        <v>76287.89508875215</v>
      </c>
      <c r="AD566" s="302">
        <f t="shared" si="103"/>
        <v>13532.502001823488</v>
      </c>
      <c r="AE566" s="302">
        <f t="shared" si="101"/>
        <v>89820.397090575643</v>
      </c>
      <c r="AF566" s="478">
        <f t="shared" si="89"/>
        <v>89820.397090575643</v>
      </c>
      <c r="AI566" s="543">
        <f t="shared" si="102"/>
        <v>146437.06756264935</v>
      </c>
      <c r="AJ566" s="543"/>
      <c r="AK566" s="300"/>
      <c r="AL566" s="543"/>
      <c r="AM566" s="10"/>
    </row>
    <row r="567" spans="1:39" s="11" customFormat="1" ht="13.8" hidden="1" x14ac:dyDescent="0.25">
      <c r="A567" s="11">
        <v>212</v>
      </c>
      <c r="B567" s="11">
        <f t="shared" si="90"/>
        <v>18</v>
      </c>
      <c r="C567" s="354">
        <f t="shared" si="79"/>
        <v>0</v>
      </c>
      <c r="D567" s="300">
        <f t="shared" si="81"/>
        <v>1803426.8483604852</v>
      </c>
      <c r="E567" s="354">
        <f t="shared" si="91"/>
        <v>0.13400000000000001</v>
      </c>
      <c r="F567" s="354">
        <f t="shared" si="80"/>
        <v>0.03</v>
      </c>
      <c r="H567" s="436">
        <f t="shared" si="82"/>
        <v>62073.761947958606</v>
      </c>
      <c r="I567" s="302">
        <f t="shared" si="83"/>
        <v>0</v>
      </c>
      <c r="K567" s="426">
        <f t="shared" si="92"/>
        <v>66802.287800476537</v>
      </c>
      <c r="L567" s="10">
        <f t="shared" si="93"/>
        <v>66802.287800476537</v>
      </c>
      <c r="M567" s="436">
        <f t="shared" si="94"/>
        <v>66802.287800476537</v>
      </c>
      <c r="N567" s="301">
        <f t="shared" si="84"/>
        <v>4728.5258525179297</v>
      </c>
      <c r="O567" s="302">
        <f t="shared" si="85"/>
        <v>66802.287800476508</v>
      </c>
      <c r="P567" s="436">
        <f t="shared" si="86"/>
        <v>0</v>
      </c>
      <c r="Q567" s="11">
        <f t="shared" si="95"/>
        <v>0</v>
      </c>
      <c r="R567" s="426">
        <f t="shared" si="96"/>
        <v>3477802.0697141914</v>
      </c>
      <c r="S567" s="354">
        <f>+Hirdetmény!$AA$46</f>
        <v>0.13400000000000001</v>
      </c>
      <c r="T567" s="302">
        <f t="shared" si="87"/>
        <v>105064.71239758293</v>
      </c>
      <c r="U567" s="302">
        <f t="shared" si="97"/>
        <v>40564.355165066409</v>
      </c>
      <c r="V567" s="302">
        <f t="shared" si="98"/>
        <v>145629.06756264935</v>
      </c>
      <c r="W567" s="302">
        <f t="shared" si="99"/>
        <v>145629.06756264935</v>
      </c>
      <c r="AA567" s="10">
        <f t="shared" si="100"/>
        <v>2326349.97666639</v>
      </c>
      <c r="AB567" s="354">
        <f>+paraméterek!$B$346</f>
        <v>6.4600000000000005E-2</v>
      </c>
      <c r="AC567" s="302">
        <f t="shared" si="88"/>
        <v>76704.282190209953</v>
      </c>
      <c r="AD567" s="302">
        <f t="shared" si="103"/>
        <v>13116.11490036569</v>
      </c>
      <c r="AE567" s="302">
        <f t="shared" si="101"/>
        <v>89820.397090575643</v>
      </c>
      <c r="AF567" s="478">
        <f t="shared" si="89"/>
        <v>89820.397090575643</v>
      </c>
      <c r="AI567" s="543">
        <f t="shared" si="102"/>
        <v>146437.06756264935</v>
      </c>
      <c r="AJ567" s="543"/>
      <c r="AK567" s="300"/>
      <c r="AL567" s="543"/>
      <c r="AM567" s="10"/>
    </row>
    <row r="568" spans="1:39" s="11" customFormat="1" ht="13.8" hidden="1" x14ac:dyDescent="0.25">
      <c r="A568" s="11">
        <v>213</v>
      </c>
      <c r="B568" s="11">
        <f t="shared" si="90"/>
        <v>18</v>
      </c>
      <c r="C568" s="354">
        <f t="shared" si="79"/>
        <v>0</v>
      </c>
      <c r="D568" s="300">
        <f t="shared" si="81"/>
        <v>1741195.7466687001</v>
      </c>
      <c r="E568" s="354">
        <f t="shared" si="91"/>
        <v>0.13400000000000001</v>
      </c>
      <c r="F568" s="354">
        <f t="shared" si="80"/>
        <v>0.03</v>
      </c>
      <c r="H568" s="436">
        <f t="shared" si="82"/>
        <v>62231.101691785021</v>
      </c>
      <c r="I568" s="302">
        <f t="shared" si="83"/>
        <v>0</v>
      </c>
      <c r="K568" s="426">
        <f t="shared" si="92"/>
        <v>66802.287800476523</v>
      </c>
      <c r="L568" s="10">
        <f t="shared" si="93"/>
        <v>66802.287800476523</v>
      </c>
      <c r="M568" s="436">
        <f t="shared" si="94"/>
        <v>66802.287800476523</v>
      </c>
      <c r="N568" s="301">
        <f t="shared" si="84"/>
        <v>4571.1861086915069</v>
      </c>
      <c r="O568" s="302">
        <f t="shared" si="85"/>
        <v>66802.287800476508</v>
      </c>
      <c r="P568" s="436">
        <f t="shared" si="86"/>
        <v>0</v>
      </c>
      <c r="Q568" s="11">
        <f t="shared" si="95"/>
        <v>0</v>
      </c>
      <c r="R568" s="426">
        <f t="shared" si="96"/>
        <v>3371547.8399361996</v>
      </c>
      <c r="S568" s="354">
        <f>+Hirdetmény!$AA$46</f>
        <v>0.13400000000000001</v>
      </c>
      <c r="T568" s="302">
        <f t="shared" si="87"/>
        <v>106254.2297779917</v>
      </c>
      <c r="U568" s="302">
        <f t="shared" si="97"/>
        <v>39374.83778465767</v>
      </c>
      <c r="V568" s="302">
        <f t="shared" si="98"/>
        <v>145629.06756264938</v>
      </c>
      <c r="W568" s="302">
        <f t="shared" si="99"/>
        <v>145629.06756264938</v>
      </c>
      <c r="AA568" s="10">
        <f t="shared" si="100"/>
        <v>2249227.0346915126</v>
      </c>
      <c r="AB568" s="354">
        <f>+paraméterek!$B$346</f>
        <v>6.4600000000000005E-2</v>
      </c>
      <c r="AC568" s="302">
        <f t="shared" si="88"/>
        <v>77122.941974877307</v>
      </c>
      <c r="AD568" s="302">
        <f t="shared" si="103"/>
        <v>12697.455115698338</v>
      </c>
      <c r="AE568" s="302">
        <f t="shared" si="101"/>
        <v>89820.397090575643</v>
      </c>
      <c r="AF568" s="478">
        <f t="shared" si="89"/>
        <v>89820.397090575643</v>
      </c>
      <c r="AI568" s="543">
        <f t="shared" si="102"/>
        <v>146437.06756264938</v>
      </c>
      <c r="AJ568" s="543"/>
      <c r="AK568" s="300"/>
      <c r="AL568" s="543"/>
      <c r="AM568" s="10"/>
    </row>
    <row r="569" spans="1:39" s="11" customFormat="1" ht="13.8" hidden="1" x14ac:dyDescent="0.25">
      <c r="A569" s="11">
        <v>214</v>
      </c>
      <c r="B569" s="11">
        <f t="shared" si="90"/>
        <v>18</v>
      </c>
      <c r="C569" s="354">
        <f t="shared" si="79"/>
        <v>0</v>
      </c>
      <c r="D569" s="300">
        <f t="shared" si="81"/>
        <v>1678806.9064205436</v>
      </c>
      <c r="E569" s="354">
        <f t="shared" si="91"/>
        <v>0.13400000000000001</v>
      </c>
      <c r="F569" s="354">
        <f t="shared" si="80"/>
        <v>0.03</v>
      </c>
      <c r="H569" s="436">
        <f t="shared" si="82"/>
        <v>62388.840248156564</v>
      </c>
      <c r="I569" s="302">
        <f t="shared" si="83"/>
        <v>0</v>
      </c>
      <c r="K569" s="426">
        <f t="shared" si="92"/>
        <v>66802.287800476537</v>
      </c>
      <c r="L569" s="10">
        <f t="shared" si="93"/>
        <v>66802.287800476537</v>
      </c>
      <c r="M569" s="436">
        <f t="shared" si="94"/>
        <v>66802.287800476537</v>
      </c>
      <c r="N569" s="301">
        <f t="shared" si="84"/>
        <v>4413.447552319969</v>
      </c>
      <c r="O569" s="302">
        <f t="shared" si="85"/>
        <v>66802.287800476508</v>
      </c>
      <c r="P569" s="436">
        <f t="shared" si="86"/>
        <v>0</v>
      </c>
      <c r="Q569" s="11">
        <f t="shared" si="95"/>
        <v>0</v>
      </c>
      <c r="R569" s="426">
        <f t="shared" si="96"/>
        <v>3264090.6253483836</v>
      </c>
      <c r="S569" s="354">
        <f>+Hirdetmény!$AA$46</f>
        <v>0.13400000000000001</v>
      </c>
      <c r="T569" s="302">
        <f t="shared" si="87"/>
        <v>107457.2145878161</v>
      </c>
      <c r="U569" s="302">
        <f t="shared" si="97"/>
        <v>38171.852974833229</v>
      </c>
      <c r="V569" s="302">
        <f t="shared" si="98"/>
        <v>145629.06756264932</v>
      </c>
      <c r="W569" s="302">
        <f t="shared" si="99"/>
        <v>145629.06756264932</v>
      </c>
      <c r="AA569" s="10">
        <f t="shared" si="100"/>
        <v>2171683.1478442219</v>
      </c>
      <c r="AB569" s="354">
        <f>+paraméterek!$B$346</f>
        <v>6.4600000000000005E-2</v>
      </c>
      <c r="AC569" s="302">
        <f t="shared" si="88"/>
        <v>77543.886847290647</v>
      </c>
      <c r="AD569" s="302">
        <f t="shared" si="103"/>
        <v>12276.510243284994</v>
      </c>
      <c r="AE569" s="302">
        <f t="shared" si="101"/>
        <v>89820.397090575643</v>
      </c>
      <c r="AF569" s="478">
        <f t="shared" si="89"/>
        <v>89820.397090575643</v>
      </c>
      <c r="AI569" s="543">
        <f t="shared" si="102"/>
        <v>146437.06756264932</v>
      </c>
      <c r="AJ569" s="543"/>
      <c r="AK569" s="300"/>
      <c r="AL569" s="543"/>
      <c r="AM569" s="10"/>
    </row>
    <row r="570" spans="1:39" s="11" customFormat="1" ht="13.8" hidden="1" x14ac:dyDescent="0.25">
      <c r="A570" s="11">
        <v>215</v>
      </c>
      <c r="B570" s="11">
        <f t="shared" si="90"/>
        <v>18</v>
      </c>
      <c r="C570" s="354">
        <f t="shared" si="79"/>
        <v>0</v>
      </c>
      <c r="D570" s="300">
        <f t="shared" si="81"/>
        <v>1616259.9277925913</v>
      </c>
      <c r="E570" s="354">
        <f t="shared" si="91"/>
        <v>0.13400000000000001</v>
      </c>
      <c r="F570" s="354">
        <f t="shared" si="80"/>
        <v>0.03</v>
      </c>
      <c r="H570" s="436">
        <f t="shared" si="82"/>
        <v>62546.978627952238</v>
      </c>
      <c r="I570" s="302">
        <f t="shared" si="83"/>
        <v>0</v>
      </c>
      <c r="K570" s="426">
        <f t="shared" si="92"/>
        <v>66802.287800476537</v>
      </c>
      <c r="L570" s="10">
        <f t="shared" si="93"/>
        <v>66802.287800476537</v>
      </c>
      <c r="M570" s="436">
        <f t="shared" si="94"/>
        <v>66802.287800476537</v>
      </c>
      <c r="N570" s="301">
        <f t="shared" si="84"/>
        <v>4255.3091725242939</v>
      </c>
      <c r="O570" s="302">
        <f t="shared" si="85"/>
        <v>66802.287800476508</v>
      </c>
      <c r="P570" s="436">
        <f t="shared" si="86"/>
        <v>0</v>
      </c>
      <c r="Q570" s="11">
        <f t="shared" si="95"/>
        <v>0</v>
      </c>
      <c r="R570" s="426">
        <f t="shared" si="96"/>
        <v>3155416.8060463336</v>
      </c>
      <c r="S570" s="354">
        <f>+Hirdetmény!$AA$46</f>
        <v>0.13400000000000001</v>
      </c>
      <c r="T570" s="302">
        <f t="shared" si="87"/>
        <v>108673.8193020499</v>
      </c>
      <c r="U570" s="302">
        <f t="shared" si="97"/>
        <v>36955.248260599408</v>
      </c>
      <c r="V570" s="302">
        <f t="shared" si="98"/>
        <v>145629.06756264932</v>
      </c>
      <c r="W570" s="302">
        <f t="shared" si="99"/>
        <v>145629.06756264932</v>
      </c>
      <c r="AA570" s="10">
        <f t="shared" si="100"/>
        <v>2093716.0185645302</v>
      </c>
      <c r="AB570" s="354">
        <f>+paraméterek!$B$346</f>
        <v>6.4600000000000005E-2</v>
      </c>
      <c r="AC570" s="302">
        <f t="shared" si="88"/>
        <v>77967.129279691624</v>
      </c>
      <c r="AD570" s="302">
        <f t="shared" si="103"/>
        <v>11853.267810884008</v>
      </c>
      <c r="AE570" s="302">
        <f t="shared" si="101"/>
        <v>89820.397090575629</v>
      </c>
      <c r="AF570" s="478">
        <f t="shared" si="89"/>
        <v>89820.397090575629</v>
      </c>
      <c r="AI570" s="543">
        <f t="shared" si="102"/>
        <v>146437.06756264932</v>
      </c>
      <c r="AJ570" s="543"/>
      <c r="AK570" s="300"/>
      <c r="AL570" s="543"/>
      <c r="AM570" s="10"/>
    </row>
    <row r="571" spans="1:39" s="11" customFormat="1" ht="13.8" hidden="1" x14ac:dyDescent="0.25">
      <c r="A571" s="11">
        <v>216</v>
      </c>
      <c r="B571" s="11">
        <f t="shared" si="90"/>
        <v>18</v>
      </c>
      <c r="C571" s="354">
        <f t="shared" si="79"/>
        <v>0</v>
      </c>
      <c r="D571" s="300">
        <f t="shared" si="81"/>
        <v>1553554.4099479779</v>
      </c>
      <c r="E571" s="354">
        <f t="shared" si="91"/>
        <v>0.13400000000000001</v>
      </c>
      <c r="F571" s="354">
        <f t="shared" si="80"/>
        <v>0.03</v>
      </c>
      <c r="H571" s="436">
        <f t="shared" si="82"/>
        <v>62705.517844613372</v>
      </c>
      <c r="I571" s="302">
        <f t="shared" si="83"/>
        <v>0</v>
      </c>
      <c r="K571" s="426">
        <f t="shared" si="92"/>
        <v>66802.287800476537</v>
      </c>
      <c r="L571" s="10">
        <f t="shared" si="93"/>
        <v>66802.287800476537</v>
      </c>
      <c r="M571" s="436">
        <f t="shared" si="94"/>
        <v>66802.287800476537</v>
      </c>
      <c r="N571" s="301">
        <f t="shared" si="84"/>
        <v>4096.7699558631657</v>
      </c>
      <c r="O571" s="302">
        <f t="shared" si="85"/>
        <v>66802.287800476508</v>
      </c>
      <c r="P571" s="436">
        <f t="shared" si="86"/>
        <v>0</v>
      </c>
      <c r="Q571" s="11">
        <f t="shared" si="95"/>
        <v>0</v>
      </c>
      <c r="R571" s="426">
        <f t="shared" si="96"/>
        <v>3045512.6079243617</v>
      </c>
      <c r="S571" s="354">
        <f>+Hirdetmény!$AA$46</f>
        <v>0.13400000000000001</v>
      </c>
      <c r="T571" s="302">
        <f t="shared" si="87"/>
        <v>109904.198121972</v>
      </c>
      <c r="U571" s="302">
        <f t="shared" si="97"/>
        <v>35724.869440677357</v>
      </c>
      <c r="V571" s="302">
        <f t="shared" si="98"/>
        <v>145629.06756264938</v>
      </c>
      <c r="W571" s="302">
        <f t="shared" si="99"/>
        <v>145629.06756264938</v>
      </c>
      <c r="AA571" s="10">
        <f t="shared" si="100"/>
        <v>2015323.3367521334</v>
      </c>
      <c r="AB571" s="354">
        <f>+paraméterek!$B$346</f>
        <v>6.4600000000000005E-2</v>
      </c>
      <c r="AC571" s="302">
        <f t="shared" si="88"/>
        <v>78392.681812396695</v>
      </c>
      <c r="AD571" s="302">
        <f t="shared" si="103"/>
        <v>11427.71527817895</v>
      </c>
      <c r="AE571" s="302">
        <f t="shared" si="101"/>
        <v>89820.397090575643</v>
      </c>
      <c r="AF571" s="478">
        <f t="shared" si="89"/>
        <v>89820.397090575643</v>
      </c>
      <c r="AI571" s="543">
        <f t="shared" si="102"/>
        <v>146437.06756264938</v>
      </c>
      <c r="AJ571" s="543"/>
      <c r="AK571" s="300"/>
      <c r="AL571" s="543"/>
      <c r="AM571" s="10"/>
    </row>
    <row r="572" spans="1:39" s="11" customFormat="1" ht="13.8" hidden="1" x14ac:dyDescent="0.25">
      <c r="A572" s="11">
        <v>217</v>
      </c>
      <c r="B572" s="11">
        <f t="shared" si="90"/>
        <v>19</v>
      </c>
      <c r="C572" s="354">
        <f t="shared" si="79"/>
        <v>0</v>
      </c>
      <c r="D572" s="300">
        <f t="shared" si="81"/>
        <v>1490689.9510338278</v>
      </c>
      <c r="E572" s="354">
        <f t="shared" si="91"/>
        <v>0.13400000000000001</v>
      </c>
      <c r="F572" s="354">
        <f t="shared" si="80"/>
        <v>0.03</v>
      </c>
      <c r="H572" s="436">
        <f t="shared" si="82"/>
        <v>62864.458914150055</v>
      </c>
      <c r="I572" s="302">
        <f t="shared" si="83"/>
        <v>0</v>
      </c>
      <c r="K572" s="426">
        <f t="shared" si="92"/>
        <v>66802.287800476523</v>
      </c>
      <c r="L572" s="10">
        <f t="shared" si="93"/>
        <v>66802.287800476523</v>
      </c>
      <c r="M572" s="436">
        <f t="shared" si="94"/>
        <v>66802.287800476523</v>
      </c>
      <c r="N572" s="301">
        <f t="shared" si="84"/>
        <v>3937.828886326472</v>
      </c>
      <c r="O572" s="302">
        <f t="shared" si="85"/>
        <v>66802.287800476508</v>
      </c>
      <c r="P572" s="436">
        <f t="shared" si="86"/>
        <v>0</v>
      </c>
      <c r="Q572" s="11">
        <f t="shared" si="95"/>
        <v>0</v>
      </c>
      <c r="R572" s="426">
        <f t="shared" si="96"/>
        <v>2934364.100929671</v>
      </c>
      <c r="S572" s="354">
        <f>+Hirdetmény!$AA$46</f>
        <v>0.13400000000000001</v>
      </c>
      <c r="T572" s="302">
        <f t="shared" si="87"/>
        <v>111148.50699469091</v>
      </c>
      <c r="U572" s="302">
        <f t="shared" si="97"/>
        <v>34480.560567958455</v>
      </c>
      <c r="V572" s="302">
        <f t="shared" si="98"/>
        <v>145629.06756264938</v>
      </c>
      <c r="W572" s="302">
        <f t="shared" si="99"/>
        <v>145629.06756264938</v>
      </c>
      <c r="AA572" s="10">
        <f t="shared" si="100"/>
        <v>1936502.7796979649</v>
      </c>
      <c r="AB572" s="354">
        <f>+paraméterek!$B$346</f>
        <v>6.4600000000000005E-2</v>
      </c>
      <c r="AC572" s="302">
        <f t="shared" si="88"/>
        <v>78820.557054168559</v>
      </c>
      <c r="AD572" s="302">
        <f t="shared" si="103"/>
        <v>10999.840036407075</v>
      </c>
      <c r="AE572" s="302">
        <f t="shared" si="101"/>
        <v>89820.397090575629</v>
      </c>
      <c r="AF572" s="478">
        <f t="shared" si="89"/>
        <v>89820.397090575629</v>
      </c>
      <c r="AI572" s="543">
        <f t="shared" si="102"/>
        <v>146437.06756264938</v>
      </c>
      <c r="AJ572" s="543"/>
      <c r="AK572" s="300"/>
      <c r="AL572" s="543"/>
      <c r="AM572" s="10"/>
    </row>
    <row r="573" spans="1:39" s="11" customFormat="1" ht="13.8" hidden="1" x14ac:dyDescent="0.25">
      <c r="A573" s="11">
        <v>218</v>
      </c>
      <c r="B573" s="11">
        <f t="shared" si="90"/>
        <v>19</v>
      </c>
      <c r="C573" s="354">
        <f t="shared" si="79"/>
        <v>0</v>
      </c>
      <c r="D573" s="300">
        <f t="shared" si="81"/>
        <v>1427666.1481786801</v>
      </c>
      <c r="E573" s="354">
        <f t="shared" si="91"/>
        <v>0.13400000000000001</v>
      </c>
      <c r="F573" s="354">
        <f t="shared" si="80"/>
        <v>0.03</v>
      </c>
      <c r="H573" s="436">
        <f t="shared" si="82"/>
        <v>63023.802855147733</v>
      </c>
      <c r="I573" s="302">
        <f t="shared" si="83"/>
        <v>0</v>
      </c>
      <c r="K573" s="426">
        <f t="shared" si="92"/>
        <v>66802.287800476537</v>
      </c>
      <c r="L573" s="10">
        <f t="shared" si="93"/>
        <v>66802.287800476537</v>
      </c>
      <c r="M573" s="436">
        <f t="shared" si="94"/>
        <v>66802.287800476537</v>
      </c>
      <c r="N573" s="301">
        <f t="shared" si="84"/>
        <v>3778.4849453287993</v>
      </c>
      <c r="O573" s="302">
        <f t="shared" si="85"/>
        <v>66802.287800476508</v>
      </c>
      <c r="P573" s="436">
        <f t="shared" si="86"/>
        <v>0</v>
      </c>
      <c r="Q573" s="11">
        <f t="shared" si="95"/>
        <v>0</v>
      </c>
      <c r="R573" s="426">
        <f t="shared" si="96"/>
        <v>2821957.19729676</v>
      </c>
      <c r="S573" s="354">
        <f>+Hirdetmény!$AA$46</f>
        <v>0.13400000000000001</v>
      </c>
      <c r="T573" s="302">
        <f t="shared" si="87"/>
        <v>112406.90363291088</v>
      </c>
      <c r="U573" s="302">
        <f t="shared" si="97"/>
        <v>33222.163929738475</v>
      </c>
      <c r="V573" s="302">
        <f t="shared" si="98"/>
        <v>145629.06756264935</v>
      </c>
      <c r="W573" s="302">
        <f t="shared" si="99"/>
        <v>145629.06756264935</v>
      </c>
      <c r="AA573" s="10">
        <f t="shared" si="100"/>
        <v>1857252.0120153751</v>
      </c>
      <c r="AB573" s="354">
        <f>+paraméterek!$B$346</f>
        <v>6.4600000000000005E-2</v>
      </c>
      <c r="AC573" s="302">
        <f t="shared" si="88"/>
        <v>79250.767682589896</v>
      </c>
      <c r="AD573" s="302">
        <f t="shared" si="103"/>
        <v>10569.629407985722</v>
      </c>
      <c r="AE573" s="302">
        <f t="shared" si="101"/>
        <v>89820.397090575614</v>
      </c>
      <c r="AF573" s="478">
        <f t="shared" si="89"/>
        <v>89820.397090575614</v>
      </c>
      <c r="AI573" s="543">
        <f t="shared" si="102"/>
        <v>146437.06756264935</v>
      </c>
      <c r="AJ573" s="543"/>
      <c r="AK573" s="300"/>
      <c r="AL573" s="543"/>
      <c r="AM573" s="10"/>
    </row>
    <row r="574" spans="1:39" s="11" customFormat="1" ht="13.8" hidden="1" x14ac:dyDescent="0.25">
      <c r="A574" s="11">
        <v>219</v>
      </c>
      <c r="B574" s="11">
        <f t="shared" si="90"/>
        <v>19</v>
      </c>
      <c r="C574" s="354">
        <f t="shared" si="79"/>
        <v>0</v>
      </c>
      <c r="D574" s="300">
        <f t="shared" si="81"/>
        <v>1364482.5974899065</v>
      </c>
      <c r="E574" s="354">
        <f t="shared" si="91"/>
        <v>0.13400000000000001</v>
      </c>
      <c r="F574" s="354">
        <f t="shared" si="80"/>
        <v>0.03</v>
      </c>
      <c r="H574" s="436">
        <f t="shared" si="82"/>
        <v>63183.550688773626</v>
      </c>
      <c r="I574" s="302">
        <f t="shared" si="83"/>
        <v>0</v>
      </c>
      <c r="K574" s="426">
        <f t="shared" si="92"/>
        <v>66802.287800476537</v>
      </c>
      <c r="L574" s="10">
        <f t="shared" si="93"/>
        <v>66802.287800476537</v>
      </c>
      <c r="M574" s="436">
        <f t="shared" si="94"/>
        <v>66802.287800476537</v>
      </c>
      <c r="N574" s="301">
        <f t="shared" si="84"/>
        <v>3618.7371117029043</v>
      </c>
      <c r="O574" s="302">
        <f t="shared" si="85"/>
        <v>66802.287800476508</v>
      </c>
      <c r="P574" s="436">
        <f t="shared" si="86"/>
        <v>0</v>
      </c>
      <c r="Q574" s="11">
        <f t="shared" si="95"/>
        <v>0</v>
      </c>
      <c r="R574" s="426">
        <f t="shared" si="96"/>
        <v>2708277.6497618388</v>
      </c>
      <c r="S574" s="354">
        <f>+Hirdetmény!$AA$46</f>
        <v>0.13400000000000001</v>
      </c>
      <c r="T574" s="302">
        <f t="shared" si="87"/>
        <v>113679.54753492144</v>
      </c>
      <c r="U574" s="302">
        <f t="shared" si="97"/>
        <v>31949.520027727907</v>
      </c>
      <c r="V574" s="302">
        <f t="shared" si="98"/>
        <v>145629.06756264935</v>
      </c>
      <c r="W574" s="302">
        <f t="shared" si="99"/>
        <v>145629.06756264935</v>
      </c>
      <c r="AA574" s="10">
        <f t="shared" si="100"/>
        <v>1777568.6855709362</v>
      </c>
      <c r="AB574" s="354">
        <f>+paraméterek!$B$346</f>
        <v>6.4600000000000005E-2</v>
      </c>
      <c r="AC574" s="302">
        <f t="shared" si="88"/>
        <v>79683.326444438935</v>
      </c>
      <c r="AD574" s="302">
        <f t="shared" si="103"/>
        <v>10137.070646136697</v>
      </c>
      <c r="AE574" s="302">
        <f t="shared" si="101"/>
        <v>89820.397090575629</v>
      </c>
      <c r="AF574" s="478">
        <f t="shared" si="89"/>
        <v>89820.397090575629</v>
      </c>
      <c r="AI574" s="543">
        <f t="shared" si="102"/>
        <v>146437.06756264935</v>
      </c>
      <c r="AJ574" s="543"/>
      <c r="AK574" s="300"/>
      <c r="AL574" s="543"/>
      <c r="AM574" s="10"/>
    </row>
    <row r="575" spans="1:39" s="11" customFormat="1" ht="13.8" hidden="1" x14ac:dyDescent="0.25">
      <c r="A575" s="11">
        <v>220</v>
      </c>
      <c r="B575" s="11">
        <f t="shared" si="90"/>
        <v>19</v>
      </c>
      <c r="C575" s="354">
        <f t="shared" si="79"/>
        <v>0</v>
      </c>
      <c r="D575" s="300">
        <f t="shared" si="81"/>
        <v>1301138.8940511232</v>
      </c>
      <c r="E575" s="354">
        <f t="shared" si="91"/>
        <v>0.13400000000000001</v>
      </c>
      <c r="F575" s="354">
        <f t="shared" si="80"/>
        <v>0.03</v>
      </c>
      <c r="H575" s="436">
        <f t="shared" si="82"/>
        <v>63343.703438783363</v>
      </c>
      <c r="I575" s="302">
        <f t="shared" si="83"/>
        <v>0</v>
      </c>
      <c r="K575" s="426">
        <f t="shared" si="92"/>
        <v>66802.287800476523</v>
      </c>
      <c r="L575" s="10">
        <f t="shared" si="93"/>
        <v>66802.287800476523</v>
      </c>
      <c r="M575" s="436">
        <f t="shared" si="94"/>
        <v>66802.287800476523</v>
      </c>
      <c r="N575" s="301">
        <f t="shared" si="84"/>
        <v>3458.5843616931661</v>
      </c>
      <c r="O575" s="302">
        <f t="shared" si="85"/>
        <v>66802.287800476508</v>
      </c>
      <c r="P575" s="436">
        <f t="shared" si="86"/>
        <v>0</v>
      </c>
      <c r="Q575" s="11">
        <f t="shared" si="95"/>
        <v>0</v>
      </c>
      <c r="R575" s="426">
        <f t="shared" si="96"/>
        <v>2593311.0497570257</v>
      </c>
      <c r="S575" s="354">
        <f>+Hirdetmény!$AA$46</f>
        <v>0.13400000000000001</v>
      </c>
      <c r="T575" s="302">
        <f t="shared" si="87"/>
        <v>114966.60000481337</v>
      </c>
      <c r="U575" s="302">
        <f t="shared" si="97"/>
        <v>30662.467557836007</v>
      </c>
      <c r="V575" s="302">
        <f t="shared" si="98"/>
        <v>145629.06756264938</v>
      </c>
      <c r="W575" s="302">
        <f t="shared" si="99"/>
        <v>145629.06756264938</v>
      </c>
      <c r="AA575" s="10">
        <f t="shared" si="100"/>
        <v>1697450.4394148691</v>
      </c>
      <c r="AB575" s="354">
        <f>+paraméterek!$B$346</f>
        <v>6.4600000000000005E-2</v>
      </c>
      <c r="AC575" s="302">
        <f t="shared" si="88"/>
        <v>80118.246156067034</v>
      </c>
      <c r="AD575" s="302">
        <f t="shared" si="103"/>
        <v>9702.1509345085888</v>
      </c>
      <c r="AE575" s="302">
        <f t="shared" si="101"/>
        <v>89820.397090575629</v>
      </c>
      <c r="AF575" s="478">
        <f t="shared" si="89"/>
        <v>89820.397090575629</v>
      </c>
      <c r="AI575" s="543">
        <f t="shared" si="102"/>
        <v>146437.06756264938</v>
      </c>
      <c r="AJ575" s="543"/>
      <c r="AK575" s="300"/>
      <c r="AL575" s="543"/>
      <c r="AM575" s="10"/>
    </row>
    <row r="576" spans="1:39" s="11" customFormat="1" ht="13.8" hidden="1" x14ac:dyDescent="0.25">
      <c r="A576" s="11">
        <v>221</v>
      </c>
      <c r="B576" s="11">
        <f t="shared" si="90"/>
        <v>19</v>
      </c>
      <c r="C576" s="354">
        <f t="shared" si="79"/>
        <v>0</v>
      </c>
      <c r="D576" s="300">
        <f t="shared" si="81"/>
        <v>1237634.6319195956</v>
      </c>
      <c r="E576" s="354">
        <f t="shared" si="91"/>
        <v>0.13400000000000001</v>
      </c>
      <c r="F576" s="354">
        <f t="shared" si="80"/>
        <v>0.03</v>
      </c>
      <c r="H576" s="436">
        <f t="shared" si="82"/>
        <v>63504.262131527503</v>
      </c>
      <c r="I576" s="302">
        <f t="shared" si="83"/>
        <v>0</v>
      </c>
      <c r="K576" s="426">
        <f t="shared" si="92"/>
        <v>66802.287800476537</v>
      </c>
      <c r="L576" s="10">
        <f t="shared" si="93"/>
        <v>66802.287800476537</v>
      </c>
      <c r="M576" s="436">
        <f t="shared" si="94"/>
        <v>66802.287800476537</v>
      </c>
      <c r="N576" s="301">
        <f t="shared" si="84"/>
        <v>3298.0256689490275</v>
      </c>
      <c r="O576" s="302">
        <f t="shared" si="85"/>
        <v>66802.287800476508</v>
      </c>
      <c r="P576" s="436">
        <f t="shared" si="86"/>
        <v>0</v>
      </c>
      <c r="Q576" s="11">
        <f t="shared" si="95"/>
        <v>0</v>
      </c>
      <c r="R576" s="426">
        <f t="shared" si="96"/>
        <v>2477042.8255841024</v>
      </c>
      <c r="S576" s="354">
        <f>+Hirdetmény!$AA$46</f>
        <v>0.13400000000000001</v>
      </c>
      <c r="T576" s="302">
        <f t="shared" si="87"/>
        <v>116268.22417292342</v>
      </c>
      <c r="U576" s="302">
        <f t="shared" si="97"/>
        <v>29360.843389725957</v>
      </c>
      <c r="V576" s="302">
        <f t="shared" si="98"/>
        <v>145629.06756264938</v>
      </c>
      <c r="W576" s="302">
        <f t="shared" si="99"/>
        <v>145629.06756264938</v>
      </c>
      <c r="AA576" s="10">
        <f t="shared" si="100"/>
        <v>1616894.8997110904</v>
      </c>
      <c r="AB576" s="354">
        <f>+paraméterek!$B$346</f>
        <v>6.4600000000000005E-2</v>
      </c>
      <c r="AC576" s="302">
        <f t="shared" si="88"/>
        <v>80555.539703778588</v>
      </c>
      <c r="AD576" s="302">
        <f t="shared" si="103"/>
        <v>9264.8573867970372</v>
      </c>
      <c r="AE576" s="302">
        <f t="shared" si="101"/>
        <v>89820.397090575629</v>
      </c>
      <c r="AF576" s="478">
        <f t="shared" si="89"/>
        <v>89820.397090575629</v>
      </c>
      <c r="AI576" s="543">
        <f t="shared" si="102"/>
        <v>146437.06756264938</v>
      </c>
      <c r="AJ576" s="543"/>
      <c r="AK576" s="300"/>
      <c r="AL576" s="543"/>
      <c r="AM576" s="10"/>
    </row>
    <row r="577" spans="1:39" s="11" customFormat="1" ht="13.8" hidden="1" x14ac:dyDescent="0.25">
      <c r="A577" s="11">
        <v>222</v>
      </c>
      <c r="B577" s="11">
        <f t="shared" si="90"/>
        <v>19</v>
      </c>
      <c r="C577" s="354">
        <f t="shared" si="79"/>
        <v>0</v>
      </c>
      <c r="D577" s="300">
        <f t="shared" si="81"/>
        <v>1173969.4041236376</v>
      </c>
      <c r="E577" s="354">
        <f t="shared" si="91"/>
        <v>0.13400000000000001</v>
      </c>
      <c r="F577" s="354">
        <f t="shared" si="80"/>
        <v>0.03</v>
      </c>
      <c r="H577" s="436">
        <f t="shared" si="82"/>
        <v>63665.227795958112</v>
      </c>
      <c r="I577" s="302">
        <f t="shared" si="83"/>
        <v>0</v>
      </c>
      <c r="K577" s="426">
        <f t="shared" si="92"/>
        <v>66802.287800476537</v>
      </c>
      <c r="L577" s="10">
        <f t="shared" si="93"/>
        <v>66802.287800476537</v>
      </c>
      <c r="M577" s="436">
        <f t="shared" si="94"/>
        <v>66802.287800476537</v>
      </c>
      <c r="N577" s="301">
        <f t="shared" si="84"/>
        <v>3137.0600045184192</v>
      </c>
      <c r="O577" s="302">
        <f t="shared" si="85"/>
        <v>66802.287800476508</v>
      </c>
      <c r="P577" s="436">
        <f t="shared" si="86"/>
        <v>0</v>
      </c>
      <c r="Q577" s="11">
        <f t="shared" si="95"/>
        <v>0</v>
      </c>
      <c r="R577" s="426">
        <f t="shared" si="96"/>
        <v>2359458.2405675915</v>
      </c>
      <c r="S577" s="354">
        <f>+Hirdetmény!$AA$46</f>
        <v>0.13400000000000001</v>
      </c>
      <c r="T577" s="302">
        <f t="shared" si="87"/>
        <v>117584.58501651087</v>
      </c>
      <c r="U577" s="302">
        <f t="shared" si="97"/>
        <v>28044.482546138534</v>
      </c>
      <c r="V577" s="302">
        <f t="shared" si="98"/>
        <v>145629.0675626494</v>
      </c>
      <c r="W577" s="302">
        <f t="shared" si="99"/>
        <v>145629.0675626494</v>
      </c>
      <c r="AA577" s="10">
        <f t="shared" si="100"/>
        <v>1535899.6796668777</v>
      </c>
      <c r="AB577" s="354">
        <f>+paraméterek!$B$346</f>
        <v>6.4600000000000005E-2</v>
      </c>
      <c r="AC577" s="302">
        <f t="shared" si="88"/>
        <v>80995.220044212707</v>
      </c>
      <c r="AD577" s="302">
        <f t="shared" si="103"/>
        <v>8825.1770463629182</v>
      </c>
      <c r="AE577" s="302">
        <f t="shared" si="101"/>
        <v>89820.397090575629</v>
      </c>
      <c r="AF577" s="478">
        <f t="shared" si="89"/>
        <v>89820.397090575629</v>
      </c>
      <c r="AI577" s="543">
        <f t="shared" si="102"/>
        <v>146437.0675626494</v>
      </c>
      <c r="AJ577" s="543"/>
      <c r="AK577" s="300"/>
      <c r="AL577" s="543"/>
      <c r="AM577" s="10"/>
    </row>
    <row r="578" spans="1:39" s="11" customFormat="1" ht="13.8" hidden="1" x14ac:dyDescent="0.25">
      <c r="A578" s="11">
        <v>223</v>
      </c>
      <c r="B578" s="11">
        <f t="shared" si="90"/>
        <v>19</v>
      </c>
      <c r="C578" s="354">
        <f t="shared" si="79"/>
        <v>0</v>
      </c>
      <c r="D578" s="300">
        <f t="shared" si="81"/>
        <v>1110142.8026600021</v>
      </c>
      <c r="E578" s="354">
        <f t="shared" si="91"/>
        <v>0.13400000000000001</v>
      </c>
      <c r="F578" s="354">
        <f t="shared" si="80"/>
        <v>0.03</v>
      </c>
      <c r="H578" s="436">
        <f t="shared" si="82"/>
        <v>63826.601463635365</v>
      </c>
      <c r="I578" s="302">
        <f t="shared" si="83"/>
        <v>0</v>
      </c>
      <c r="K578" s="426">
        <f t="shared" si="92"/>
        <v>66802.287800476537</v>
      </c>
      <c r="L578" s="10">
        <f t="shared" si="93"/>
        <v>66802.287800476537</v>
      </c>
      <c r="M578" s="436">
        <f t="shared" si="94"/>
        <v>66802.287800476537</v>
      </c>
      <c r="N578" s="301">
        <f t="shared" si="84"/>
        <v>2975.686336841165</v>
      </c>
      <c r="O578" s="302">
        <f t="shared" si="85"/>
        <v>66802.287800476508</v>
      </c>
      <c r="P578" s="436">
        <f t="shared" si="86"/>
        <v>0</v>
      </c>
      <c r="Q578" s="11">
        <f t="shared" si="95"/>
        <v>0</v>
      </c>
      <c r="R578" s="426">
        <f t="shared" si="96"/>
        <v>2240542.3911869237</v>
      </c>
      <c r="S578" s="354">
        <f>+Hirdetmény!$AA$46</f>
        <v>0.13400000000000001</v>
      </c>
      <c r="T578" s="302">
        <f t="shared" si="87"/>
        <v>118915.84938066771</v>
      </c>
      <c r="U578" s="302">
        <f t="shared" si="97"/>
        <v>26713.218181981694</v>
      </c>
      <c r="V578" s="302">
        <f t="shared" si="98"/>
        <v>145629.0675626494</v>
      </c>
      <c r="W578" s="302">
        <f t="shared" si="99"/>
        <v>145629.0675626494</v>
      </c>
      <c r="AA578" s="10">
        <f t="shared" si="100"/>
        <v>1454462.3794621506</v>
      </c>
      <c r="AB578" s="354">
        <f>+paraméterek!$B$346</f>
        <v>6.4600000000000005E-2</v>
      </c>
      <c r="AC578" s="302">
        <f t="shared" si="88"/>
        <v>81437.300204727173</v>
      </c>
      <c r="AD578" s="302">
        <f t="shared" si="103"/>
        <v>8383.0968858484539</v>
      </c>
      <c r="AE578" s="302">
        <f t="shared" si="101"/>
        <v>89820.397090575629</v>
      </c>
      <c r="AF578" s="478">
        <f t="shared" si="89"/>
        <v>89820.397090575629</v>
      </c>
      <c r="AI578" s="543">
        <f t="shared" si="102"/>
        <v>146437.0675626494</v>
      </c>
      <c r="AJ578" s="543"/>
      <c r="AK578" s="300"/>
      <c r="AL578" s="543"/>
      <c r="AM578" s="10"/>
    </row>
    <row r="579" spans="1:39" s="11" customFormat="1" ht="13.8" hidden="1" x14ac:dyDescent="0.25">
      <c r="A579" s="11">
        <v>224</v>
      </c>
      <c r="B579" s="11">
        <f t="shared" si="90"/>
        <v>19</v>
      </c>
      <c r="C579" s="354">
        <f t="shared" si="79"/>
        <v>0</v>
      </c>
      <c r="D579" s="300">
        <f t="shared" si="81"/>
        <v>1046154.4184912679</v>
      </c>
      <c r="E579" s="354">
        <f t="shared" si="91"/>
        <v>0.13400000000000001</v>
      </c>
      <c r="F579" s="354">
        <f t="shared" si="80"/>
        <v>0.03</v>
      </c>
      <c r="H579" s="436">
        <f t="shared" si="82"/>
        <v>63988.38416873417</v>
      </c>
      <c r="I579" s="302">
        <f t="shared" si="83"/>
        <v>0</v>
      </c>
      <c r="K579" s="426">
        <f t="shared" si="92"/>
        <v>66802.287800476537</v>
      </c>
      <c r="L579" s="10">
        <f t="shared" si="93"/>
        <v>66802.287800476537</v>
      </c>
      <c r="M579" s="436">
        <f t="shared" si="94"/>
        <v>66802.287800476537</v>
      </c>
      <c r="N579" s="301">
        <f t="shared" si="84"/>
        <v>2813.9036317423665</v>
      </c>
      <c r="O579" s="302">
        <f t="shared" si="85"/>
        <v>66802.287800476508</v>
      </c>
      <c r="P579" s="436">
        <f t="shared" si="86"/>
        <v>0</v>
      </c>
      <c r="Q579" s="11">
        <f t="shared" si="95"/>
        <v>0</v>
      </c>
      <c r="R579" s="426">
        <f t="shared" si="96"/>
        <v>2120280.2051874576</v>
      </c>
      <c r="S579" s="354">
        <f>+Hirdetmény!$AA$46</f>
        <v>0.13400000000000001</v>
      </c>
      <c r="T579" s="302">
        <f t="shared" si="87"/>
        <v>120262.18599946596</v>
      </c>
      <c r="U579" s="302">
        <f t="shared" si="97"/>
        <v>25366.881563183437</v>
      </c>
      <c r="V579" s="302">
        <f t="shared" si="98"/>
        <v>145629.0675626494</v>
      </c>
      <c r="W579" s="302">
        <f t="shared" si="99"/>
        <v>145629.0675626494</v>
      </c>
      <c r="AA579" s="10">
        <f t="shared" si="100"/>
        <v>1372580.5861783661</v>
      </c>
      <c r="AB579" s="354">
        <f>+paraméterek!$B$346</f>
        <v>6.4600000000000005E-2</v>
      </c>
      <c r="AC579" s="302">
        <f t="shared" si="88"/>
        <v>81881.793283784427</v>
      </c>
      <c r="AD579" s="302">
        <f t="shared" si="103"/>
        <v>7938.6038067912159</v>
      </c>
      <c r="AE579" s="302">
        <f t="shared" si="101"/>
        <v>89820.397090575643</v>
      </c>
      <c r="AF579" s="478">
        <f t="shared" si="89"/>
        <v>89820.397090575643</v>
      </c>
      <c r="AI579" s="543">
        <f t="shared" si="102"/>
        <v>146437.0675626494</v>
      </c>
      <c r="AJ579" s="543"/>
      <c r="AK579" s="300"/>
      <c r="AL579" s="543"/>
      <c r="AM579" s="10"/>
    </row>
    <row r="580" spans="1:39" s="11" customFormat="1" ht="13.8" hidden="1" x14ac:dyDescent="0.25">
      <c r="A580" s="11">
        <v>225</v>
      </c>
      <c r="B580" s="11">
        <f t="shared" si="90"/>
        <v>19</v>
      </c>
      <c r="C580" s="354">
        <f t="shared" si="79"/>
        <v>0</v>
      </c>
      <c r="D580" s="300">
        <f t="shared" si="81"/>
        <v>982003.84154321719</v>
      </c>
      <c r="E580" s="354">
        <f t="shared" si="91"/>
        <v>0.13400000000000001</v>
      </c>
      <c r="F580" s="354">
        <f t="shared" si="80"/>
        <v>0.03</v>
      </c>
      <c r="H580" s="436">
        <f t="shared" si="82"/>
        <v>64150.576948050752</v>
      </c>
      <c r="I580" s="302">
        <f t="shared" si="83"/>
        <v>0</v>
      </c>
      <c r="K580" s="426">
        <f t="shared" si="92"/>
        <v>66802.287800476537</v>
      </c>
      <c r="L580" s="10">
        <f t="shared" si="93"/>
        <v>66802.287800476537</v>
      </c>
      <c r="M580" s="436">
        <f t="shared" si="94"/>
        <v>66802.287800476537</v>
      </c>
      <c r="N580" s="301">
        <f t="shared" si="84"/>
        <v>2651.7108524257833</v>
      </c>
      <c r="O580" s="302">
        <f t="shared" si="85"/>
        <v>66802.287800476508</v>
      </c>
      <c r="P580" s="436">
        <f t="shared" si="86"/>
        <v>0</v>
      </c>
      <c r="Q580" s="11">
        <f t="shared" si="95"/>
        <v>0</v>
      </c>
      <c r="R580" s="426">
        <f t="shared" si="96"/>
        <v>1998656.4396701134</v>
      </c>
      <c r="S580" s="354">
        <f>+Hirdetmény!$AA$46</f>
        <v>0.13400000000000001</v>
      </c>
      <c r="T580" s="302">
        <f t="shared" si="87"/>
        <v>121623.76551734415</v>
      </c>
      <c r="U580" s="302">
        <f t="shared" si="97"/>
        <v>24005.30204530522</v>
      </c>
      <c r="V580" s="302">
        <f t="shared" si="98"/>
        <v>145629.06756264938</v>
      </c>
      <c r="W580" s="302">
        <f t="shared" si="99"/>
        <v>145629.06756264938</v>
      </c>
      <c r="AA580" s="10">
        <f t="shared" si="100"/>
        <v>1290251.8737270264</v>
      </c>
      <c r="AB580" s="354">
        <f>+paraméterek!$B$346</f>
        <v>6.4600000000000005E-2</v>
      </c>
      <c r="AC580" s="302">
        <f t="shared" si="88"/>
        <v>82328.712451339583</v>
      </c>
      <c r="AD580" s="302">
        <f t="shared" si="103"/>
        <v>7491.6846392360403</v>
      </c>
      <c r="AE580" s="302">
        <f t="shared" si="101"/>
        <v>89820.397090575629</v>
      </c>
      <c r="AF580" s="478">
        <f t="shared" si="89"/>
        <v>89820.397090575629</v>
      </c>
      <c r="AI580" s="543">
        <f t="shared" si="102"/>
        <v>146437.06756264938</v>
      </c>
      <c r="AJ580" s="543"/>
      <c r="AK580" s="300"/>
      <c r="AL580" s="543"/>
      <c r="AM580" s="10"/>
    </row>
    <row r="581" spans="1:39" s="11" customFormat="1" ht="13.8" hidden="1" x14ac:dyDescent="0.25">
      <c r="A581" s="11">
        <v>226</v>
      </c>
      <c r="B581" s="11">
        <f t="shared" si="90"/>
        <v>19</v>
      </c>
      <c r="C581" s="354">
        <f t="shared" si="79"/>
        <v>0</v>
      </c>
      <c r="D581" s="300">
        <f t="shared" si="81"/>
        <v>917690.66070220782</v>
      </c>
      <c r="E581" s="354">
        <f t="shared" si="91"/>
        <v>0.13400000000000001</v>
      </c>
      <c r="F581" s="354">
        <f t="shared" si="80"/>
        <v>0.03</v>
      </c>
      <c r="H581" s="436">
        <f t="shared" si="82"/>
        <v>64313.180841009351</v>
      </c>
      <c r="I581" s="302">
        <f t="shared" si="83"/>
        <v>0</v>
      </c>
      <c r="K581" s="426">
        <f t="shared" si="92"/>
        <v>66802.287800476537</v>
      </c>
      <c r="L581" s="10">
        <f t="shared" si="93"/>
        <v>66802.287800476537</v>
      </c>
      <c r="M581" s="436">
        <f t="shared" si="94"/>
        <v>66802.287800476537</v>
      </c>
      <c r="N581" s="301">
        <f t="shared" si="84"/>
        <v>2489.1069594671822</v>
      </c>
      <c r="O581" s="302">
        <f t="shared" si="85"/>
        <v>66802.287800476508</v>
      </c>
      <c r="P581" s="436">
        <f t="shared" si="86"/>
        <v>0</v>
      </c>
      <c r="Q581" s="11">
        <f t="shared" si="95"/>
        <v>0</v>
      </c>
      <c r="R581" s="426">
        <f t="shared" si="96"/>
        <v>1875655.6791593772</v>
      </c>
      <c r="S581" s="354">
        <f>+Hirdetmény!$AA$46</f>
        <v>0.13400000000000001</v>
      </c>
      <c r="T581" s="302">
        <f t="shared" si="87"/>
        <v>123000.76051073612</v>
      </c>
      <c r="U581" s="302">
        <f t="shared" si="97"/>
        <v>22628.307051913256</v>
      </c>
      <c r="V581" s="302">
        <f t="shared" si="98"/>
        <v>145629.06756264938</v>
      </c>
      <c r="W581" s="302">
        <f t="shared" si="99"/>
        <v>145629.06756264938</v>
      </c>
      <c r="AA581" s="10">
        <f t="shared" si="100"/>
        <v>1207473.8027777956</v>
      </c>
      <c r="AB581" s="354">
        <f>+paraméterek!$B$346</f>
        <v>6.4600000000000005E-2</v>
      </c>
      <c r="AC581" s="302">
        <f t="shared" si="88"/>
        <v>82778.070949230809</v>
      </c>
      <c r="AD581" s="302">
        <f t="shared" si="103"/>
        <v>7042.3261413448045</v>
      </c>
      <c r="AE581" s="302">
        <f t="shared" si="101"/>
        <v>89820.397090575614</v>
      </c>
      <c r="AF581" s="478">
        <f t="shared" si="89"/>
        <v>89820.397090575614</v>
      </c>
      <c r="AI581" s="543">
        <f t="shared" si="102"/>
        <v>146437.06756264938</v>
      </c>
      <c r="AJ581" s="543"/>
      <c r="AK581" s="300"/>
      <c r="AL581" s="543"/>
      <c r="AM581" s="10"/>
    </row>
    <row r="582" spans="1:39" s="11" customFormat="1" ht="13.8" hidden="1" x14ac:dyDescent="0.25">
      <c r="A582" s="11">
        <v>227</v>
      </c>
      <c r="B582" s="11">
        <f t="shared" si="90"/>
        <v>19</v>
      </c>
      <c r="C582" s="354">
        <f t="shared" si="79"/>
        <v>0</v>
      </c>
      <c r="D582" s="300">
        <f t="shared" si="81"/>
        <v>853214.463812539</v>
      </c>
      <c r="E582" s="354">
        <f t="shared" si="91"/>
        <v>0.13400000000000001</v>
      </c>
      <c r="F582" s="354">
        <f t="shared" si="80"/>
        <v>0.03</v>
      </c>
      <c r="H582" s="436">
        <f t="shared" si="82"/>
        <v>64476.196889668856</v>
      </c>
      <c r="I582" s="302">
        <f t="shared" si="83"/>
        <v>0</v>
      </c>
      <c r="K582" s="426">
        <f t="shared" si="92"/>
        <v>66802.287800476537</v>
      </c>
      <c r="L582" s="10">
        <f t="shared" si="93"/>
        <v>66802.287800476537</v>
      </c>
      <c r="M582" s="436">
        <f t="shared" si="94"/>
        <v>66802.287800476537</v>
      </c>
      <c r="N582" s="301">
        <f t="shared" si="84"/>
        <v>2326.0909108076794</v>
      </c>
      <c r="O582" s="302">
        <f t="shared" si="85"/>
        <v>66802.287800476508</v>
      </c>
      <c r="P582" s="436">
        <f t="shared" si="86"/>
        <v>0</v>
      </c>
      <c r="Q582" s="11">
        <f t="shared" si="95"/>
        <v>0</v>
      </c>
      <c r="R582" s="426">
        <f t="shared" si="96"/>
        <v>1751262.3336494328</v>
      </c>
      <c r="S582" s="354">
        <f>+Hirdetmény!$AA$46</f>
        <v>0.13400000000000001</v>
      </c>
      <c r="T582" s="302">
        <f t="shared" si="87"/>
        <v>124393.34550994448</v>
      </c>
      <c r="U582" s="302">
        <f t="shared" si="97"/>
        <v>21235.722052704892</v>
      </c>
      <c r="V582" s="302">
        <f t="shared" si="98"/>
        <v>145629.06756264938</v>
      </c>
      <c r="W582" s="302">
        <f t="shared" si="99"/>
        <v>145629.06756264938</v>
      </c>
      <c r="AA582" s="10">
        <f t="shared" si="100"/>
        <v>1124243.920686224</v>
      </c>
      <c r="AB582" s="354">
        <f>+paraméterek!$B$346</f>
        <v>6.4600000000000005E-2</v>
      </c>
      <c r="AC582" s="302">
        <f t="shared" si="88"/>
        <v>83229.882091571533</v>
      </c>
      <c r="AD582" s="302">
        <f t="shared" si="103"/>
        <v>6590.5149990040845</v>
      </c>
      <c r="AE582" s="302">
        <f t="shared" si="101"/>
        <v>89820.397090575614</v>
      </c>
      <c r="AF582" s="478">
        <f t="shared" si="89"/>
        <v>89820.397090575614</v>
      </c>
      <c r="AI582" s="543">
        <f t="shared" si="102"/>
        <v>146437.06756264938</v>
      </c>
      <c r="AJ582" s="543"/>
      <c r="AK582" s="300"/>
      <c r="AL582" s="543"/>
      <c r="AM582" s="10"/>
    </row>
    <row r="583" spans="1:39" s="11" customFormat="1" ht="13.8" hidden="1" x14ac:dyDescent="0.25">
      <c r="A583" s="11">
        <v>228</v>
      </c>
      <c r="B583" s="11">
        <f t="shared" si="90"/>
        <v>19</v>
      </c>
      <c r="C583" s="354">
        <f t="shared" si="79"/>
        <v>0</v>
      </c>
      <c r="D583" s="300">
        <f t="shared" si="81"/>
        <v>788574.8376738095</v>
      </c>
      <c r="E583" s="354">
        <f t="shared" si="91"/>
        <v>0.13400000000000001</v>
      </c>
      <c r="F583" s="354">
        <f t="shared" si="80"/>
        <v>0.03</v>
      </c>
      <c r="H583" s="436">
        <f t="shared" si="82"/>
        <v>64639.626138729465</v>
      </c>
      <c r="I583" s="302">
        <f t="shared" si="83"/>
        <v>0</v>
      </c>
      <c r="K583" s="426">
        <f t="shared" si="92"/>
        <v>66802.287800476523</v>
      </c>
      <c r="L583" s="10">
        <f t="shared" si="93"/>
        <v>66802.287800476523</v>
      </c>
      <c r="M583" s="436">
        <f t="shared" si="94"/>
        <v>66802.287800476523</v>
      </c>
      <c r="N583" s="301">
        <f t="shared" si="84"/>
        <v>2162.6616617470604</v>
      </c>
      <c r="O583" s="302">
        <f t="shared" si="85"/>
        <v>66802.287800476508</v>
      </c>
      <c r="P583" s="436">
        <f t="shared" si="86"/>
        <v>0</v>
      </c>
      <c r="Q583" s="11">
        <f t="shared" si="95"/>
        <v>0</v>
      </c>
      <c r="R583" s="426">
        <f t="shared" si="96"/>
        <v>1625460.6366281707</v>
      </c>
      <c r="S583" s="354">
        <f>+Hirdetmény!$AA$46</f>
        <v>0.13400000000000001</v>
      </c>
      <c r="T583" s="302">
        <f t="shared" si="87"/>
        <v>125801.69702126193</v>
      </c>
      <c r="U583" s="302">
        <f t="shared" si="97"/>
        <v>19827.370541387445</v>
      </c>
      <c r="V583" s="302">
        <f t="shared" si="98"/>
        <v>145629.06756264938</v>
      </c>
      <c r="W583" s="302">
        <f t="shared" si="99"/>
        <v>145629.06756264938</v>
      </c>
      <c r="AA583" s="10">
        <f t="shared" si="100"/>
        <v>1040559.761421079</v>
      </c>
      <c r="AB583" s="354">
        <f>+paraméterek!$B$346</f>
        <v>6.4600000000000005E-2</v>
      </c>
      <c r="AC583" s="302">
        <f t="shared" si="88"/>
        <v>83684.159265144946</v>
      </c>
      <c r="AD583" s="302">
        <f t="shared" si="103"/>
        <v>6136.2378254306668</v>
      </c>
      <c r="AE583" s="302">
        <f t="shared" si="101"/>
        <v>89820.397090575614</v>
      </c>
      <c r="AF583" s="478">
        <f t="shared" si="89"/>
        <v>89820.397090575614</v>
      </c>
      <c r="AI583" s="543">
        <f t="shared" si="102"/>
        <v>146437.06756264938</v>
      </c>
      <c r="AJ583" s="543"/>
      <c r="AK583" s="300"/>
      <c r="AL583" s="543"/>
      <c r="AM583" s="10"/>
    </row>
    <row r="584" spans="1:39" s="11" customFormat="1" ht="13.8" hidden="1" x14ac:dyDescent="0.25">
      <c r="A584" s="11">
        <v>229</v>
      </c>
      <c r="B584" s="11">
        <f t="shared" si="90"/>
        <v>20</v>
      </c>
      <c r="C584" s="354">
        <f t="shared" si="79"/>
        <v>0</v>
      </c>
      <c r="D584" s="300">
        <f t="shared" si="81"/>
        <v>723771.36803827004</v>
      </c>
      <c r="E584" s="354">
        <f t="shared" si="91"/>
        <v>0.13400000000000001</v>
      </c>
      <c r="F584" s="354">
        <f t="shared" si="80"/>
        <v>0.03</v>
      </c>
      <c r="H584" s="436">
        <f t="shared" si="82"/>
        <v>64803.469635539448</v>
      </c>
      <c r="I584" s="302">
        <f t="shared" si="83"/>
        <v>0</v>
      </c>
      <c r="K584" s="426">
        <f t="shared" si="92"/>
        <v>66802.287800476537</v>
      </c>
      <c r="L584" s="10">
        <f t="shared" si="93"/>
        <v>66802.287800476537</v>
      </c>
      <c r="M584" s="436">
        <f t="shared" si="94"/>
        <v>66802.287800476537</v>
      </c>
      <c r="N584" s="301">
        <f t="shared" si="84"/>
        <v>1998.8181649370867</v>
      </c>
      <c r="O584" s="302">
        <f t="shared" si="85"/>
        <v>66802.287800476508</v>
      </c>
      <c r="P584" s="436">
        <f t="shared" si="86"/>
        <v>0</v>
      </c>
      <c r="Q584" s="11">
        <f t="shared" si="95"/>
        <v>0</v>
      </c>
      <c r="R584" s="426">
        <f t="shared" si="96"/>
        <v>1498234.6430788278</v>
      </c>
      <c r="S584" s="354">
        <f>+Hirdetmény!$AA$46</f>
        <v>0.13400000000000001</v>
      </c>
      <c r="T584" s="302">
        <f t="shared" si="87"/>
        <v>127225.99354934292</v>
      </c>
      <c r="U584" s="302">
        <f t="shared" si="97"/>
        <v>18403.074013306443</v>
      </c>
      <c r="V584" s="302">
        <f t="shared" si="98"/>
        <v>145629.06756264938</v>
      </c>
      <c r="W584" s="302">
        <f t="shared" si="99"/>
        <v>145629.06756264938</v>
      </c>
      <c r="AA584" s="10">
        <f t="shared" si="100"/>
        <v>956418.84549127833</v>
      </c>
      <c r="AB584" s="354">
        <f>+paraméterek!$B$346</f>
        <v>6.4600000000000005E-2</v>
      </c>
      <c r="AC584" s="302">
        <f t="shared" si="88"/>
        <v>84140.9159298007</v>
      </c>
      <c r="AD584" s="302">
        <f t="shared" si="103"/>
        <v>5679.4811607749134</v>
      </c>
      <c r="AE584" s="302">
        <f t="shared" si="101"/>
        <v>89820.397090575614</v>
      </c>
      <c r="AF584" s="478">
        <f t="shared" si="89"/>
        <v>89820.397090575614</v>
      </c>
      <c r="AI584" s="543">
        <f t="shared" si="102"/>
        <v>146437.06756264938</v>
      </c>
      <c r="AJ584" s="543"/>
      <c r="AK584" s="300"/>
      <c r="AL584" s="543"/>
      <c r="AM584" s="10"/>
    </row>
    <row r="585" spans="1:39" s="11" customFormat="1" ht="13.8" hidden="1" x14ac:dyDescent="0.25">
      <c r="A585" s="11">
        <v>230</v>
      </c>
      <c r="B585" s="11">
        <f t="shared" si="90"/>
        <v>20</v>
      </c>
      <c r="C585" s="354">
        <f t="shared" si="79"/>
        <v>0</v>
      </c>
      <c r="D585" s="300">
        <f t="shared" si="81"/>
        <v>658803.63960816828</v>
      </c>
      <c r="E585" s="354">
        <f t="shared" si="91"/>
        <v>0.13400000000000001</v>
      </c>
      <c r="F585" s="354">
        <f t="shared" si="80"/>
        <v>0.03</v>
      </c>
      <c r="H585" s="436">
        <f t="shared" si="82"/>
        <v>64967.72843010175</v>
      </c>
      <c r="I585" s="302">
        <f t="shared" si="83"/>
        <v>0</v>
      </c>
      <c r="K585" s="426">
        <f t="shared" si="92"/>
        <v>66802.287800476537</v>
      </c>
      <c r="L585" s="10">
        <f t="shared" si="93"/>
        <v>66802.287800476537</v>
      </c>
      <c r="M585" s="436">
        <f t="shared" si="94"/>
        <v>66802.287800476537</v>
      </c>
      <c r="N585" s="301">
        <f t="shared" si="84"/>
        <v>1834.5593703747816</v>
      </c>
      <c r="O585" s="302">
        <f t="shared" si="85"/>
        <v>66802.287800476508</v>
      </c>
      <c r="P585" s="436">
        <f t="shared" si="86"/>
        <v>0</v>
      </c>
      <c r="Q585" s="11">
        <f t="shared" si="95"/>
        <v>0</v>
      </c>
      <c r="R585" s="426">
        <f t="shared" si="96"/>
        <v>1369568.227458999</v>
      </c>
      <c r="S585" s="354">
        <f>+Hirdetmény!$AA$46</f>
        <v>0.13400000000000001</v>
      </c>
      <c r="T585" s="302">
        <f t="shared" si="87"/>
        <v>128666.41561982867</v>
      </c>
      <c r="U585" s="302">
        <f t="shared" si="97"/>
        <v>16962.651942820714</v>
      </c>
      <c r="V585" s="302">
        <f t="shared" si="98"/>
        <v>145629.06756264938</v>
      </c>
      <c r="W585" s="302">
        <f t="shared" si="99"/>
        <v>145629.06756264938</v>
      </c>
      <c r="AA585" s="10">
        <f t="shared" si="100"/>
        <v>871818.67987242469</v>
      </c>
      <c r="AB585" s="354">
        <f>+paraméterek!$B$346</f>
        <v>6.4600000000000005E-2</v>
      </c>
      <c r="AC585" s="302">
        <f t="shared" si="88"/>
        <v>84600.165618853644</v>
      </c>
      <c r="AD585" s="302">
        <f t="shared" si="103"/>
        <v>5220.231471721957</v>
      </c>
      <c r="AE585" s="302">
        <f t="shared" si="101"/>
        <v>89820.3970905756</v>
      </c>
      <c r="AF585" s="478">
        <f t="shared" si="89"/>
        <v>89820.3970905756</v>
      </c>
      <c r="AI585" s="543">
        <f t="shared" si="102"/>
        <v>146437.06756264938</v>
      </c>
      <c r="AJ585" s="543"/>
      <c r="AK585" s="300"/>
      <c r="AL585" s="543"/>
      <c r="AM585" s="10"/>
    </row>
    <row r="586" spans="1:39" s="11" customFormat="1" ht="13.8" hidden="1" x14ac:dyDescent="0.25">
      <c r="A586" s="11">
        <v>231</v>
      </c>
      <c r="B586" s="11">
        <f t="shared" si="90"/>
        <v>20</v>
      </c>
      <c r="C586" s="354">
        <f t="shared" si="79"/>
        <v>0</v>
      </c>
      <c r="D586" s="300">
        <f t="shared" si="81"/>
        <v>593671.23603308748</v>
      </c>
      <c r="E586" s="354">
        <f t="shared" si="91"/>
        <v>0.13400000000000001</v>
      </c>
      <c r="F586" s="354">
        <f t="shared" si="80"/>
        <v>0.03</v>
      </c>
      <c r="H586" s="436">
        <f t="shared" si="82"/>
        <v>65132.403575080833</v>
      </c>
      <c r="I586" s="302">
        <f t="shared" si="83"/>
        <v>0</v>
      </c>
      <c r="K586" s="426">
        <f t="shared" si="92"/>
        <v>66802.287800476537</v>
      </c>
      <c r="L586" s="10">
        <f t="shared" si="93"/>
        <v>66802.287800476537</v>
      </c>
      <c r="M586" s="436">
        <f t="shared" si="94"/>
        <v>66802.287800476537</v>
      </c>
      <c r="N586" s="301">
        <f t="shared" si="84"/>
        <v>1669.8842253957043</v>
      </c>
      <c r="O586" s="302">
        <f t="shared" si="85"/>
        <v>66802.287800476508</v>
      </c>
      <c r="P586" s="436">
        <f t="shared" si="86"/>
        <v>0</v>
      </c>
      <c r="Q586" s="11">
        <f t="shared" si="95"/>
        <v>0</v>
      </c>
      <c r="R586" s="426">
        <f t="shared" si="96"/>
        <v>1239445.0816567708</v>
      </c>
      <c r="S586" s="354">
        <f>+Hirdetmény!$AA$46</f>
        <v>0.13400000000000001</v>
      </c>
      <c r="T586" s="302">
        <f t="shared" si="87"/>
        <v>130123.14580222817</v>
      </c>
      <c r="U586" s="302">
        <f t="shared" si="97"/>
        <v>15505.921760421215</v>
      </c>
      <c r="V586" s="302">
        <f t="shared" si="98"/>
        <v>145629.06756264938</v>
      </c>
      <c r="W586" s="302">
        <f t="shared" si="99"/>
        <v>145629.06756264938</v>
      </c>
      <c r="AA586" s="10">
        <f t="shared" si="100"/>
        <v>786756.7579329398</v>
      </c>
      <c r="AB586" s="354">
        <f>+paraméterek!$B$346</f>
        <v>6.4600000000000005E-2</v>
      </c>
      <c r="AC586" s="302">
        <f t="shared" si="88"/>
        <v>85061.921939484891</v>
      </c>
      <c r="AD586" s="302">
        <f t="shared" si="103"/>
        <v>4758.4751510907181</v>
      </c>
      <c r="AE586" s="302">
        <f t="shared" si="101"/>
        <v>89820.397090575614</v>
      </c>
      <c r="AF586" s="478">
        <f t="shared" si="89"/>
        <v>89820.397090575614</v>
      </c>
      <c r="AI586" s="543">
        <f t="shared" si="102"/>
        <v>146437.06756264938</v>
      </c>
      <c r="AJ586" s="543"/>
      <c r="AK586" s="300"/>
      <c r="AL586" s="543"/>
      <c r="AM586" s="10"/>
    </row>
    <row r="587" spans="1:39" s="11" customFormat="1" ht="13.8" hidden="1" x14ac:dyDescent="0.25">
      <c r="A587" s="11">
        <v>232</v>
      </c>
      <c r="B587" s="11">
        <f t="shared" si="90"/>
        <v>20</v>
      </c>
      <c r="C587" s="354">
        <f t="shared" si="79"/>
        <v>0</v>
      </c>
      <c r="D587" s="300">
        <f t="shared" si="81"/>
        <v>528373.7399072781</v>
      </c>
      <c r="E587" s="354">
        <f t="shared" si="91"/>
        <v>0.13400000000000001</v>
      </c>
      <c r="F587" s="354">
        <f t="shared" si="80"/>
        <v>0.03</v>
      </c>
      <c r="H587" s="436">
        <f t="shared" si="82"/>
        <v>65297.496125809339</v>
      </c>
      <c r="I587" s="302">
        <f t="shared" si="83"/>
        <v>0</v>
      </c>
      <c r="K587" s="426">
        <f t="shared" si="92"/>
        <v>66802.287800476537</v>
      </c>
      <c r="L587" s="10">
        <f t="shared" si="93"/>
        <v>66802.287800476537</v>
      </c>
      <c r="M587" s="436">
        <f t="shared" si="94"/>
        <v>66802.287800476537</v>
      </c>
      <c r="N587" s="301">
        <f t="shared" si="84"/>
        <v>1504.7916746672008</v>
      </c>
      <c r="O587" s="302">
        <f t="shared" si="85"/>
        <v>66802.287800476508</v>
      </c>
      <c r="P587" s="436">
        <f t="shared" si="86"/>
        <v>0</v>
      </c>
      <c r="Q587" s="11">
        <f t="shared" si="95"/>
        <v>0</v>
      </c>
      <c r="R587" s="426">
        <f t="shared" si="96"/>
        <v>1107848.7129237123</v>
      </c>
      <c r="S587" s="354">
        <f>+Hirdetmény!$AA$46</f>
        <v>0.13400000000000001</v>
      </c>
      <c r="T587" s="302">
        <f t="shared" si="87"/>
        <v>131596.36873305845</v>
      </c>
      <c r="U587" s="302">
        <f t="shared" si="97"/>
        <v>14032.698829590896</v>
      </c>
      <c r="V587" s="302">
        <f t="shared" si="98"/>
        <v>145629.06756264935</v>
      </c>
      <c r="W587" s="302">
        <f t="shared" si="99"/>
        <v>145629.06756264935</v>
      </c>
      <c r="AA587" s="10">
        <f t="shared" si="100"/>
        <v>701230.55935979495</v>
      </c>
      <c r="AB587" s="354">
        <f>+paraméterek!$B$346</f>
        <v>6.4600000000000005E-2</v>
      </c>
      <c r="AC587" s="302">
        <f t="shared" si="88"/>
        <v>85526.198573144866</v>
      </c>
      <c r="AD587" s="302">
        <f t="shared" si="103"/>
        <v>4294.1985174307383</v>
      </c>
      <c r="AE587" s="302">
        <f t="shared" si="101"/>
        <v>89820.3970905756</v>
      </c>
      <c r="AF587" s="478">
        <f t="shared" si="89"/>
        <v>89820.3970905756</v>
      </c>
      <c r="AI587" s="543">
        <f t="shared" si="102"/>
        <v>146437.06756264935</v>
      </c>
      <c r="AJ587" s="543"/>
      <c r="AK587" s="300"/>
      <c r="AL587" s="543"/>
      <c r="AM587" s="10"/>
    </row>
    <row r="588" spans="1:39" s="11" customFormat="1" ht="13.8" hidden="1" x14ac:dyDescent="0.25">
      <c r="A588" s="11">
        <v>233</v>
      </c>
      <c r="B588" s="11">
        <f t="shared" si="90"/>
        <v>20</v>
      </c>
      <c r="C588" s="354">
        <f t="shared" si="79"/>
        <v>0</v>
      </c>
      <c r="D588" s="300">
        <f t="shared" si="81"/>
        <v>462910.73276698322</v>
      </c>
      <c r="E588" s="354">
        <f t="shared" si="91"/>
        <v>0.13400000000000001</v>
      </c>
      <c r="F588" s="354">
        <f t="shared" si="80"/>
        <v>0.03</v>
      </c>
      <c r="H588" s="436">
        <f t="shared" si="82"/>
        <v>65463.007140294896</v>
      </c>
      <c r="I588" s="302">
        <f t="shared" si="83"/>
        <v>0</v>
      </c>
      <c r="K588" s="426">
        <f t="shared" si="92"/>
        <v>66802.287800476537</v>
      </c>
      <c r="L588" s="10">
        <f t="shared" si="93"/>
        <v>66802.287800476537</v>
      </c>
      <c r="M588" s="436">
        <f t="shared" si="94"/>
        <v>66802.287800476537</v>
      </c>
      <c r="N588" s="301">
        <f t="shared" si="84"/>
        <v>1339.2806601816426</v>
      </c>
      <c r="O588" s="302">
        <f t="shared" si="85"/>
        <v>66802.287800476508</v>
      </c>
      <c r="P588" s="436">
        <f t="shared" si="86"/>
        <v>0</v>
      </c>
      <c r="Q588" s="11">
        <f t="shared" si="95"/>
        <v>0</v>
      </c>
      <c r="R588" s="426">
        <f t="shared" si="96"/>
        <v>974762.44178446545</v>
      </c>
      <c r="S588" s="354">
        <f>+Hirdetmény!$AA$46</f>
        <v>0.13400000000000001</v>
      </c>
      <c r="T588" s="302">
        <f t="shared" si="87"/>
        <v>133086.27113924688</v>
      </c>
      <c r="U588" s="302">
        <f t="shared" si="97"/>
        <v>12542.796423402495</v>
      </c>
      <c r="V588" s="302">
        <f t="shared" si="98"/>
        <v>145629.06756264938</v>
      </c>
      <c r="W588" s="302">
        <f t="shared" si="99"/>
        <v>145629.06756264938</v>
      </c>
      <c r="AA588" s="10">
        <f t="shared" si="100"/>
        <v>615237.55008383607</v>
      </c>
      <c r="AB588" s="354">
        <f>+paraméterek!$B$346</f>
        <v>6.4600000000000005E-2</v>
      </c>
      <c r="AC588" s="302">
        <f t="shared" si="88"/>
        <v>85993.009275958815</v>
      </c>
      <c r="AD588" s="302">
        <f t="shared" si="103"/>
        <v>3827.3878146168072</v>
      </c>
      <c r="AE588" s="302">
        <f t="shared" si="101"/>
        <v>89820.397090575629</v>
      </c>
      <c r="AF588" s="478">
        <f t="shared" si="89"/>
        <v>89820.397090575629</v>
      </c>
      <c r="AI588" s="543">
        <f t="shared" si="102"/>
        <v>146437.06756264938</v>
      </c>
      <c r="AJ588" s="543"/>
      <c r="AK588" s="300"/>
      <c r="AL588" s="543"/>
      <c r="AM588" s="10"/>
    </row>
    <row r="589" spans="1:39" s="11" customFormat="1" ht="13.8" hidden="1" x14ac:dyDescent="0.25">
      <c r="A589" s="11">
        <v>234</v>
      </c>
      <c r="B589" s="11">
        <f t="shared" si="90"/>
        <v>20</v>
      </c>
      <c r="C589" s="354">
        <f t="shared" si="79"/>
        <v>0</v>
      </c>
      <c r="D589" s="300">
        <f t="shared" si="81"/>
        <v>397281.79508775636</v>
      </c>
      <c r="E589" s="354">
        <f t="shared" si="91"/>
        <v>0.13400000000000001</v>
      </c>
      <c r="F589" s="354">
        <f t="shared" si="80"/>
        <v>0.03</v>
      </c>
      <c r="H589" s="436">
        <f t="shared" si="82"/>
        <v>65628.937679226889</v>
      </c>
      <c r="I589" s="302">
        <f t="shared" si="83"/>
        <v>0</v>
      </c>
      <c r="K589" s="426">
        <f t="shared" si="92"/>
        <v>66802.287800476537</v>
      </c>
      <c r="L589" s="10">
        <f t="shared" si="93"/>
        <v>66802.287800476537</v>
      </c>
      <c r="M589" s="436">
        <f t="shared" si="94"/>
        <v>66802.287800476537</v>
      </c>
      <c r="N589" s="301">
        <f t="shared" si="84"/>
        <v>1173.3501212496451</v>
      </c>
      <c r="O589" s="302">
        <f t="shared" si="85"/>
        <v>66802.287800476508</v>
      </c>
      <c r="P589" s="436">
        <f t="shared" si="86"/>
        <v>0</v>
      </c>
      <c r="Q589" s="11">
        <f t="shared" si="95"/>
        <v>0</v>
      </c>
      <c r="R589" s="426">
        <f t="shared" si="96"/>
        <v>840169.39992266754</v>
      </c>
      <c r="S589" s="354">
        <f>+Hirdetmény!$AA$46</f>
        <v>0.13400000000000001</v>
      </c>
      <c r="T589" s="302">
        <f t="shared" si="87"/>
        <v>134593.04186179794</v>
      </c>
      <c r="U589" s="302">
        <f t="shared" si="97"/>
        <v>11036.025700851438</v>
      </c>
      <c r="V589" s="302">
        <f t="shared" si="98"/>
        <v>145629.06756264938</v>
      </c>
      <c r="W589" s="302">
        <f t="shared" si="99"/>
        <v>145629.06756264938</v>
      </c>
      <c r="AA589" s="10">
        <f t="shared" si="100"/>
        <v>528775.18220470182</v>
      </c>
      <c r="AB589" s="354">
        <f>+paraméterek!$B$346</f>
        <v>6.4600000000000005E-2</v>
      </c>
      <c r="AC589" s="302">
        <f t="shared" si="88"/>
        <v>86462.367879134224</v>
      </c>
      <c r="AD589" s="302">
        <f t="shared" si="103"/>
        <v>3358.0292114413828</v>
      </c>
      <c r="AE589" s="302">
        <f t="shared" si="101"/>
        <v>89820.397090575614</v>
      </c>
      <c r="AF589" s="478">
        <f t="shared" si="89"/>
        <v>89820.397090575614</v>
      </c>
      <c r="AI589" s="543">
        <f t="shared" si="102"/>
        <v>146437.06756264938</v>
      </c>
      <c r="AJ589" s="543"/>
      <c r="AK589" s="300"/>
      <c r="AL589" s="543"/>
      <c r="AM589" s="10"/>
    </row>
    <row r="590" spans="1:39" s="11" customFormat="1" ht="13.8" hidden="1" x14ac:dyDescent="0.25">
      <c r="A590" s="11">
        <v>235</v>
      </c>
      <c r="B590" s="11">
        <f t="shared" si="90"/>
        <v>20</v>
      </c>
      <c r="C590" s="354">
        <f t="shared" si="79"/>
        <v>0</v>
      </c>
      <c r="D590" s="300">
        <f t="shared" si="81"/>
        <v>331486.50628177309</v>
      </c>
      <c r="E590" s="354">
        <f t="shared" si="91"/>
        <v>0.13400000000000001</v>
      </c>
      <c r="F590" s="354">
        <f t="shared" si="80"/>
        <v>0.03</v>
      </c>
      <c r="H590" s="436">
        <f t="shared" si="82"/>
        <v>65795.288805983262</v>
      </c>
      <c r="I590" s="302">
        <f t="shared" si="83"/>
        <v>0</v>
      </c>
      <c r="K590" s="426">
        <f t="shared" si="92"/>
        <v>66802.287800476537</v>
      </c>
      <c r="L590" s="10">
        <f t="shared" si="93"/>
        <v>66802.287800476537</v>
      </c>
      <c r="M590" s="436">
        <f t="shared" si="94"/>
        <v>66802.287800476537</v>
      </c>
      <c r="N590" s="301">
        <f t="shared" si="84"/>
        <v>1006.9989944932713</v>
      </c>
      <c r="O590" s="302">
        <f t="shared" si="85"/>
        <v>66802.287800476508</v>
      </c>
      <c r="P590" s="436">
        <f t="shared" si="86"/>
        <v>0</v>
      </c>
      <c r="Q590" s="11">
        <f t="shared" si="95"/>
        <v>0</v>
      </c>
      <c r="R590" s="426">
        <f t="shared" si="96"/>
        <v>704052.52804293891</v>
      </c>
      <c r="S590" s="354">
        <f>+Hirdetmény!$AA$46</f>
        <v>0.13400000000000001</v>
      </c>
      <c r="T590" s="302">
        <f t="shared" si="87"/>
        <v>136116.87187972863</v>
      </c>
      <c r="U590" s="302">
        <f t="shared" si="97"/>
        <v>9512.1956829207575</v>
      </c>
      <c r="V590" s="302">
        <f t="shared" si="98"/>
        <v>145629.06756264938</v>
      </c>
      <c r="W590" s="302">
        <f t="shared" si="99"/>
        <v>145629.06756264938</v>
      </c>
      <c r="AA590" s="10">
        <f t="shared" si="100"/>
        <v>441840.89391533099</v>
      </c>
      <c r="AB590" s="354">
        <f>+paraméterek!$B$346</f>
        <v>6.4600000000000005E-2</v>
      </c>
      <c r="AC590" s="302">
        <f t="shared" si="88"/>
        <v>86934.288289370801</v>
      </c>
      <c r="AD590" s="302">
        <f t="shared" si="103"/>
        <v>2886.108801204784</v>
      </c>
      <c r="AE590" s="302">
        <f t="shared" si="101"/>
        <v>89820.397090575585</v>
      </c>
      <c r="AF590" s="478">
        <f t="shared" si="89"/>
        <v>89820.397090575585</v>
      </c>
      <c r="AI590" s="543">
        <f t="shared" si="102"/>
        <v>146437.06756264938</v>
      </c>
      <c r="AJ590" s="543"/>
      <c r="AK590" s="300"/>
      <c r="AL590" s="543"/>
      <c r="AM590" s="10"/>
    </row>
    <row r="591" spans="1:39" s="11" customFormat="1" ht="13.8" hidden="1" x14ac:dyDescent="0.25">
      <c r="A591" s="11">
        <v>236</v>
      </c>
      <c r="B591" s="11">
        <f t="shared" si="90"/>
        <v>20</v>
      </c>
      <c r="C591" s="354">
        <f t="shared" si="79"/>
        <v>0</v>
      </c>
      <c r="D591" s="300">
        <f t="shared" si="81"/>
        <v>265524.44469513575</v>
      </c>
      <c r="E591" s="354">
        <f t="shared" si="91"/>
        <v>0.13400000000000001</v>
      </c>
      <c r="F591" s="354">
        <f t="shared" si="80"/>
        <v>0.03</v>
      </c>
      <c r="H591" s="436">
        <f t="shared" si="82"/>
        <v>65962.061586637326</v>
      </c>
      <c r="I591" s="302">
        <f t="shared" si="83"/>
        <v>0</v>
      </c>
      <c r="K591" s="426">
        <f t="shared" si="92"/>
        <v>66802.287800476537</v>
      </c>
      <c r="L591" s="10">
        <f t="shared" si="93"/>
        <v>66802.287800476537</v>
      </c>
      <c r="M591" s="436">
        <f t="shared" si="94"/>
        <v>66802.287800476537</v>
      </c>
      <c r="N591" s="301">
        <f t="shared" si="84"/>
        <v>840.2262138392166</v>
      </c>
      <c r="O591" s="302">
        <f t="shared" si="85"/>
        <v>66802.287800476508</v>
      </c>
      <c r="P591" s="436">
        <f t="shared" si="86"/>
        <v>0</v>
      </c>
      <c r="Q591" s="11">
        <f t="shared" si="95"/>
        <v>0</v>
      </c>
      <c r="R591" s="426">
        <f t="shared" si="96"/>
        <v>566394.57370866463</v>
      </c>
      <c r="S591" s="354">
        <f>+Hirdetmény!$AA$46</f>
        <v>0.13400000000000001</v>
      </c>
      <c r="T591" s="302">
        <f t="shared" si="87"/>
        <v>137657.95433427434</v>
      </c>
      <c r="U591" s="302">
        <f t="shared" si="97"/>
        <v>7971.1132283750339</v>
      </c>
      <c r="V591" s="302">
        <f t="shared" si="98"/>
        <v>145629.06756264938</v>
      </c>
      <c r="W591" s="302">
        <f t="shared" si="99"/>
        <v>145629.06756264938</v>
      </c>
      <c r="AA591" s="10">
        <f t="shared" si="100"/>
        <v>354432.10942605854</v>
      </c>
      <c r="AB591" s="354">
        <f>+paraméterek!$B$346</f>
        <v>6.4600000000000005E-2</v>
      </c>
      <c r="AC591" s="302">
        <f t="shared" si="88"/>
        <v>87408.784489272453</v>
      </c>
      <c r="AD591" s="302">
        <f t="shared" si="103"/>
        <v>2411.6126013031458</v>
      </c>
      <c r="AE591" s="302">
        <f t="shared" si="101"/>
        <v>89820.3970905756</v>
      </c>
      <c r="AF591" s="478">
        <f t="shared" si="89"/>
        <v>89820.3970905756</v>
      </c>
      <c r="AI591" s="543">
        <f t="shared" si="102"/>
        <v>146437.06756264938</v>
      </c>
      <c r="AJ591" s="543"/>
      <c r="AK591" s="300"/>
      <c r="AL591" s="543"/>
      <c r="AM591" s="10"/>
    </row>
    <row r="592" spans="1:39" s="11" customFormat="1" ht="13.8" hidden="1" x14ac:dyDescent="0.25">
      <c r="A592" s="11">
        <v>237</v>
      </c>
      <c r="B592" s="11">
        <f t="shared" si="90"/>
        <v>20</v>
      </c>
      <c r="C592" s="354">
        <f t="shared" si="79"/>
        <v>0</v>
      </c>
      <c r="D592" s="300">
        <f t="shared" si="81"/>
        <v>199395.18760517117</v>
      </c>
      <c r="E592" s="354">
        <f t="shared" si="91"/>
        <v>0.13400000000000001</v>
      </c>
      <c r="F592" s="354">
        <f t="shared" si="80"/>
        <v>0.03</v>
      </c>
      <c r="H592" s="436">
        <f t="shared" si="82"/>
        <v>66129.257089964565</v>
      </c>
      <c r="I592" s="302">
        <f t="shared" si="83"/>
        <v>0</v>
      </c>
      <c r="K592" s="426">
        <f t="shared" si="92"/>
        <v>66802.287800476537</v>
      </c>
      <c r="L592" s="10">
        <f t="shared" si="93"/>
        <v>66802.287800476537</v>
      </c>
      <c r="M592" s="436">
        <f t="shared" si="94"/>
        <v>66802.287800476537</v>
      </c>
      <c r="N592" s="301">
        <f t="shared" si="84"/>
        <v>673.03071051197605</v>
      </c>
      <c r="O592" s="302">
        <f t="shared" si="85"/>
        <v>66802.287800476508</v>
      </c>
      <c r="P592" s="436">
        <f t="shared" si="86"/>
        <v>0</v>
      </c>
      <c r="Q592" s="11">
        <f t="shared" si="95"/>
        <v>0</v>
      </c>
      <c r="R592" s="426">
        <f t="shared" si="96"/>
        <v>427178.08915529551</v>
      </c>
      <c r="S592" s="354">
        <f>+Hirdetmény!$AA$46</f>
        <v>0.13400000000000001</v>
      </c>
      <c r="T592" s="302">
        <f t="shared" si="87"/>
        <v>139216.48455336914</v>
      </c>
      <c r="U592" s="302">
        <f t="shared" si="97"/>
        <v>6412.5830092802753</v>
      </c>
      <c r="V592" s="302">
        <f t="shared" si="98"/>
        <v>145629.0675626494</v>
      </c>
      <c r="W592" s="302">
        <f t="shared" si="99"/>
        <v>145629.0675626494</v>
      </c>
      <c r="AA592" s="10">
        <f t="shared" si="100"/>
        <v>266546.23888829706</v>
      </c>
      <c r="AB592" s="354">
        <f>+paraméterek!$B$346</f>
        <v>6.4600000000000005E-2</v>
      </c>
      <c r="AC592" s="302">
        <f t="shared" si="88"/>
        <v>87885.870537761468</v>
      </c>
      <c r="AD592" s="302">
        <f t="shared" si="103"/>
        <v>1934.5265528141283</v>
      </c>
      <c r="AE592" s="302">
        <f t="shared" si="101"/>
        <v>89820.3970905756</v>
      </c>
      <c r="AF592" s="478">
        <f t="shared" si="89"/>
        <v>89820.3970905756</v>
      </c>
      <c r="AI592" s="543">
        <f t="shared" si="102"/>
        <v>146437.0675626494</v>
      </c>
      <c r="AJ592" s="543"/>
      <c r="AK592" s="300"/>
      <c r="AL592" s="543"/>
      <c r="AM592" s="10"/>
    </row>
    <row r="593" spans="1:39" s="11" customFormat="1" ht="13.8" hidden="1" x14ac:dyDescent="0.25">
      <c r="A593" s="11">
        <v>238</v>
      </c>
      <c r="B593" s="11">
        <f t="shared" si="90"/>
        <v>20</v>
      </c>
      <c r="C593" s="354">
        <f t="shared" si="79"/>
        <v>0</v>
      </c>
      <c r="D593" s="300">
        <f t="shared" si="81"/>
        <v>133098.31121772164</v>
      </c>
      <c r="E593" s="354">
        <f t="shared" si="91"/>
        <v>0.13400000000000001</v>
      </c>
      <c r="F593" s="354">
        <f t="shared" si="80"/>
        <v>0.03</v>
      </c>
      <c r="H593" s="436">
        <f t="shared" si="82"/>
        <v>66296.876387449534</v>
      </c>
      <c r="I593" s="302">
        <f t="shared" si="83"/>
        <v>0</v>
      </c>
      <c r="K593" s="426">
        <f t="shared" si="92"/>
        <v>66802.287800476537</v>
      </c>
      <c r="L593" s="10">
        <f t="shared" si="93"/>
        <v>66802.287800476537</v>
      </c>
      <c r="M593" s="436">
        <f t="shared" si="94"/>
        <v>66802.287800476537</v>
      </c>
      <c r="N593" s="301">
        <f t="shared" si="84"/>
        <v>505.4114130269964</v>
      </c>
      <c r="O593" s="302">
        <f t="shared" si="85"/>
        <v>66802.287800476508</v>
      </c>
      <c r="P593" s="436">
        <f t="shared" si="86"/>
        <v>0</v>
      </c>
      <c r="Q593" s="11">
        <f t="shared" si="95"/>
        <v>0</v>
      </c>
      <c r="R593" s="426">
        <f t="shared" si="96"/>
        <v>286385.4290788928</v>
      </c>
      <c r="S593" s="354">
        <f>+Hirdetmény!$AA$46</f>
        <v>0.13400000000000001</v>
      </c>
      <c r="T593" s="302">
        <f t="shared" si="87"/>
        <v>140792.66007640274</v>
      </c>
      <c r="U593" s="302">
        <f t="shared" si="97"/>
        <v>4836.407486246645</v>
      </c>
      <c r="V593" s="302">
        <f t="shared" si="98"/>
        <v>145629.06756264938</v>
      </c>
      <c r="W593" s="302">
        <f t="shared" si="99"/>
        <v>145629.06756264938</v>
      </c>
      <c r="AA593" s="10">
        <f t="shared" si="100"/>
        <v>178180.67831780185</v>
      </c>
      <c r="AB593" s="354">
        <f>+paraméterek!$B$346</f>
        <v>6.4600000000000005E-2</v>
      </c>
      <c r="AC593" s="302">
        <f t="shared" si="88"/>
        <v>88365.560570495203</v>
      </c>
      <c r="AD593" s="302">
        <f t="shared" si="103"/>
        <v>1454.8365200803603</v>
      </c>
      <c r="AE593" s="302">
        <f t="shared" si="101"/>
        <v>89820.39709057557</v>
      </c>
      <c r="AF593" s="478">
        <f t="shared" si="89"/>
        <v>89820.39709057557</v>
      </c>
      <c r="AI593" s="543">
        <f t="shared" si="102"/>
        <v>146437.06756264938</v>
      </c>
      <c r="AJ593" s="543"/>
      <c r="AK593" s="300"/>
      <c r="AL593" s="543"/>
      <c r="AM593" s="10"/>
    </row>
    <row r="594" spans="1:39" s="11" customFormat="1" ht="13.8" hidden="1" x14ac:dyDescent="0.25">
      <c r="A594" s="11">
        <v>239</v>
      </c>
      <c r="B594" s="11">
        <f t="shared" si="90"/>
        <v>20</v>
      </c>
      <c r="C594" s="354">
        <f t="shared" si="79"/>
        <v>0</v>
      </c>
      <c r="D594" s="300">
        <f t="shared" si="81"/>
        <v>66633.390664428909</v>
      </c>
      <c r="E594" s="354">
        <f t="shared" si="91"/>
        <v>0.13400000000000001</v>
      </c>
      <c r="F594" s="354">
        <f t="shared" si="80"/>
        <v>0.03</v>
      </c>
      <c r="H594" s="436">
        <f t="shared" si="82"/>
        <v>66464.92055329273</v>
      </c>
      <c r="I594" s="302">
        <f t="shared" si="83"/>
        <v>0</v>
      </c>
      <c r="K594" s="426">
        <f t="shared" si="92"/>
        <v>66802.287800476537</v>
      </c>
      <c r="L594" s="10">
        <f t="shared" si="93"/>
        <v>66802.287800476537</v>
      </c>
      <c r="M594" s="436">
        <f t="shared" si="94"/>
        <v>66802.287800476537</v>
      </c>
      <c r="N594" s="301">
        <f t="shared" si="84"/>
        <v>337.36724718380833</v>
      </c>
      <c r="O594" s="302">
        <f t="shared" si="85"/>
        <v>66802.287800476508</v>
      </c>
      <c r="P594" s="436">
        <f t="shared" si="86"/>
        <v>0</v>
      </c>
      <c r="Q594" s="11">
        <f t="shared" si="95"/>
        <v>0</v>
      </c>
      <c r="R594" s="426">
        <f t="shared" si="96"/>
        <v>143998.74839963421</v>
      </c>
      <c r="S594" s="354">
        <f>+Hirdetmény!$AA$46</f>
        <v>0.13400000000000001</v>
      </c>
      <c r="T594" s="302">
        <f t="shared" si="87"/>
        <v>142386.6806792586</v>
      </c>
      <c r="U594" s="302">
        <f t="shared" si="97"/>
        <v>3242.3868833908909</v>
      </c>
      <c r="V594" s="302">
        <f t="shared" si="98"/>
        <v>145629.06756264949</v>
      </c>
      <c r="W594" s="302">
        <f t="shared" si="99"/>
        <v>145629.06756264949</v>
      </c>
      <c r="AA594" s="10">
        <f t="shared" si="100"/>
        <v>89332.8095175169</v>
      </c>
      <c r="AB594" s="354">
        <f>+paraméterek!$B$346</f>
        <v>6.4600000000000005E-2</v>
      </c>
      <c r="AC594" s="302">
        <f t="shared" si="88"/>
        <v>88847.868800284952</v>
      </c>
      <c r="AD594" s="302">
        <f t="shared" si="103"/>
        <v>972.52829029061365</v>
      </c>
      <c r="AE594" s="302">
        <f t="shared" si="101"/>
        <v>89820.39709057557</v>
      </c>
      <c r="AF594" s="478">
        <f t="shared" si="89"/>
        <v>89820.39709057557</v>
      </c>
      <c r="AI594" s="543">
        <f t="shared" si="102"/>
        <v>146437.06756264949</v>
      </c>
      <c r="AJ594" s="543"/>
      <c r="AK594" s="300"/>
      <c r="AL594" s="543"/>
      <c r="AM594" s="10"/>
    </row>
    <row r="595" spans="1:39" s="11" customFormat="1" ht="13.8" hidden="1" x14ac:dyDescent="0.25">
      <c r="A595" s="11">
        <v>240</v>
      </c>
      <c r="B595" s="11">
        <f t="shared" si="90"/>
        <v>20</v>
      </c>
      <c r="C595" s="354">
        <f t="shared" si="79"/>
        <v>0</v>
      </c>
      <c r="D595" s="300">
        <f t="shared" si="81"/>
        <v>1.151056494563818E-8</v>
      </c>
      <c r="E595" s="354">
        <f t="shared" si="91"/>
        <v>0.13400000000000001</v>
      </c>
      <c r="F595" s="354">
        <f t="shared" si="80"/>
        <v>0.03</v>
      </c>
      <c r="H595" s="436">
        <f t="shared" si="82"/>
        <v>66633.390664417399</v>
      </c>
      <c r="I595" s="302">
        <f t="shared" si="83"/>
        <v>0</v>
      </c>
      <c r="K595" s="426">
        <f t="shared" si="92"/>
        <v>66802.287800476537</v>
      </c>
      <c r="L595" s="10">
        <f t="shared" si="93"/>
        <v>66802.287800476537</v>
      </c>
      <c r="M595" s="436">
        <f t="shared" si="94"/>
        <v>66802.287800476537</v>
      </c>
      <c r="N595" s="301">
        <f t="shared" si="84"/>
        <v>168.89713605914272</v>
      </c>
      <c r="O595" s="302">
        <f t="shared" si="85"/>
        <v>66802.287800476508</v>
      </c>
      <c r="P595" s="436">
        <f t="shared" si="86"/>
        <v>0</v>
      </c>
      <c r="Q595" s="11">
        <f t="shared" si="95"/>
        <v>0</v>
      </c>
      <c r="R595" s="426">
        <f t="shared" si="96"/>
        <v>0</v>
      </c>
      <c r="S595" s="354">
        <f>+Hirdetmény!$AA$46</f>
        <v>0.13400000000000001</v>
      </c>
      <c r="T595" s="302">
        <f t="shared" si="87"/>
        <v>143998.74839963418</v>
      </c>
      <c r="U595" s="302">
        <f t="shared" si="97"/>
        <v>1630.319163015303</v>
      </c>
      <c r="V595" s="302">
        <f t="shared" si="98"/>
        <v>145629.06756264949</v>
      </c>
      <c r="W595" s="302">
        <f t="shared" si="99"/>
        <v>145629.06756264949</v>
      </c>
      <c r="AA595" s="10">
        <f t="shared" si="100"/>
        <v>0</v>
      </c>
      <c r="AB595" s="354">
        <f>+paraméterek!$B$346</f>
        <v>6.4600000000000005E-2</v>
      </c>
      <c r="AC595" s="302">
        <f t="shared" si="88"/>
        <v>89332.8095175169</v>
      </c>
      <c r="AD595" s="302">
        <f t="shared" si="103"/>
        <v>487.58757305868778</v>
      </c>
      <c r="AE595" s="302">
        <f t="shared" si="101"/>
        <v>89820.397090575585</v>
      </c>
      <c r="AF595" s="478">
        <f t="shared" si="89"/>
        <v>89820.397090575585</v>
      </c>
      <c r="AI595" s="543">
        <f t="shared" si="102"/>
        <v>146437.06756264949</v>
      </c>
      <c r="AJ595" s="543"/>
      <c r="AK595" s="300"/>
      <c r="AL595" s="543"/>
      <c r="AM595" s="10"/>
    </row>
    <row r="596" spans="1:39" s="11" customFormat="1" ht="13.8" hidden="1" x14ac:dyDescent="0.25">
      <c r="A596" s="11">
        <v>241</v>
      </c>
      <c r="B596" s="11">
        <f t="shared" si="90"/>
        <v>21</v>
      </c>
      <c r="C596" s="354">
        <f t="shared" si="79"/>
        <v>0</v>
      </c>
      <c r="D596" s="300">
        <f t="shared" si="81"/>
        <v>1.151056494563818E-8</v>
      </c>
      <c r="E596" s="354">
        <f t="shared" si="91"/>
        <v>0.13400000000000001</v>
      </c>
      <c r="F596" s="354">
        <f t="shared" si="80"/>
        <v>0.03</v>
      </c>
      <c r="H596" s="436">
        <f t="shared" si="82"/>
        <v>0</v>
      </c>
      <c r="I596" s="302">
        <f t="shared" si="83"/>
        <v>0</v>
      </c>
      <c r="K596" s="426">
        <f t="shared" si="92"/>
        <v>2.9176084758041223E-11</v>
      </c>
      <c r="L596" s="10">
        <f t="shared" si="93"/>
        <v>2.9176084758041223E-11</v>
      </c>
      <c r="M596" s="436">
        <f t="shared" si="94"/>
        <v>2.9176084758041223E-11</v>
      </c>
      <c r="N596" s="301">
        <f t="shared" si="84"/>
        <v>2.9176084758041223E-11</v>
      </c>
      <c r="O596" s="302">
        <f t="shared" si="85"/>
        <v>0</v>
      </c>
      <c r="P596" s="436">
        <f t="shared" si="86"/>
        <v>0</v>
      </c>
      <c r="Q596" s="11">
        <f t="shared" si="95"/>
        <v>0</v>
      </c>
      <c r="R596" s="426">
        <f t="shared" si="96"/>
        <v>0</v>
      </c>
      <c r="S596" s="354">
        <f>+Hirdetmény!$AA$46</f>
        <v>0.13400000000000001</v>
      </c>
      <c r="T596" s="302">
        <f t="shared" si="87"/>
        <v>0</v>
      </c>
      <c r="U596" s="302">
        <f t="shared" si="97"/>
        <v>0</v>
      </c>
      <c r="V596" s="302">
        <f t="shared" si="98"/>
        <v>0</v>
      </c>
      <c r="W596" s="302">
        <f t="shared" si="99"/>
        <v>0</v>
      </c>
      <c r="AA596" s="10">
        <f t="shared" si="100"/>
        <v>0</v>
      </c>
      <c r="AB596" s="354">
        <f>+paraméterek!$B$346</f>
        <v>6.4600000000000005E-2</v>
      </c>
      <c r="AC596" s="302">
        <f t="shared" si="88"/>
        <v>0</v>
      </c>
      <c r="AD596" s="302">
        <f t="shared" si="103"/>
        <v>0</v>
      </c>
      <c r="AE596" s="302">
        <f t="shared" si="101"/>
        <v>0</v>
      </c>
      <c r="AF596" s="478">
        <f t="shared" si="89"/>
        <v>0</v>
      </c>
      <c r="AI596" s="543">
        <f t="shared" si="102"/>
        <v>0</v>
      </c>
      <c r="AJ596" s="543"/>
      <c r="AK596" s="300"/>
      <c r="AL596" s="543"/>
      <c r="AM596" s="10"/>
    </row>
    <row r="597" spans="1:39" s="11" customFormat="1" ht="13.8" hidden="1" x14ac:dyDescent="0.25">
      <c r="A597" s="11">
        <v>242</v>
      </c>
      <c r="B597" s="11">
        <f t="shared" si="90"/>
        <v>21</v>
      </c>
      <c r="C597" s="354">
        <f t="shared" si="79"/>
        <v>0</v>
      </c>
      <c r="D597" s="300">
        <f t="shared" si="81"/>
        <v>1.151056494563818E-8</v>
      </c>
      <c r="E597" s="354">
        <f t="shared" si="91"/>
        <v>0.13400000000000001</v>
      </c>
      <c r="F597" s="354">
        <f t="shared" si="80"/>
        <v>0.03</v>
      </c>
      <c r="H597" s="436">
        <f t="shared" si="82"/>
        <v>0</v>
      </c>
      <c r="I597" s="302">
        <f t="shared" si="83"/>
        <v>0</v>
      </c>
      <c r="K597" s="426">
        <f t="shared" si="92"/>
        <v>2.9176084758041223E-11</v>
      </c>
      <c r="L597" s="10">
        <f t="shared" si="93"/>
        <v>2.9176084758041223E-11</v>
      </c>
      <c r="M597" s="436">
        <f t="shared" si="94"/>
        <v>2.9176084758041223E-11</v>
      </c>
      <c r="N597" s="301">
        <f t="shared" si="84"/>
        <v>2.9176084758041223E-11</v>
      </c>
      <c r="O597" s="302">
        <f t="shared" si="85"/>
        <v>0</v>
      </c>
      <c r="P597" s="436">
        <f t="shared" si="86"/>
        <v>0</v>
      </c>
      <c r="Q597" s="11">
        <f t="shared" si="95"/>
        <v>0</v>
      </c>
      <c r="R597" s="426">
        <f t="shared" si="96"/>
        <v>0</v>
      </c>
      <c r="S597" s="354">
        <f>+Hirdetmény!$AA$46</f>
        <v>0.13400000000000001</v>
      </c>
      <c r="T597" s="302">
        <f t="shared" si="87"/>
        <v>0</v>
      </c>
      <c r="U597" s="302">
        <f t="shared" si="97"/>
        <v>0</v>
      </c>
      <c r="V597" s="302">
        <f t="shared" si="98"/>
        <v>0</v>
      </c>
      <c r="W597" s="302">
        <f t="shared" si="99"/>
        <v>0</v>
      </c>
      <c r="AA597" s="10">
        <f t="shared" si="100"/>
        <v>0</v>
      </c>
      <c r="AB597" s="354">
        <f>+paraméterek!$B$346</f>
        <v>6.4600000000000005E-2</v>
      </c>
      <c r="AC597" s="302">
        <f t="shared" si="88"/>
        <v>0</v>
      </c>
      <c r="AD597" s="302">
        <f t="shared" si="103"/>
        <v>0</v>
      </c>
      <c r="AE597" s="302">
        <f t="shared" si="101"/>
        <v>0</v>
      </c>
      <c r="AF597" s="478">
        <f t="shared" si="89"/>
        <v>0</v>
      </c>
      <c r="AI597" s="543">
        <f t="shared" si="102"/>
        <v>0</v>
      </c>
      <c r="AJ597" s="543"/>
      <c r="AK597" s="300"/>
      <c r="AL597" s="543"/>
      <c r="AM597" s="10"/>
    </row>
    <row r="598" spans="1:39" s="11" customFormat="1" ht="13.8" hidden="1" x14ac:dyDescent="0.25">
      <c r="A598" s="11">
        <v>243</v>
      </c>
      <c r="B598" s="11">
        <f t="shared" si="90"/>
        <v>21</v>
      </c>
      <c r="C598" s="354">
        <f t="shared" si="79"/>
        <v>0</v>
      </c>
      <c r="D598" s="300">
        <f t="shared" si="81"/>
        <v>1.151056494563818E-8</v>
      </c>
      <c r="E598" s="354">
        <f t="shared" si="91"/>
        <v>0.13400000000000001</v>
      </c>
      <c r="F598" s="354">
        <f t="shared" si="80"/>
        <v>0.03</v>
      </c>
      <c r="H598" s="436">
        <f t="shared" si="82"/>
        <v>0</v>
      </c>
      <c r="I598" s="302">
        <f t="shared" si="83"/>
        <v>0</v>
      </c>
      <c r="K598" s="426">
        <f t="shared" si="92"/>
        <v>2.9176084758041223E-11</v>
      </c>
      <c r="L598" s="10">
        <f t="shared" si="93"/>
        <v>2.9176084758041223E-11</v>
      </c>
      <c r="M598" s="436">
        <f t="shared" si="94"/>
        <v>2.9176084758041223E-11</v>
      </c>
      <c r="N598" s="301">
        <f t="shared" si="84"/>
        <v>2.9176084758041223E-11</v>
      </c>
      <c r="O598" s="302">
        <f t="shared" si="85"/>
        <v>0</v>
      </c>
      <c r="P598" s="436">
        <f t="shared" si="86"/>
        <v>0</v>
      </c>
      <c r="Q598" s="11">
        <f t="shared" si="95"/>
        <v>0</v>
      </c>
      <c r="R598" s="426">
        <f t="shared" si="96"/>
        <v>0</v>
      </c>
      <c r="S598" s="354">
        <f>+Hirdetmény!$AA$46</f>
        <v>0.13400000000000001</v>
      </c>
      <c r="T598" s="302">
        <f t="shared" si="87"/>
        <v>0</v>
      </c>
      <c r="U598" s="302">
        <f t="shared" si="97"/>
        <v>0</v>
      </c>
      <c r="V598" s="302">
        <f t="shared" si="98"/>
        <v>0</v>
      </c>
      <c r="W598" s="302">
        <f t="shared" si="99"/>
        <v>0</v>
      </c>
      <c r="AA598" s="10">
        <f t="shared" si="100"/>
        <v>0</v>
      </c>
      <c r="AB598" s="354">
        <f>+paraméterek!$B$346</f>
        <v>6.4600000000000005E-2</v>
      </c>
      <c r="AC598" s="302">
        <f t="shared" si="88"/>
        <v>0</v>
      </c>
      <c r="AD598" s="302">
        <f t="shared" si="103"/>
        <v>0</v>
      </c>
      <c r="AE598" s="302">
        <f t="shared" si="101"/>
        <v>0</v>
      </c>
      <c r="AF598" s="478">
        <f t="shared" si="89"/>
        <v>0</v>
      </c>
      <c r="AI598" s="543">
        <f t="shared" si="102"/>
        <v>0</v>
      </c>
      <c r="AJ598" s="543"/>
      <c r="AK598" s="300"/>
      <c r="AL598" s="543"/>
      <c r="AM598" s="10"/>
    </row>
    <row r="599" spans="1:39" s="11" customFormat="1" ht="13.8" hidden="1" x14ac:dyDescent="0.25">
      <c r="A599" s="11">
        <v>244</v>
      </c>
      <c r="B599" s="11">
        <f t="shared" si="90"/>
        <v>21</v>
      </c>
      <c r="C599" s="354">
        <f t="shared" si="79"/>
        <v>0</v>
      </c>
      <c r="D599" s="300">
        <f t="shared" si="81"/>
        <v>1.151056494563818E-8</v>
      </c>
      <c r="E599" s="354">
        <f t="shared" si="91"/>
        <v>0.13400000000000001</v>
      </c>
      <c r="F599" s="354">
        <f t="shared" si="80"/>
        <v>0.03</v>
      </c>
      <c r="H599" s="436">
        <f t="shared" si="82"/>
        <v>0</v>
      </c>
      <c r="I599" s="302">
        <f t="shared" si="83"/>
        <v>0</v>
      </c>
      <c r="K599" s="426">
        <f t="shared" si="92"/>
        <v>2.9176084758041223E-11</v>
      </c>
      <c r="L599" s="10">
        <f t="shared" si="93"/>
        <v>2.9176084758041223E-11</v>
      </c>
      <c r="M599" s="436">
        <f t="shared" si="94"/>
        <v>2.9176084758041223E-11</v>
      </c>
      <c r="N599" s="301">
        <f t="shared" si="84"/>
        <v>2.9176084758041223E-11</v>
      </c>
      <c r="O599" s="302">
        <f t="shared" si="85"/>
        <v>0</v>
      </c>
      <c r="P599" s="436">
        <f t="shared" si="86"/>
        <v>0</v>
      </c>
      <c r="Q599" s="11">
        <f t="shared" si="95"/>
        <v>0</v>
      </c>
      <c r="R599" s="426">
        <f t="shared" si="96"/>
        <v>0</v>
      </c>
      <c r="S599" s="354">
        <f>+Hirdetmény!$AA$46</f>
        <v>0.13400000000000001</v>
      </c>
      <c r="T599" s="302">
        <f t="shared" si="87"/>
        <v>0</v>
      </c>
      <c r="U599" s="302">
        <f t="shared" si="97"/>
        <v>0</v>
      </c>
      <c r="V599" s="302">
        <f t="shared" si="98"/>
        <v>0</v>
      </c>
      <c r="W599" s="302">
        <f t="shared" si="99"/>
        <v>0</v>
      </c>
      <c r="AA599" s="10">
        <f t="shared" si="100"/>
        <v>0</v>
      </c>
      <c r="AB599" s="354">
        <f>+paraméterek!$B$346</f>
        <v>6.4600000000000005E-2</v>
      </c>
      <c r="AC599" s="302">
        <f t="shared" si="88"/>
        <v>0</v>
      </c>
      <c r="AD599" s="302">
        <f t="shared" si="103"/>
        <v>0</v>
      </c>
      <c r="AE599" s="302">
        <f t="shared" si="101"/>
        <v>0</v>
      </c>
      <c r="AF599" s="478">
        <f t="shared" si="89"/>
        <v>0</v>
      </c>
      <c r="AI599" s="543">
        <f t="shared" si="102"/>
        <v>0</v>
      </c>
      <c r="AJ599" s="543"/>
      <c r="AK599" s="300"/>
      <c r="AL599" s="543"/>
      <c r="AM599" s="10"/>
    </row>
    <row r="600" spans="1:39" s="11" customFormat="1" ht="13.8" hidden="1" x14ac:dyDescent="0.25">
      <c r="A600" s="11">
        <v>245</v>
      </c>
      <c r="B600" s="11">
        <f t="shared" si="90"/>
        <v>21</v>
      </c>
      <c r="C600" s="354">
        <f t="shared" si="79"/>
        <v>0</v>
      </c>
      <c r="D600" s="300">
        <f t="shared" si="81"/>
        <v>1.151056494563818E-8</v>
      </c>
      <c r="E600" s="354">
        <f t="shared" si="91"/>
        <v>0.13400000000000001</v>
      </c>
      <c r="F600" s="354">
        <f t="shared" si="80"/>
        <v>0.03</v>
      </c>
      <c r="H600" s="436">
        <f t="shared" si="82"/>
        <v>0</v>
      </c>
      <c r="I600" s="302">
        <f t="shared" si="83"/>
        <v>0</v>
      </c>
      <c r="K600" s="426">
        <f t="shared" si="92"/>
        <v>2.9176084758041223E-11</v>
      </c>
      <c r="L600" s="10">
        <f t="shared" si="93"/>
        <v>2.9176084758041223E-11</v>
      </c>
      <c r="M600" s="436">
        <f t="shared" si="94"/>
        <v>2.9176084758041223E-11</v>
      </c>
      <c r="N600" s="301">
        <f t="shared" si="84"/>
        <v>2.9176084758041223E-11</v>
      </c>
      <c r="O600" s="302">
        <f t="shared" si="85"/>
        <v>0</v>
      </c>
      <c r="P600" s="436">
        <f t="shared" si="86"/>
        <v>0</v>
      </c>
      <c r="Q600" s="11">
        <f t="shared" si="95"/>
        <v>0</v>
      </c>
      <c r="R600" s="426">
        <f t="shared" si="96"/>
        <v>0</v>
      </c>
      <c r="S600" s="354">
        <f>+Hirdetmény!$AA$46</f>
        <v>0.13400000000000001</v>
      </c>
      <c r="T600" s="302">
        <f t="shared" si="87"/>
        <v>0</v>
      </c>
      <c r="U600" s="302">
        <f t="shared" si="97"/>
        <v>0</v>
      </c>
      <c r="V600" s="302">
        <f t="shared" si="98"/>
        <v>0</v>
      </c>
      <c r="W600" s="302">
        <f t="shared" si="99"/>
        <v>0</v>
      </c>
      <c r="AA600" s="10">
        <f t="shared" si="100"/>
        <v>0</v>
      </c>
      <c r="AB600" s="354">
        <f>+paraméterek!$B$346</f>
        <v>6.4600000000000005E-2</v>
      </c>
      <c r="AC600" s="302">
        <f t="shared" si="88"/>
        <v>0</v>
      </c>
      <c r="AD600" s="302">
        <f t="shared" si="103"/>
        <v>0</v>
      </c>
      <c r="AE600" s="302">
        <f t="shared" si="101"/>
        <v>0</v>
      </c>
      <c r="AF600" s="478">
        <f t="shared" si="89"/>
        <v>0</v>
      </c>
      <c r="AI600" s="543">
        <f t="shared" si="102"/>
        <v>0</v>
      </c>
      <c r="AJ600" s="543"/>
      <c r="AK600" s="300"/>
      <c r="AL600" s="543"/>
      <c r="AM600" s="10"/>
    </row>
    <row r="601" spans="1:39" s="11" customFormat="1" ht="13.8" hidden="1" x14ac:dyDescent="0.25">
      <c r="A601" s="11">
        <v>246</v>
      </c>
      <c r="B601" s="11">
        <f t="shared" si="90"/>
        <v>21</v>
      </c>
      <c r="C601" s="354">
        <f t="shared" si="79"/>
        <v>0</v>
      </c>
      <c r="D601" s="300">
        <f t="shared" si="81"/>
        <v>1.151056494563818E-8</v>
      </c>
      <c r="E601" s="354">
        <f t="shared" si="91"/>
        <v>0.13400000000000001</v>
      </c>
      <c r="F601" s="354">
        <f t="shared" si="80"/>
        <v>0.03</v>
      </c>
      <c r="H601" s="436">
        <f t="shared" si="82"/>
        <v>0</v>
      </c>
      <c r="I601" s="302">
        <f t="shared" si="83"/>
        <v>0</v>
      </c>
      <c r="K601" s="426">
        <f t="shared" si="92"/>
        <v>2.9176084758041223E-11</v>
      </c>
      <c r="L601" s="10">
        <f t="shared" si="93"/>
        <v>2.9176084758041223E-11</v>
      </c>
      <c r="M601" s="436">
        <f t="shared" si="94"/>
        <v>2.9176084758041223E-11</v>
      </c>
      <c r="N601" s="301">
        <f t="shared" si="84"/>
        <v>2.9176084758041223E-11</v>
      </c>
      <c r="O601" s="302">
        <f t="shared" si="85"/>
        <v>0</v>
      </c>
      <c r="P601" s="436">
        <f t="shared" si="86"/>
        <v>0</v>
      </c>
      <c r="Q601" s="11">
        <f t="shared" si="95"/>
        <v>0</v>
      </c>
      <c r="R601" s="426">
        <f t="shared" si="96"/>
        <v>0</v>
      </c>
      <c r="S601" s="354">
        <f>+Hirdetmény!$AA$46</f>
        <v>0.13400000000000001</v>
      </c>
      <c r="T601" s="302">
        <f t="shared" si="87"/>
        <v>0</v>
      </c>
      <c r="U601" s="302">
        <f t="shared" si="97"/>
        <v>0</v>
      </c>
      <c r="V601" s="302">
        <f t="shared" si="98"/>
        <v>0</v>
      </c>
      <c r="W601" s="302">
        <f t="shared" si="99"/>
        <v>0</v>
      </c>
      <c r="AA601" s="10">
        <f t="shared" si="100"/>
        <v>0</v>
      </c>
      <c r="AB601" s="354">
        <f>+paraméterek!$B$346</f>
        <v>6.4600000000000005E-2</v>
      </c>
      <c r="AC601" s="302">
        <f t="shared" si="88"/>
        <v>0</v>
      </c>
      <c r="AD601" s="302">
        <f t="shared" si="103"/>
        <v>0</v>
      </c>
      <c r="AE601" s="302">
        <f t="shared" si="101"/>
        <v>0</v>
      </c>
      <c r="AF601" s="478">
        <f t="shared" si="89"/>
        <v>0</v>
      </c>
      <c r="AI601" s="543">
        <f t="shared" si="102"/>
        <v>0</v>
      </c>
      <c r="AJ601" s="543"/>
      <c r="AK601" s="300"/>
      <c r="AL601" s="543"/>
      <c r="AM601" s="10"/>
    </row>
    <row r="602" spans="1:39" s="11" customFormat="1" ht="13.8" hidden="1" x14ac:dyDescent="0.25">
      <c r="A602" s="11">
        <v>247</v>
      </c>
      <c r="B602" s="11">
        <f t="shared" si="90"/>
        <v>21</v>
      </c>
      <c r="C602" s="354">
        <f t="shared" si="79"/>
        <v>0</v>
      </c>
      <c r="D602" s="300">
        <f t="shared" si="81"/>
        <v>1.151056494563818E-8</v>
      </c>
      <c r="E602" s="354">
        <f t="shared" si="91"/>
        <v>0.13400000000000001</v>
      </c>
      <c r="F602" s="354">
        <f t="shared" si="80"/>
        <v>0.03</v>
      </c>
      <c r="H602" s="436">
        <f t="shared" si="82"/>
        <v>0</v>
      </c>
      <c r="I602" s="302">
        <f t="shared" si="83"/>
        <v>0</v>
      </c>
      <c r="K602" s="426">
        <f t="shared" si="92"/>
        <v>2.9176084758041223E-11</v>
      </c>
      <c r="L602" s="10">
        <f t="shared" si="93"/>
        <v>2.9176084758041223E-11</v>
      </c>
      <c r="M602" s="436">
        <f t="shared" si="94"/>
        <v>2.9176084758041223E-11</v>
      </c>
      <c r="N602" s="301">
        <f t="shared" si="84"/>
        <v>2.9176084758041223E-11</v>
      </c>
      <c r="O602" s="302">
        <f t="shared" si="85"/>
        <v>0</v>
      </c>
      <c r="P602" s="436">
        <f t="shared" si="86"/>
        <v>0</v>
      </c>
      <c r="Q602" s="11">
        <f t="shared" si="95"/>
        <v>0</v>
      </c>
      <c r="R602" s="426">
        <f t="shared" si="96"/>
        <v>0</v>
      </c>
      <c r="S602" s="354">
        <f>+Hirdetmény!$AA$46</f>
        <v>0.13400000000000001</v>
      </c>
      <c r="T602" s="302">
        <f t="shared" si="87"/>
        <v>0</v>
      </c>
      <c r="U602" s="302">
        <f t="shared" si="97"/>
        <v>0</v>
      </c>
      <c r="V602" s="302">
        <f t="shared" si="98"/>
        <v>0</v>
      </c>
      <c r="W602" s="302">
        <f t="shared" si="99"/>
        <v>0</v>
      </c>
      <c r="AA602" s="10">
        <f t="shared" si="100"/>
        <v>0</v>
      </c>
      <c r="AB602" s="354">
        <f>+paraméterek!$B$346</f>
        <v>6.4600000000000005E-2</v>
      </c>
      <c r="AC602" s="302">
        <f t="shared" si="88"/>
        <v>0</v>
      </c>
      <c r="AD602" s="302">
        <f t="shared" si="103"/>
        <v>0</v>
      </c>
      <c r="AE602" s="302">
        <f t="shared" si="101"/>
        <v>0</v>
      </c>
      <c r="AF602" s="478">
        <f t="shared" si="89"/>
        <v>0</v>
      </c>
      <c r="AI602" s="543">
        <f t="shared" si="102"/>
        <v>0</v>
      </c>
      <c r="AJ602" s="543"/>
      <c r="AK602" s="300"/>
      <c r="AL602" s="543"/>
      <c r="AM602" s="10"/>
    </row>
    <row r="603" spans="1:39" s="11" customFormat="1" ht="13.8" hidden="1" x14ac:dyDescent="0.25">
      <c r="A603" s="11">
        <v>248</v>
      </c>
      <c r="B603" s="11">
        <f t="shared" si="90"/>
        <v>21</v>
      </c>
      <c r="C603" s="354">
        <f t="shared" si="79"/>
        <v>0</v>
      </c>
      <c r="D603" s="300">
        <f t="shared" si="81"/>
        <v>1.151056494563818E-8</v>
      </c>
      <c r="E603" s="354">
        <f t="shared" si="91"/>
        <v>0.13400000000000001</v>
      </c>
      <c r="F603" s="354">
        <f t="shared" si="80"/>
        <v>0.03</v>
      </c>
      <c r="H603" s="436">
        <f t="shared" si="82"/>
        <v>0</v>
      </c>
      <c r="I603" s="302">
        <f t="shared" si="83"/>
        <v>0</v>
      </c>
      <c r="K603" s="426">
        <f t="shared" si="92"/>
        <v>2.9176084758041223E-11</v>
      </c>
      <c r="L603" s="10">
        <f t="shared" si="93"/>
        <v>2.9176084758041223E-11</v>
      </c>
      <c r="M603" s="436">
        <f t="shared" si="94"/>
        <v>2.9176084758041223E-11</v>
      </c>
      <c r="N603" s="301">
        <f t="shared" si="84"/>
        <v>2.9176084758041223E-11</v>
      </c>
      <c r="O603" s="302">
        <f t="shared" si="85"/>
        <v>0</v>
      </c>
      <c r="P603" s="436">
        <f t="shared" si="86"/>
        <v>0</v>
      </c>
      <c r="Q603" s="11">
        <f t="shared" si="95"/>
        <v>0</v>
      </c>
      <c r="R603" s="426">
        <f t="shared" si="96"/>
        <v>0</v>
      </c>
      <c r="S603" s="354">
        <f>+Hirdetmény!$AA$46</f>
        <v>0.13400000000000001</v>
      </c>
      <c r="T603" s="302">
        <f t="shared" si="87"/>
        <v>0</v>
      </c>
      <c r="U603" s="302">
        <f t="shared" si="97"/>
        <v>0</v>
      </c>
      <c r="V603" s="302">
        <f t="shared" si="98"/>
        <v>0</v>
      </c>
      <c r="W603" s="302">
        <f t="shared" si="99"/>
        <v>0</v>
      </c>
      <c r="AA603" s="10">
        <f t="shared" si="100"/>
        <v>0</v>
      </c>
      <c r="AB603" s="354">
        <f>+paraméterek!$B$346</f>
        <v>6.4600000000000005E-2</v>
      </c>
      <c r="AC603" s="302">
        <f t="shared" si="88"/>
        <v>0</v>
      </c>
      <c r="AD603" s="302">
        <f t="shared" si="103"/>
        <v>0</v>
      </c>
      <c r="AE603" s="302">
        <f t="shared" si="101"/>
        <v>0</v>
      </c>
      <c r="AF603" s="478">
        <f t="shared" si="89"/>
        <v>0</v>
      </c>
      <c r="AI603" s="543">
        <f t="shared" si="102"/>
        <v>0</v>
      </c>
      <c r="AJ603" s="543"/>
      <c r="AK603" s="300"/>
      <c r="AL603" s="543"/>
      <c r="AM603" s="10"/>
    </row>
    <row r="604" spans="1:39" s="11" customFormat="1" ht="13.8" hidden="1" x14ac:dyDescent="0.25">
      <c r="A604" s="11">
        <v>249</v>
      </c>
      <c r="B604" s="11">
        <f t="shared" si="90"/>
        <v>21</v>
      </c>
      <c r="C604" s="354">
        <f t="shared" si="79"/>
        <v>0</v>
      </c>
      <c r="D604" s="300">
        <f t="shared" si="81"/>
        <v>1.151056494563818E-8</v>
      </c>
      <c r="E604" s="354">
        <f t="shared" si="91"/>
        <v>0.13400000000000001</v>
      </c>
      <c r="F604" s="354">
        <f t="shared" si="80"/>
        <v>0.03</v>
      </c>
      <c r="H604" s="436">
        <f t="shared" si="82"/>
        <v>0</v>
      </c>
      <c r="I604" s="302">
        <f t="shared" si="83"/>
        <v>0</v>
      </c>
      <c r="K604" s="426">
        <f t="shared" si="92"/>
        <v>2.9176084758041223E-11</v>
      </c>
      <c r="L604" s="10">
        <f t="shared" si="93"/>
        <v>2.9176084758041223E-11</v>
      </c>
      <c r="M604" s="436">
        <f t="shared" si="94"/>
        <v>2.9176084758041223E-11</v>
      </c>
      <c r="N604" s="301">
        <f t="shared" si="84"/>
        <v>2.9176084758041223E-11</v>
      </c>
      <c r="O604" s="302">
        <f t="shared" si="85"/>
        <v>0</v>
      </c>
      <c r="P604" s="436">
        <f t="shared" si="86"/>
        <v>0</v>
      </c>
      <c r="Q604" s="11">
        <f t="shared" si="95"/>
        <v>0</v>
      </c>
      <c r="R604" s="426">
        <f t="shared" si="96"/>
        <v>0</v>
      </c>
      <c r="S604" s="354">
        <f>+Hirdetmény!$AA$46</f>
        <v>0.13400000000000001</v>
      </c>
      <c r="T604" s="302">
        <f t="shared" si="87"/>
        <v>0</v>
      </c>
      <c r="U604" s="302">
        <f t="shared" si="97"/>
        <v>0</v>
      </c>
      <c r="V604" s="302">
        <f t="shared" si="98"/>
        <v>0</v>
      </c>
      <c r="W604" s="302">
        <f t="shared" si="99"/>
        <v>0</v>
      </c>
      <c r="AA604" s="10">
        <f t="shared" si="100"/>
        <v>0</v>
      </c>
      <c r="AB604" s="354">
        <f>+paraméterek!$B$346</f>
        <v>6.4600000000000005E-2</v>
      </c>
      <c r="AC604" s="302">
        <f t="shared" si="88"/>
        <v>0</v>
      </c>
      <c r="AD604" s="302">
        <f t="shared" si="103"/>
        <v>0</v>
      </c>
      <c r="AE604" s="302">
        <f t="shared" si="101"/>
        <v>0</v>
      </c>
      <c r="AF604" s="478">
        <f t="shared" si="89"/>
        <v>0</v>
      </c>
      <c r="AI604" s="543">
        <f t="shared" si="102"/>
        <v>0</v>
      </c>
      <c r="AJ604" s="543"/>
      <c r="AK604" s="300"/>
      <c r="AL604" s="543"/>
      <c r="AM604" s="10"/>
    </row>
    <row r="605" spans="1:39" s="11" customFormat="1" ht="13.8" hidden="1" x14ac:dyDescent="0.25">
      <c r="A605" s="11">
        <v>250</v>
      </c>
      <c r="B605" s="11">
        <f t="shared" si="90"/>
        <v>21</v>
      </c>
      <c r="C605" s="354">
        <f t="shared" si="79"/>
        <v>0</v>
      </c>
      <c r="D605" s="300">
        <f t="shared" si="81"/>
        <v>1.151056494563818E-8</v>
      </c>
      <c r="E605" s="354">
        <f t="shared" si="91"/>
        <v>0.13400000000000001</v>
      </c>
      <c r="F605" s="354">
        <f t="shared" si="80"/>
        <v>0.03</v>
      </c>
      <c r="H605" s="436">
        <f t="shared" si="82"/>
        <v>0</v>
      </c>
      <c r="I605" s="302">
        <f t="shared" si="83"/>
        <v>0</v>
      </c>
      <c r="K605" s="426">
        <f t="shared" si="92"/>
        <v>2.9176084758041223E-11</v>
      </c>
      <c r="L605" s="10">
        <f t="shared" si="93"/>
        <v>2.9176084758041223E-11</v>
      </c>
      <c r="M605" s="436">
        <f t="shared" si="94"/>
        <v>2.9176084758041223E-11</v>
      </c>
      <c r="N605" s="301">
        <f t="shared" si="84"/>
        <v>2.9176084758041223E-11</v>
      </c>
      <c r="O605" s="302">
        <f t="shared" si="85"/>
        <v>0</v>
      </c>
      <c r="P605" s="436">
        <f t="shared" si="86"/>
        <v>0</v>
      </c>
      <c r="Q605" s="11">
        <f t="shared" si="95"/>
        <v>0</v>
      </c>
      <c r="R605" s="426">
        <f t="shared" si="96"/>
        <v>0</v>
      </c>
      <c r="S605" s="354">
        <f>+Hirdetmény!$AA$46</f>
        <v>0.13400000000000001</v>
      </c>
      <c r="T605" s="302">
        <f t="shared" si="87"/>
        <v>0</v>
      </c>
      <c r="U605" s="302">
        <f t="shared" si="97"/>
        <v>0</v>
      </c>
      <c r="V605" s="302">
        <f t="shared" si="98"/>
        <v>0</v>
      </c>
      <c r="W605" s="302">
        <f t="shared" si="99"/>
        <v>0</v>
      </c>
      <c r="AA605" s="10">
        <f t="shared" si="100"/>
        <v>0</v>
      </c>
      <c r="AB605" s="354">
        <f>+paraméterek!$B$346</f>
        <v>6.4600000000000005E-2</v>
      </c>
      <c r="AC605" s="302">
        <f t="shared" si="88"/>
        <v>0</v>
      </c>
      <c r="AD605" s="302">
        <f t="shared" si="103"/>
        <v>0</v>
      </c>
      <c r="AE605" s="302">
        <f t="shared" si="101"/>
        <v>0</v>
      </c>
      <c r="AF605" s="478">
        <f t="shared" si="89"/>
        <v>0</v>
      </c>
      <c r="AI605" s="543">
        <f t="shared" si="102"/>
        <v>0</v>
      </c>
      <c r="AJ605" s="543"/>
      <c r="AK605" s="300"/>
      <c r="AL605" s="543"/>
      <c r="AM605" s="10"/>
    </row>
    <row r="606" spans="1:39" s="11" customFormat="1" ht="13.8" hidden="1" x14ac:dyDescent="0.25">
      <c r="A606" s="11">
        <v>251</v>
      </c>
      <c r="B606" s="11">
        <f t="shared" si="90"/>
        <v>21</v>
      </c>
      <c r="C606" s="354">
        <f t="shared" si="79"/>
        <v>0</v>
      </c>
      <c r="D606" s="300">
        <f t="shared" si="81"/>
        <v>1.151056494563818E-8</v>
      </c>
      <c r="E606" s="354">
        <f t="shared" si="91"/>
        <v>0.13400000000000001</v>
      </c>
      <c r="F606" s="354">
        <f t="shared" si="80"/>
        <v>0.03</v>
      </c>
      <c r="H606" s="436">
        <f t="shared" si="82"/>
        <v>0</v>
      </c>
      <c r="I606" s="302">
        <f t="shared" si="83"/>
        <v>0</v>
      </c>
      <c r="K606" s="426">
        <f t="shared" si="92"/>
        <v>2.9176084758041223E-11</v>
      </c>
      <c r="L606" s="10">
        <f t="shared" si="93"/>
        <v>2.9176084758041223E-11</v>
      </c>
      <c r="M606" s="436">
        <f t="shared" si="94"/>
        <v>2.9176084758041223E-11</v>
      </c>
      <c r="N606" s="301">
        <f t="shared" si="84"/>
        <v>2.9176084758041223E-11</v>
      </c>
      <c r="O606" s="302">
        <f t="shared" si="85"/>
        <v>0</v>
      </c>
      <c r="P606" s="436">
        <f t="shared" si="86"/>
        <v>0</v>
      </c>
      <c r="Q606" s="11">
        <f t="shared" si="95"/>
        <v>0</v>
      </c>
      <c r="R606" s="426">
        <f t="shared" si="96"/>
        <v>0</v>
      </c>
      <c r="S606" s="354">
        <f>+Hirdetmény!$AA$46</f>
        <v>0.13400000000000001</v>
      </c>
      <c r="T606" s="302">
        <f t="shared" si="87"/>
        <v>0</v>
      </c>
      <c r="U606" s="302">
        <f t="shared" si="97"/>
        <v>0</v>
      </c>
      <c r="V606" s="302">
        <f t="shared" si="98"/>
        <v>0</v>
      </c>
      <c r="W606" s="302">
        <f t="shared" si="99"/>
        <v>0</v>
      </c>
      <c r="AA606" s="10">
        <f t="shared" si="100"/>
        <v>0</v>
      </c>
      <c r="AB606" s="354">
        <f>+paraméterek!$B$346</f>
        <v>6.4600000000000005E-2</v>
      </c>
      <c r="AC606" s="302">
        <f t="shared" si="88"/>
        <v>0</v>
      </c>
      <c r="AD606" s="302">
        <f t="shared" si="103"/>
        <v>0</v>
      </c>
      <c r="AE606" s="302">
        <f t="shared" si="101"/>
        <v>0</v>
      </c>
      <c r="AF606" s="478">
        <f t="shared" si="89"/>
        <v>0</v>
      </c>
      <c r="AI606" s="543">
        <f t="shared" si="102"/>
        <v>0</v>
      </c>
      <c r="AJ606" s="543"/>
      <c r="AK606" s="300"/>
      <c r="AL606" s="543"/>
      <c r="AM606" s="10"/>
    </row>
    <row r="607" spans="1:39" s="11" customFormat="1" ht="13.8" hidden="1" x14ac:dyDescent="0.25">
      <c r="A607" s="11">
        <v>252</v>
      </c>
      <c r="B607" s="11">
        <f t="shared" si="90"/>
        <v>21</v>
      </c>
      <c r="C607" s="354">
        <f t="shared" si="79"/>
        <v>0</v>
      </c>
      <c r="D607" s="300">
        <f t="shared" si="81"/>
        <v>1.151056494563818E-8</v>
      </c>
      <c r="E607" s="354">
        <f t="shared" si="91"/>
        <v>0.13400000000000001</v>
      </c>
      <c r="F607" s="354">
        <f t="shared" si="80"/>
        <v>0.03</v>
      </c>
      <c r="H607" s="436">
        <f t="shared" si="82"/>
        <v>0</v>
      </c>
      <c r="I607" s="302">
        <f t="shared" si="83"/>
        <v>0</v>
      </c>
      <c r="K607" s="426">
        <f t="shared" si="92"/>
        <v>2.9176084758041223E-11</v>
      </c>
      <c r="L607" s="10">
        <f t="shared" si="93"/>
        <v>2.9176084758041223E-11</v>
      </c>
      <c r="M607" s="436">
        <f t="shared" si="94"/>
        <v>2.9176084758041223E-11</v>
      </c>
      <c r="N607" s="301">
        <f t="shared" si="84"/>
        <v>2.9176084758041223E-11</v>
      </c>
      <c r="O607" s="302">
        <f t="shared" si="85"/>
        <v>0</v>
      </c>
      <c r="P607" s="436">
        <f t="shared" si="86"/>
        <v>0</v>
      </c>
      <c r="Q607" s="11">
        <f t="shared" si="95"/>
        <v>0</v>
      </c>
      <c r="R607" s="426">
        <f t="shared" si="96"/>
        <v>0</v>
      </c>
      <c r="S607" s="354">
        <f>+Hirdetmény!$AA$46</f>
        <v>0.13400000000000001</v>
      </c>
      <c r="T607" s="302">
        <f t="shared" si="87"/>
        <v>0</v>
      </c>
      <c r="U607" s="302">
        <f t="shared" si="97"/>
        <v>0</v>
      </c>
      <c r="V607" s="302">
        <f t="shared" si="98"/>
        <v>0</v>
      </c>
      <c r="W607" s="302">
        <f t="shared" si="99"/>
        <v>0</v>
      </c>
      <c r="AA607" s="10">
        <f t="shared" si="100"/>
        <v>0</v>
      </c>
      <c r="AB607" s="354">
        <f>+paraméterek!$B$346</f>
        <v>6.4600000000000005E-2</v>
      </c>
      <c r="AC607" s="302">
        <f t="shared" si="88"/>
        <v>0</v>
      </c>
      <c r="AD607" s="302">
        <f t="shared" si="103"/>
        <v>0</v>
      </c>
      <c r="AE607" s="302">
        <f t="shared" si="101"/>
        <v>0</v>
      </c>
      <c r="AF607" s="478">
        <f t="shared" si="89"/>
        <v>0</v>
      </c>
      <c r="AI607" s="543">
        <f t="shared" si="102"/>
        <v>0</v>
      </c>
      <c r="AJ607" s="543"/>
      <c r="AK607" s="300"/>
      <c r="AL607" s="543"/>
      <c r="AM607" s="10"/>
    </row>
    <row r="608" spans="1:39" s="11" customFormat="1" ht="13.8" hidden="1" x14ac:dyDescent="0.25">
      <c r="A608" s="11">
        <v>253</v>
      </c>
      <c r="B608" s="11">
        <f t="shared" si="90"/>
        <v>22</v>
      </c>
      <c r="C608" s="354">
        <f t="shared" si="79"/>
        <v>0</v>
      </c>
      <c r="D608" s="300">
        <f t="shared" si="81"/>
        <v>1.151056494563818E-8</v>
      </c>
      <c r="E608" s="354">
        <f t="shared" si="91"/>
        <v>0.13400000000000001</v>
      </c>
      <c r="F608" s="354">
        <f t="shared" si="80"/>
        <v>0.03</v>
      </c>
      <c r="H608" s="436">
        <f t="shared" si="82"/>
        <v>0</v>
      </c>
      <c r="I608" s="302">
        <f t="shared" si="83"/>
        <v>0</v>
      </c>
      <c r="K608" s="426">
        <f t="shared" si="92"/>
        <v>2.9176084758041223E-11</v>
      </c>
      <c r="L608" s="10">
        <f t="shared" si="93"/>
        <v>2.9176084758041223E-11</v>
      </c>
      <c r="M608" s="436">
        <f t="shared" si="94"/>
        <v>2.9176084758041223E-11</v>
      </c>
      <c r="N608" s="301">
        <f t="shared" si="84"/>
        <v>2.9176084758041223E-11</v>
      </c>
      <c r="O608" s="302">
        <f t="shared" si="85"/>
        <v>0</v>
      </c>
      <c r="P608" s="436">
        <f t="shared" si="86"/>
        <v>0</v>
      </c>
      <c r="Q608" s="11">
        <f t="shared" si="95"/>
        <v>0</v>
      </c>
      <c r="R608" s="426">
        <f t="shared" si="96"/>
        <v>0</v>
      </c>
      <c r="S608" s="354">
        <f>+Hirdetmény!$AA$46</f>
        <v>0.13400000000000001</v>
      </c>
      <c r="T608" s="302">
        <f t="shared" si="87"/>
        <v>0</v>
      </c>
      <c r="U608" s="302">
        <f t="shared" si="97"/>
        <v>0</v>
      </c>
      <c r="V608" s="302">
        <f t="shared" si="98"/>
        <v>0</v>
      </c>
      <c r="W608" s="302">
        <f t="shared" si="99"/>
        <v>0</v>
      </c>
      <c r="AA608" s="10">
        <f t="shared" si="100"/>
        <v>0</v>
      </c>
      <c r="AB608" s="354">
        <f>+paraméterek!$B$346</f>
        <v>6.4600000000000005E-2</v>
      </c>
      <c r="AC608" s="302">
        <f t="shared" si="88"/>
        <v>0</v>
      </c>
      <c r="AD608" s="302">
        <f t="shared" si="103"/>
        <v>0</v>
      </c>
      <c r="AE608" s="302">
        <f t="shared" si="101"/>
        <v>0</v>
      </c>
      <c r="AF608" s="478">
        <f t="shared" si="89"/>
        <v>0</v>
      </c>
      <c r="AI608" s="543">
        <f t="shared" si="102"/>
        <v>0</v>
      </c>
      <c r="AJ608" s="543"/>
      <c r="AK608" s="300"/>
      <c r="AL608" s="543"/>
      <c r="AM608" s="10"/>
    </row>
    <row r="609" spans="1:39" s="11" customFormat="1" ht="13.8" hidden="1" x14ac:dyDescent="0.25">
      <c r="A609" s="11">
        <v>254</v>
      </c>
      <c r="B609" s="11">
        <f t="shared" si="90"/>
        <v>22</v>
      </c>
      <c r="C609" s="354">
        <f t="shared" si="79"/>
        <v>0</v>
      </c>
      <c r="D609" s="300">
        <f t="shared" si="81"/>
        <v>1.151056494563818E-8</v>
      </c>
      <c r="E609" s="354">
        <f t="shared" si="91"/>
        <v>0.13400000000000001</v>
      </c>
      <c r="F609" s="354">
        <f t="shared" si="80"/>
        <v>0.03</v>
      </c>
      <c r="H609" s="436">
        <f t="shared" si="82"/>
        <v>0</v>
      </c>
      <c r="I609" s="302">
        <f t="shared" si="83"/>
        <v>0</v>
      </c>
      <c r="K609" s="426">
        <f t="shared" si="92"/>
        <v>2.9176084758041223E-11</v>
      </c>
      <c r="L609" s="10">
        <f t="shared" si="93"/>
        <v>2.9176084758041223E-11</v>
      </c>
      <c r="M609" s="436">
        <f t="shared" si="94"/>
        <v>2.9176084758041223E-11</v>
      </c>
      <c r="N609" s="301">
        <f t="shared" si="84"/>
        <v>2.9176084758041223E-11</v>
      </c>
      <c r="O609" s="302">
        <f t="shared" si="85"/>
        <v>0</v>
      </c>
      <c r="P609" s="436">
        <f t="shared" si="86"/>
        <v>0</v>
      </c>
      <c r="Q609" s="11">
        <f t="shared" si="95"/>
        <v>0</v>
      </c>
      <c r="R609" s="426">
        <f t="shared" si="96"/>
        <v>0</v>
      </c>
      <c r="S609" s="354">
        <f>+Hirdetmény!$AA$46</f>
        <v>0.13400000000000001</v>
      </c>
      <c r="T609" s="302">
        <f t="shared" si="87"/>
        <v>0</v>
      </c>
      <c r="U609" s="302">
        <f t="shared" si="97"/>
        <v>0</v>
      </c>
      <c r="V609" s="302">
        <f t="shared" si="98"/>
        <v>0</v>
      </c>
      <c r="W609" s="302">
        <f t="shared" si="99"/>
        <v>0</v>
      </c>
      <c r="AA609" s="10">
        <f t="shared" si="100"/>
        <v>0</v>
      </c>
      <c r="AB609" s="354">
        <f>+paraméterek!$B$346</f>
        <v>6.4600000000000005E-2</v>
      </c>
      <c r="AC609" s="302">
        <f t="shared" si="88"/>
        <v>0</v>
      </c>
      <c r="AD609" s="302">
        <f t="shared" si="103"/>
        <v>0</v>
      </c>
      <c r="AE609" s="302">
        <f t="shared" si="101"/>
        <v>0</v>
      </c>
      <c r="AF609" s="478">
        <f t="shared" si="89"/>
        <v>0</v>
      </c>
      <c r="AI609" s="543">
        <f t="shared" si="102"/>
        <v>0</v>
      </c>
      <c r="AJ609" s="543"/>
      <c r="AK609" s="300"/>
      <c r="AL609" s="543"/>
      <c r="AM609" s="10"/>
    </row>
    <row r="610" spans="1:39" s="11" customFormat="1" ht="13.8" hidden="1" x14ac:dyDescent="0.25">
      <c r="A610" s="11">
        <v>255</v>
      </c>
      <c r="B610" s="11">
        <f t="shared" si="90"/>
        <v>22</v>
      </c>
      <c r="C610" s="354">
        <f t="shared" si="79"/>
        <v>0</v>
      </c>
      <c r="D610" s="300">
        <f t="shared" si="81"/>
        <v>1.151056494563818E-8</v>
      </c>
      <c r="E610" s="354">
        <f t="shared" si="91"/>
        <v>0.13400000000000001</v>
      </c>
      <c r="F610" s="354">
        <f t="shared" si="80"/>
        <v>0.03</v>
      </c>
      <c r="H610" s="436">
        <f t="shared" si="82"/>
        <v>0</v>
      </c>
      <c r="I610" s="302">
        <f t="shared" si="83"/>
        <v>0</v>
      </c>
      <c r="K610" s="426">
        <f t="shared" si="92"/>
        <v>2.9176084758041223E-11</v>
      </c>
      <c r="L610" s="10">
        <f t="shared" si="93"/>
        <v>2.9176084758041223E-11</v>
      </c>
      <c r="M610" s="436">
        <f t="shared" si="94"/>
        <v>2.9176084758041223E-11</v>
      </c>
      <c r="N610" s="301">
        <f t="shared" si="84"/>
        <v>2.9176084758041223E-11</v>
      </c>
      <c r="O610" s="302">
        <f t="shared" si="85"/>
        <v>0</v>
      </c>
      <c r="P610" s="436">
        <f t="shared" si="86"/>
        <v>0</v>
      </c>
      <c r="Q610" s="11">
        <f t="shared" si="95"/>
        <v>0</v>
      </c>
      <c r="R610" s="426">
        <f t="shared" si="96"/>
        <v>0</v>
      </c>
      <c r="S610" s="354">
        <f>+Hirdetmény!$AA$46</f>
        <v>0.13400000000000001</v>
      </c>
      <c r="T610" s="302">
        <f t="shared" si="87"/>
        <v>0</v>
      </c>
      <c r="U610" s="302">
        <f t="shared" si="97"/>
        <v>0</v>
      </c>
      <c r="V610" s="302">
        <f t="shared" si="98"/>
        <v>0</v>
      </c>
      <c r="W610" s="302">
        <f t="shared" si="99"/>
        <v>0</v>
      </c>
      <c r="AA610" s="10">
        <f t="shared" si="100"/>
        <v>0</v>
      </c>
      <c r="AB610" s="354">
        <f>+paraméterek!$B$346</f>
        <v>6.4600000000000005E-2</v>
      </c>
      <c r="AC610" s="302">
        <f t="shared" si="88"/>
        <v>0</v>
      </c>
      <c r="AD610" s="302">
        <f t="shared" si="103"/>
        <v>0</v>
      </c>
      <c r="AE610" s="302">
        <f t="shared" si="101"/>
        <v>0</v>
      </c>
      <c r="AF610" s="478">
        <f t="shared" si="89"/>
        <v>0</v>
      </c>
      <c r="AI610" s="543">
        <f t="shared" si="102"/>
        <v>0</v>
      </c>
      <c r="AJ610" s="543"/>
      <c r="AK610" s="300"/>
      <c r="AL610" s="543"/>
      <c r="AM610" s="10"/>
    </row>
    <row r="611" spans="1:39" s="11" customFormat="1" ht="13.8" hidden="1" x14ac:dyDescent="0.25">
      <c r="A611" s="11">
        <v>256</v>
      </c>
      <c r="B611" s="11">
        <f t="shared" si="90"/>
        <v>22</v>
      </c>
      <c r="C611" s="354">
        <f t="shared" ref="C611:C674" si="104">aktualisbubor</f>
        <v>0</v>
      </c>
      <c r="D611" s="300">
        <f t="shared" si="81"/>
        <v>1.151056494563818E-8</v>
      </c>
      <c r="E611" s="354">
        <f t="shared" si="91"/>
        <v>0.13400000000000001</v>
      </c>
      <c r="F611" s="354">
        <f t="shared" ref="F611:F674" si="105">$N$292</f>
        <v>0.03</v>
      </c>
      <c r="H611" s="436">
        <f t="shared" si="82"/>
        <v>0</v>
      </c>
      <c r="I611" s="302">
        <f t="shared" si="83"/>
        <v>0</v>
      </c>
      <c r="K611" s="426">
        <f t="shared" si="92"/>
        <v>2.9176084758041223E-11</v>
      </c>
      <c r="L611" s="10">
        <f t="shared" si="93"/>
        <v>2.9176084758041223E-11</v>
      </c>
      <c r="M611" s="436">
        <f t="shared" si="94"/>
        <v>2.9176084758041223E-11</v>
      </c>
      <c r="N611" s="301">
        <f t="shared" si="84"/>
        <v>2.9176084758041223E-11</v>
      </c>
      <c r="O611" s="302">
        <f t="shared" si="85"/>
        <v>0</v>
      </c>
      <c r="P611" s="436">
        <f t="shared" si="86"/>
        <v>0</v>
      </c>
      <c r="Q611" s="11">
        <f t="shared" si="95"/>
        <v>0</v>
      </c>
      <c r="R611" s="426">
        <f t="shared" si="96"/>
        <v>0</v>
      </c>
      <c r="S611" s="354">
        <f>+Hirdetmény!$AA$46</f>
        <v>0.13400000000000001</v>
      </c>
      <c r="T611" s="302">
        <f t="shared" si="87"/>
        <v>0</v>
      </c>
      <c r="U611" s="302">
        <f t="shared" si="97"/>
        <v>0</v>
      </c>
      <c r="V611" s="302">
        <f t="shared" si="98"/>
        <v>0</v>
      </c>
      <c r="W611" s="302">
        <f t="shared" si="99"/>
        <v>0</v>
      </c>
      <c r="AA611" s="10">
        <f t="shared" si="100"/>
        <v>0</v>
      </c>
      <c r="AB611" s="354">
        <f>+paraméterek!$B$346</f>
        <v>6.4600000000000005E-2</v>
      </c>
      <c r="AC611" s="302">
        <f t="shared" si="88"/>
        <v>0</v>
      </c>
      <c r="AD611" s="302">
        <f t="shared" si="103"/>
        <v>0</v>
      </c>
      <c r="AE611" s="302">
        <f t="shared" si="101"/>
        <v>0</v>
      </c>
      <c r="AF611" s="478">
        <f t="shared" si="89"/>
        <v>0</v>
      </c>
      <c r="AI611" s="543">
        <f t="shared" si="102"/>
        <v>0</v>
      </c>
      <c r="AJ611" s="543"/>
      <c r="AK611" s="300"/>
      <c r="AL611" s="543"/>
      <c r="AM611" s="10"/>
    </row>
    <row r="612" spans="1:39" s="11" customFormat="1" ht="13.8" hidden="1" x14ac:dyDescent="0.25">
      <c r="A612" s="11">
        <v>257</v>
      </c>
      <c r="B612" s="11">
        <f t="shared" si="90"/>
        <v>22</v>
      </c>
      <c r="C612" s="354">
        <f t="shared" si="104"/>
        <v>0</v>
      </c>
      <c r="D612" s="300">
        <f t="shared" ref="D612:D675" si="106">+D611-H612-I612</f>
        <v>1.151056494563818E-8</v>
      </c>
      <c r="E612" s="354">
        <f t="shared" si="91"/>
        <v>0.13400000000000001</v>
      </c>
      <c r="F612" s="354">
        <f t="shared" si="105"/>
        <v>0.03</v>
      </c>
      <c r="H612" s="436">
        <f t="shared" ref="H612:H675" si="107">IF(A612&lt;=$E$295,0,IF(A612&lt;=$K$5,PPMT(F612/360*(365/12),A612-$E$295,$K$5-$E$295,-$D$355),0))</f>
        <v>0</v>
      </c>
      <c r="I612" s="302">
        <f t="shared" ref="I612:I675" si="108">+IF(A612=$K$5,$K$11,0)</f>
        <v>0</v>
      </c>
      <c r="K612" s="426">
        <f t="shared" si="92"/>
        <v>2.9176084758041223E-11</v>
      </c>
      <c r="L612" s="10">
        <f t="shared" si="93"/>
        <v>2.9176084758041223E-11</v>
      </c>
      <c r="M612" s="436">
        <f t="shared" si="94"/>
        <v>2.9176084758041223E-11</v>
      </c>
      <c r="N612" s="301">
        <f t="shared" ref="N612:N675" si="109">+D611*F612/360*(365/12)</f>
        <v>2.9176084758041223E-11</v>
      </c>
      <c r="O612" s="302">
        <f t="shared" ref="O612:O675" si="110">IF(A612&lt;=$K$5,PMT($N$292*365/360/12,$K$5,-$N$18)+P612+Q612+$N$27)+IF($K$6="nem",$E$29,IF(A611&lt;$E$295+1,$E$28,$E$29))</f>
        <v>0</v>
      </c>
      <c r="P612" s="436">
        <f t="shared" ref="P612:P675" si="111">IF(A612&lt;=$K$5,$E$25,0)</f>
        <v>0</v>
      </c>
      <c r="Q612" s="11">
        <f t="shared" si="95"/>
        <v>0</v>
      </c>
      <c r="R612" s="426">
        <f t="shared" si="96"/>
        <v>0</v>
      </c>
      <c r="S612" s="354">
        <f>+Hirdetmény!$AA$46</f>
        <v>0.13400000000000001</v>
      </c>
      <c r="T612" s="302">
        <f t="shared" ref="T612:T675" si="112">IF(A612&lt;=$K$5,IF(A612&gt;$E$295,PPMT(S612/360*(365/12),1,$K$5-A611,R611,$K$11*-1),0)*-1,0)</f>
        <v>0</v>
      </c>
      <c r="U612" s="302">
        <f t="shared" si="97"/>
        <v>0</v>
      </c>
      <c r="V612" s="302">
        <f t="shared" si="98"/>
        <v>0</v>
      </c>
      <c r="W612" s="302">
        <f t="shared" si="99"/>
        <v>0</v>
      </c>
      <c r="AA612" s="10">
        <f t="shared" si="100"/>
        <v>0</v>
      </c>
      <c r="AB612" s="354">
        <f>+paraméterek!$B$346</f>
        <v>6.4600000000000005E-2</v>
      </c>
      <c r="AC612" s="302">
        <f t="shared" ref="AC612:AC675" si="113">IF(A612&lt;=$K$5,IF(A612&gt;$E$295,PPMT(AB612/360*(365/12),1,$K$5-A611,AA611,$K$11*-1),0)*-1,0)</f>
        <v>0</v>
      </c>
      <c r="AD612" s="302">
        <f t="shared" si="103"/>
        <v>0</v>
      </c>
      <c r="AE612" s="302">
        <f t="shared" si="101"/>
        <v>0</v>
      </c>
      <c r="AF612" s="478">
        <f t="shared" ref="AF612:AF675" si="114">+AE612+IF($K$6="nem",$E$29,IF(A612&lt;$E$295+1,$E$28,$E$29)+IF(A612&lt;=$K$5,$E$25+Q612+$N$27,0))</f>
        <v>0</v>
      </c>
      <c r="AI612" s="543">
        <f t="shared" si="102"/>
        <v>0</v>
      </c>
      <c r="AJ612" s="543"/>
      <c r="AK612" s="300"/>
      <c r="AL612" s="543"/>
      <c r="AM612" s="10"/>
    </row>
    <row r="613" spans="1:39" s="11" customFormat="1" ht="13.8" hidden="1" x14ac:dyDescent="0.25">
      <c r="A613" s="11">
        <v>258</v>
      </c>
      <c r="B613" s="11">
        <f t="shared" ref="B613:B676" si="115">+ROUNDUP(A613/12,0)</f>
        <v>22</v>
      </c>
      <c r="C613" s="354">
        <f t="shared" si="104"/>
        <v>0</v>
      </c>
      <c r="D613" s="300">
        <f t="shared" si="106"/>
        <v>1.151056494563818E-8</v>
      </c>
      <c r="E613" s="354">
        <f t="shared" ref="E613:E676" si="116">E612</f>
        <v>0.13400000000000001</v>
      </c>
      <c r="F613" s="354">
        <f t="shared" si="105"/>
        <v>0.03</v>
      </c>
      <c r="H613" s="436">
        <f t="shared" si="107"/>
        <v>0</v>
      </c>
      <c r="I613" s="302">
        <f t="shared" si="108"/>
        <v>0</v>
      </c>
      <c r="K613" s="426">
        <f t="shared" ref="K613:K676" si="117">+(H613+N613)+IF($K$6="nem",$E$29,IF(A613&lt;$E$295+1,$E$28,$E$29)+P613)+Q613+$N$27+I613</f>
        <v>2.9176084758041223E-11</v>
      </c>
      <c r="L613" s="10">
        <f t="shared" ref="L613:L676" si="118">K613</f>
        <v>2.9176084758041223E-11</v>
      </c>
      <c r="M613" s="436">
        <f t="shared" ref="M613:M676" si="119">H613+N613</f>
        <v>2.9176084758041223E-11</v>
      </c>
      <c r="N613" s="301">
        <f t="shared" si="109"/>
        <v>2.9176084758041223E-11</v>
      </c>
      <c r="O613" s="302">
        <f t="shared" si="110"/>
        <v>0</v>
      </c>
      <c r="P613" s="436">
        <f t="shared" si="111"/>
        <v>0</v>
      </c>
      <c r="Q613" s="11">
        <f t="shared" ref="Q613:Q676" si="120">IF(A613&gt;$K$5,0,+IF($K$25="havi",$K$23,0)+IF($K$25="negyedéves",$K$23,0)+IF($K$25="féléves",$K$23,0)+IF($K$25="éves",$K$23,0)+IF($E$223="havi",$E$221,0)+IF($E$223="negyedéves",$E$221,0)+IF($E$223="féléves",$E$221,0)+IF($E$223="éves",$E$221,0)+IF($H$223="havi",$H$221,0)+IF($H$223="negyedéves",$H$221,0)+IF($H$223="féléves",$H$221,0)+IF($H$223="éves",$H$221,0)+IF($K$223="havi",$K$221,0)+IF($K$223="negyedéves",$K$221,0)+IF($K$223="féléves",$K$221,0)+IF($K$223="éves",$K$221,0)+IF($N$223="havi",$N$221,0)+IF($N$223="negyedéves",$N$221,0)+IF($N$223="féléves",$N$221,0)+IF($N$223="éves",$N$221,0))</f>
        <v>0</v>
      </c>
      <c r="R613" s="426">
        <f t="shared" ref="R613:R676" si="121">+R612-T613</f>
        <v>0</v>
      </c>
      <c r="S613" s="354">
        <f>+Hirdetmény!$AA$46</f>
        <v>0.13400000000000001</v>
      </c>
      <c r="T613" s="302">
        <f t="shared" si="112"/>
        <v>0</v>
      </c>
      <c r="U613" s="302">
        <f t="shared" ref="U613:U676" si="122">+R612*S613/360*(365/12)</f>
        <v>0</v>
      </c>
      <c r="V613" s="302">
        <f t="shared" ref="V613:V676" si="123">+T613+U613</f>
        <v>0</v>
      </c>
      <c r="W613" s="302">
        <f t="shared" ref="W613:W676" si="124">+V613+IF($K$6="nem",$E$29,IF(A613&lt;$E$295+1,$E$28,$E$29))+IF(A613&lt;=$K$5,$E$25+Q613+$N$27,0)</f>
        <v>0</v>
      </c>
      <c r="AA613" s="10">
        <f t="shared" ref="AA613:AA676" si="125">+AA612-AC613</f>
        <v>0</v>
      </c>
      <c r="AB613" s="354">
        <f>+paraméterek!$B$346</f>
        <v>6.4600000000000005E-2</v>
      </c>
      <c r="AC613" s="302">
        <f t="shared" si="113"/>
        <v>0</v>
      </c>
      <c r="AD613" s="302">
        <f t="shared" si="103"/>
        <v>0</v>
      </c>
      <c r="AE613" s="302">
        <f t="shared" ref="AE613:AE676" si="126">+AC613+AD613</f>
        <v>0</v>
      </c>
      <c r="AF613" s="478">
        <f t="shared" si="114"/>
        <v>0</v>
      </c>
      <c r="AI613" s="543">
        <f t="shared" ref="AI613:AI676" si="127">+V613+IF($K$6="nem",$E$29,IF(A613&lt;$E$295+1,$E$28,$E$29)+P613)+IF(A613&gt;$K$5,0,IF($E$221=0,$E$222,$E$221)+$N$27)+I613</f>
        <v>0</v>
      </c>
      <c r="AJ613" s="543"/>
      <c r="AK613" s="300"/>
      <c r="AL613" s="543"/>
      <c r="AM613" s="10"/>
    </row>
    <row r="614" spans="1:39" s="11" customFormat="1" ht="13.8" hidden="1" x14ac:dyDescent="0.25">
      <c r="A614" s="11">
        <v>259</v>
      </c>
      <c r="B614" s="11">
        <f t="shared" si="115"/>
        <v>22</v>
      </c>
      <c r="C614" s="354">
        <f t="shared" si="104"/>
        <v>0</v>
      </c>
      <c r="D614" s="300">
        <f t="shared" si="106"/>
        <v>1.151056494563818E-8</v>
      </c>
      <c r="E614" s="354">
        <f t="shared" si="116"/>
        <v>0.13400000000000001</v>
      </c>
      <c r="F614" s="354">
        <f t="shared" si="105"/>
        <v>0.03</v>
      </c>
      <c r="H614" s="436">
        <f t="shared" si="107"/>
        <v>0</v>
      </c>
      <c r="I614" s="302">
        <f t="shared" si="108"/>
        <v>0</v>
      </c>
      <c r="K614" s="426">
        <f t="shared" si="117"/>
        <v>2.9176084758041223E-11</v>
      </c>
      <c r="L614" s="10">
        <f t="shared" si="118"/>
        <v>2.9176084758041223E-11</v>
      </c>
      <c r="M614" s="436">
        <f t="shared" si="119"/>
        <v>2.9176084758041223E-11</v>
      </c>
      <c r="N614" s="301">
        <f t="shared" si="109"/>
        <v>2.9176084758041223E-11</v>
      </c>
      <c r="O614" s="302">
        <f t="shared" si="110"/>
        <v>0</v>
      </c>
      <c r="P614" s="436">
        <f t="shared" si="111"/>
        <v>0</v>
      </c>
      <c r="Q614" s="11">
        <f t="shared" si="120"/>
        <v>0</v>
      </c>
      <c r="R614" s="426">
        <f t="shared" si="121"/>
        <v>0</v>
      </c>
      <c r="S614" s="354">
        <f>+Hirdetmény!$AA$46</f>
        <v>0.13400000000000001</v>
      </c>
      <c r="T614" s="302">
        <f t="shared" si="112"/>
        <v>0</v>
      </c>
      <c r="U614" s="302">
        <f t="shared" si="122"/>
        <v>0</v>
      </c>
      <c r="V614" s="302">
        <f t="shared" si="123"/>
        <v>0</v>
      </c>
      <c r="W614" s="302">
        <f t="shared" si="124"/>
        <v>0</v>
      </c>
      <c r="AA614" s="10">
        <f t="shared" si="125"/>
        <v>0</v>
      </c>
      <c r="AB614" s="354">
        <f>+paraméterek!$B$346</f>
        <v>6.4600000000000005E-2</v>
      </c>
      <c r="AC614" s="302">
        <f t="shared" si="113"/>
        <v>0</v>
      </c>
      <c r="AD614" s="302">
        <f t="shared" ref="AD614:AD677" si="128">+AA613*AB614/360*(365/12)</f>
        <v>0</v>
      </c>
      <c r="AE614" s="302">
        <f t="shared" si="126"/>
        <v>0</v>
      </c>
      <c r="AF614" s="478">
        <f t="shared" si="114"/>
        <v>0</v>
      </c>
      <c r="AI614" s="543">
        <f t="shared" si="127"/>
        <v>0</v>
      </c>
      <c r="AJ614" s="543"/>
      <c r="AK614" s="300"/>
      <c r="AL614" s="543"/>
      <c r="AM614" s="10"/>
    </row>
    <row r="615" spans="1:39" s="11" customFormat="1" ht="13.8" hidden="1" x14ac:dyDescent="0.25">
      <c r="A615" s="11">
        <v>260</v>
      </c>
      <c r="B615" s="11">
        <f t="shared" si="115"/>
        <v>22</v>
      </c>
      <c r="C615" s="354">
        <f t="shared" si="104"/>
        <v>0</v>
      </c>
      <c r="D615" s="300">
        <f t="shared" si="106"/>
        <v>1.151056494563818E-8</v>
      </c>
      <c r="E615" s="354">
        <f t="shared" si="116"/>
        <v>0.13400000000000001</v>
      </c>
      <c r="F615" s="354">
        <f t="shared" si="105"/>
        <v>0.03</v>
      </c>
      <c r="H615" s="436">
        <f t="shared" si="107"/>
        <v>0</v>
      </c>
      <c r="I615" s="302">
        <f t="shared" si="108"/>
        <v>0</v>
      </c>
      <c r="K615" s="426">
        <f t="shared" si="117"/>
        <v>2.9176084758041223E-11</v>
      </c>
      <c r="L615" s="10">
        <f t="shared" si="118"/>
        <v>2.9176084758041223E-11</v>
      </c>
      <c r="M615" s="436">
        <f t="shared" si="119"/>
        <v>2.9176084758041223E-11</v>
      </c>
      <c r="N615" s="301">
        <f t="shared" si="109"/>
        <v>2.9176084758041223E-11</v>
      </c>
      <c r="O615" s="302">
        <f t="shared" si="110"/>
        <v>0</v>
      </c>
      <c r="P615" s="436">
        <f t="shared" si="111"/>
        <v>0</v>
      </c>
      <c r="Q615" s="11">
        <f t="shared" si="120"/>
        <v>0</v>
      </c>
      <c r="R615" s="426">
        <f t="shared" si="121"/>
        <v>0</v>
      </c>
      <c r="S615" s="354">
        <f>+Hirdetmény!$AA$46</f>
        <v>0.13400000000000001</v>
      </c>
      <c r="T615" s="302">
        <f t="shared" si="112"/>
        <v>0</v>
      </c>
      <c r="U615" s="302">
        <f t="shared" si="122"/>
        <v>0</v>
      </c>
      <c r="V615" s="302">
        <f t="shared" si="123"/>
        <v>0</v>
      </c>
      <c r="W615" s="302">
        <f t="shared" si="124"/>
        <v>0</v>
      </c>
      <c r="AA615" s="10">
        <f t="shared" si="125"/>
        <v>0</v>
      </c>
      <c r="AB615" s="354">
        <f>+paraméterek!$B$346</f>
        <v>6.4600000000000005E-2</v>
      </c>
      <c r="AC615" s="302">
        <f t="shared" si="113"/>
        <v>0</v>
      </c>
      <c r="AD615" s="302">
        <f t="shared" si="128"/>
        <v>0</v>
      </c>
      <c r="AE615" s="302">
        <f t="shared" si="126"/>
        <v>0</v>
      </c>
      <c r="AF615" s="478">
        <f t="shared" si="114"/>
        <v>0</v>
      </c>
      <c r="AI615" s="543">
        <f t="shared" si="127"/>
        <v>0</v>
      </c>
      <c r="AJ615" s="543"/>
      <c r="AK615" s="300"/>
      <c r="AL615" s="543"/>
      <c r="AM615" s="10"/>
    </row>
    <row r="616" spans="1:39" s="11" customFormat="1" ht="13.8" hidden="1" x14ac:dyDescent="0.25">
      <c r="A616" s="11">
        <v>261</v>
      </c>
      <c r="B616" s="11">
        <f t="shared" si="115"/>
        <v>22</v>
      </c>
      <c r="C616" s="354">
        <f t="shared" si="104"/>
        <v>0</v>
      </c>
      <c r="D616" s="300">
        <f t="shared" si="106"/>
        <v>1.151056494563818E-8</v>
      </c>
      <c r="E616" s="354">
        <f t="shared" si="116"/>
        <v>0.13400000000000001</v>
      </c>
      <c r="F616" s="354">
        <f t="shared" si="105"/>
        <v>0.03</v>
      </c>
      <c r="H616" s="436">
        <f t="shared" si="107"/>
        <v>0</v>
      </c>
      <c r="I616" s="302">
        <f t="shared" si="108"/>
        <v>0</v>
      </c>
      <c r="K616" s="426">
        <f t="shared" si="117"/>
        <v>2.9176084758041223E-11</v>
      </c>
      <c r="L616" s="10">
        <f t="shared" si="118"/>
        <v>2.9176084758041223E-11</v>
      </c>
      <c r="M616" s="436">
        <f t="shared" si="119"/>
        <v>2.9176084758041223E-11</v>
      </c>
      <c r="N616" s="301">
        <f t="shared" si="109"/>
        <v>2.9176084758041223E-11</v>
      </c>
      <c r="O616" s="302">
        <f t="shared" si="110"/>
        <v>0</v>
      </c>
      <c r="P616" s="436">
        <f t="shared" si="111"/>
        <v>0</v>
      </c>
      <c r="Q616" s="11">
        <f t="shared" si="120"/>
        <v>0</v>
      </c>
      <c r="R616" s="426">
        <f t="shared" si="121"/>
        <v>0</v>
      </c>
      <c r="S616" s="354">
        <f>+Hirdetmény!$AA$46</f>
        <v>0.13400000000000001</v>
      </c>
      <c r="T616" s="302">
        <f t="shared" si="112"/>
        <v>0</v>
      </c>
      <c r="U616" s="302">
        <f t="shared" si="122"/>
        <v>0</v>
      </c>
      <c r="V616" s="302">
        <f t="shared" si="123"/>
        <v>0</v>
      </c>
      <c r="W616" s="302">
        <f t="shared" si="124"/>
        <v>0</v>
      </c>
      <c r="AA616" s="10">
        <f t="shared" si="125"/>
        <v>0</v>
      </c>
      <c r="AB616" s="354">
        <f>+paraméterek!$B$346</f>
        <v>6.4600000000000005E-2</v>
      </c>
      <c r="AC616" s="302">
        <f t="shared" si="113"/>
        <v>0</v>
      </c>
      <c r="AD616" s="302">
        <f t="shared" si="128"/>
        <v>0</v>
      </c>
      <c r="AE616" s="302">
        <f t="shared" si="126"/>
        <v>0</v>
      </c>
      <c r="AF616" s="478">
        <f t="shared" si="114"/>
        <v>0</v>
      </c>
      <c r="AI616" s="543">
        <f t="shared" si="127"/>
        <v>0</v>
      </c>
      <c r="AJ616" s="543"/>
      <c r="AK616" s="300"/>
      <c r="AL616" s="543"/>
      <c r="AM616" s="10"/>
    </row>
    <row r="617" spans="1:39" s="11" customFormat="1" ht="13.8" hidden="1" x14ac:dyDescent="0.25">
      <c r="A617" s="11">
        <v>262</v>
      </c>
      <c r="B617" s="11">
        <f t="shared" si="115"/>
        <v>22</v>
      </c>
      <c r="C617" s="354">
        <f t="shared" si="104"/>
        <v>0</v>
      </c>
      <c r="D617" s="300">
        <f t="shared" si="106"/>
        <v>1.151056494563818E-8</v>
      </c>
      <c r="E617" s="354">
        <f t="shared" si="116"/>
        <v>0.13400000000000001</v>
      </c>
      <c r="F617" s="354">
        <f t="shared" si="105"/>
        <v>0.03</v>
      </c>
      <c r="H617" s="436">
        <f t="shared" si="107"/>
        <v>0</v>
      </c>
      <c r="I617" s="302">
        <f t="shared" si="108"/>
        <v>0</v>
      </c>
      <c r="K617" s="426">
        <f t="shared" si="117"/>
        <v>2.9176084758041223E-11</v>
      </c>
      <c r="L617" s="10">
        <f t="shared" si="118"/>
        <v>2.9176084758041223E-11</v>
      </c>
      <c r="M617" s="436">
        <f t="shared" si="119"/>
        <v>2.9176084758041223E-11</v>
      </c>
      <c r="N617" s="301">
        <f t="shared" si="109"/>
        <v>2.9176084758041223E-11</v>
      </c>
      <c r="O617" s="302">
        <f t="shared" si="110"/>
        <v>0</v>
      </c>
      <c r="P617" s="436">
        <f t="shared" si="111"/>
        <v>0</v>
      </c>
      <c r="Q617" s="11">
        <f t="shared" si="120"/>
        <v>0</v>
      </c>
      <c r="R617" s="426">
        <f t="shared" si="121"/>
        <v>0</v>
      </c>
      <c r="S617" s="354">
        <f>+Hirdetmény!$AA$46</f>
        <v>0.13400000000000001</v>
      </c>
      <c r="T617" s="302">
        <f t="shared" si="112"/>
        <v>0</v>
      </c>
      <c r="U617" s="302">
        <f t="shared" si="122"/>
        <v>0</v>
      </c>
      <c r="V617" s="302">
        <f t="shared" si="123"/>
        <v>0</v>
      </c>
      <c r="W617" s="302">
        <f t="shared" si="124"/>
        <v>0</v>
      </c>
      <c r="AA617" s="10">
        <f t="shared" si="125"/>
        <v>0</v>
      </c>
      <c r="AB617" s="354">
        <f>+paraméterek!$B$346</f>
        <v>6.4600000000000005E-2</v>
      </c>
      <c r="AC617" s="302">
        <f t="shared" si="113"/>
        <v>0</v>
      </c>
      <c r="AD617" s="302">
        <f t="shared" si="128"/>
        <v>0</v>
      </c>
      <c r="AE617" s="302">
        <f t="shared" si="126"/>
        <v>0</v>
      </c>
      <c r="AF617" s="478">
        <f t="shared" si="114"/>
        <v>0</v>
      </c>
      <c r="AI617" s="543">
        <f t="shared" si="127"/>
        <v>0</v>
      </c>
      <c r="AJ617" s="543"/>
      <c r="AK617" s="300"/>
      <c r="AL617" s="543"/>
      <c r="AM617" s="10"/>
    </row>
    <row r="618" spans="1:39" s="11" customFormat="1" ht="13.8" hidden="1" x14ac:dyDescent="0.25">
      <c r="A618" s="11">
        <v>263</v>
      </c>
      <c r="B618" s="11">
        <f t="shared" si="115"/>
        <v>22</v>
      </c>
      <c r="C618" s="354">
        <f t="shared" si="104"/>
        <v>0</v>
      </c>
      <c r="D618" s="300">
        <f t="shared" si="106"/>
        <v>1.151056494563818E-8</v>
      </c>
      <c r="E618" s="354">
        <f t="shared" si="116"/>
        <v>0.13400000000000001</v>
      </c>
      <c r="F618" s="354">
        <f t="shared" si="105"/>
        <v>0.03</v>
      </c>
      <c r="H618" s="436">
        <f t="shared" si="107"/>
        <v>0</v>
      </c>
      <c r="I618" s="302">
        <f t="shared" si="108"/>
        <v>0</v>
      </c>
      <c r="K618" s="426">
        <f t="shared" si="117"/>
        <v>2.9176084758041223E-11</v>
      </c>
      <c r="L618" s="10">
        <f t="shared" si="118"/>
        <v>2.9176084758041223E-11</v>
      </c>
      <c r="M618" s="436">
        <f t="shared" si="119"/>
        <v>2.9176084758041223E-11</v>
      </c>
      <c r="N618" s="301">
        <f t="shared" si="109"/>
        <v>2.9176084758041223E-11</v>
      </c>
      <c r="O618" s="302">
        <f t="shared" si="110"/>
        <v>0</v>
      </c>
      <c r="P618" s="436">
        <f t="shared" si="111"/>
        <v>0</v>
      </c>
      <c r="Q618" s="11">
        <f t="shared" si="120"/>
        <v>0</v>
      </c>
      <c r="R618" s="426">
        <f t="shared" si="121"/>
        <v>0</v>
      </c>
      <c r="S618" s="354">
        <f>+Hirdetmény!$AA$46</f>
        <v>0.13400000000000001</v>
      </c>
      <c r="T618" s="302">
        <f t="shared" si="112"/>
        <v>0</v>
      </c>
      <c r="U618" s="302">
        <f t="shared" si="122"/>
        <v>0</v>
      </c>
      <c r="V618" s="302">
        <f t="shared" si="123"/>
        <v>0</v>
      </c>
      <c r="W618" s="302">
        <f t="shared" si="124"/>
        <v>0</v>
      </c>
      <c r="AA618" s="10">
        <f t="shared" si="125"/>
        <v>0</v>
      </c>
      <c r="AB618" s="354">
        <f>+paraméterek!$B$346</f>
        <v>6.4600000000000005E-2</v>
      </c>
      <c r="AC618" s="302">
        <f t="shared" si="113"/>
        <v>0</v>
      </c>
      <c r="AD618" s="302">
        <f t="shared" si="128"/>
        <v>0</v>
      </c>
      <c r="AE618" s="302">
        <f t="shared" si="126"/>
        <v>0</v>
      </c>
      <c r="AF618" s="478">
        <f t="shared" si="114"/>
        <v>0</v>
      </c>
      <c r="AI618" s="543">
        <f t="shared" si="127"/>
        <v>0</v>
      </c>
      <c r="AJ618" s="543"/>
      <c r="AK618" s="300"/>
      <c r="AL618" s="543"/>
      <c r="AM618" s="10"/>
    </row>
    <row r="619" spans="1:39" s="11" customFormat="1" ht="13.8" hidden="1" x14ac:dyDescent="0.25">
      <c r="A619" s="11">
        <v>264</v>
      </c>
      <c r="B619" s="11">
        <f t="shared" si="115"/>
        <v>22</v>
      </c>
      <c r="C619" s="354">
        <f t="shared" si="104"/>
        <v>0</v>
      </c>
      <c r="D619" s="300">
        <f t="shared" si="106"/>
        <v>1.151056494563818E-8</v>
      </c>
      <c r="E619" s="354">
        <f t="shared" si="116"/>
        <v>0.13400000000000001</v>
      </c>
      <c r="F619" s="354">
        <f t="shared" si="105"/>
        <v>0.03</v>
      </c>
      <c r="H619" s="436">
        <f t="shared" si="107"/>
        <v>0</v>
      </c>
      <c r="I619" s="302">
        <f t="shared" si="108"/>
        <v>0</v>
      </c>
      <c r="K619" s="426">
        <f t="shared" si="117"/>
        <v>2.9176084758041223E-11</v>
      </c>
      <c r="L619" s="10">
        <f t="shared" si="118"/>
        <v>2.9176084758041223E-11</v>
      </c>
      <c r="M619" s="436">
        <f t="shared" si="119"/>
        <v>2.9176084758041223E-11</v>
      </c>
      <c r="N619" s="301">
        <f t="shared" si="109"/>
        <v>2.9176084758041223E-11</v>
      </c>
      <c r="O619" s="302">
        <f t="shared" si="110"/>
        <v>0</v>
      </c>
      <c r="P619" s="436">
        <f t="shared" si="111"/>
        <v>0</v>
      </c>
      <c r="Q619" s="11">
        <f t="shared" si="120"/>
        <v>0</v>
      </c>
      <c r="R619" s="426">
        <f t="shared" si="121"/>
        <v>0</v>
      </c>
      <c r="S619" s="354">
        <f>+Hirdetmény!$AA$46</f>
        <v>0.13400000000000001</v>
      </c>
      <c r="T619" s="302">
        <f t="shared" si="112"/>
        <v>0</v>
      </c>
      <c r="U619" s="302">
        <f t="shared" si="122"/>
        <v>0</v>
      </c>
      <c r="V619" s="302">
        <f t="shared" si="123"/>
        <v>0</v>
      </c>
      <c r="W619" s="302">
        <f t="shared" si="124"/>
        <v>0</v>
      </c>
      <c r="AA619" s="10">
        <f t="shared" si="125"/>
        <v>0</v>
      </c>
      <c r="AB619" s="354">
        <f>+paraméterek!$B$346</f>
        <v>6.4600000000000005E-2</v>
      </c>
      <c r="AC619" s="302">
        <f t="shared" si="113"/>
        <v>0</v>
      </c>
      <c r="AD619" s="302">
        <f t="shared" si="128"/>
        <v>0</v>
      </c>
      <c r="AE619" s="302">
        <f t="shared" si="126"/>
        <v>0</v>
      </c>
      <c r="AF619" s="478">
        <f t="shared" si="114"/>
        <v>0</v>
      </c>
      <c r="AI619" s="543">
        <f t="shared" si="127"/>
        <v>0</v>
      </c>
      <c r="AJ619" s="543"/>
      <c r="AK619" s="300"/>
      <c r="AL619" s="543"/>
      <c r="AM619" s="10"/>
    </row>
    <row r="620" spans="1:39" s="11" customFormat="1" ht="13.8" hidden="1" x14ac:dyDescent="0.25">
      <c r="A620" s="11">
        <v>265</v>
      </c>
      <c r="B620" s="11">
        <f t="shared" si="115"/>
        <v>23</v>
      </c>
      <c r="C620" s="354">
        <f t="shared" si="104"/>
        <v>0</v>
      </c>
      <c r="D620" s="300">
        <f t="shared" si="106"/>
        <v>1.151056494563818E-8</v>
      </c>
      <c r="E620" s="354">
        <f t="shared" si="116"/>
        <v>0.13400000000000001</v>
      </c>
      <c r="F620" s="354">
        <f t="shared" si="105"/>
        <v>0.03</v>
      </c>
      <c r="H620" s="436">
        <f t="shared" si="107"/>
        <v>0</v>
      </c>
      <c r="I620" s="302">
        <f t="shared" si="108"/>
        <v>0</v>
      </c>
      <c r="K620" s="426">
        <f t="shared" si="117"/>
        <v>2.9176084758041223E-11</v>
      </c>
      <c r="L620" s="10">
        <f t="shared" si="118"/>
        <v>2.9176084758041223E-11</v>
      </c>
      <c r="M620" s="436">
        <f t="shared" si="119"/>
        <v>2.9176084758041223E-11</v>
      </c>
      <c r="N620" s="301">
        <f t="shared" si="109"/>
        <v>2.9176084758041223E-11</v>
      </c>
      <c r="O620" s="302">
        <f t="shared" si="110"/>
        <v>0</v>
      </c>
      <c r="P620" s="436">
        <f t="shared" si="111"/>
        <v>0</v>
      </c>
      <c r="Q620" s="11">
        <f t="shared" si="120"/>
        <v>0</v>
      </c>
      <c r="R620" s="426">
        <f t="shared" si="121"/>
        <v>0</v>
      </c>
      <c r="S620" s="354">
        <f>+Hirdetmény!$AA$46</f>
        <v>0.13400000000000001</v>
      </c>
      <c r="T620" s="302">
        <f t="shared" si="112"/>
        <v>0</v>
      </c>
      <c r="U620" s="302">
        <f t="shared" si="122"/>
        <v>0</v>
      </c>
      <c r="V620" s="302">
        <f t="shared" si="123"/>
        <v>0</v>
      </c>
      <c r="W620" s="302">
        <f t="shared" si="124"/>
        <v>0</v>
      </c>
      <c r="AA620" s="10">
        <f t="shared" si="125"/>
        <v>0</v>
      </c>
      <c r="AB620" s="354">
        <f>+paraméterek!$B$346</f>
        <v>6.4600000000000005E-2</v>
      </c>
      <c r="AC620" s="302">
        <f t="shared" si="113"/>
        <v>0</v>
      </c>
      <c r="AD620" s="302">
        <f t="shared" si="128"/>
        <v>0</v>
      </c>
      <c r="AE620" s="302">
        <f t="shared" si="126"/>
        <v>0</v>
      </c>
      <c r="AF620" s="478">
        <f t="shared" si="114"/>
        <v>0</v>
      </c>
      <c r="AI620" s="543">
        <f t="shared" si="127"/>
        <v>0</v>
      </c>
      <c r="AJ620" s="543"/>
      <c r="AK620" s="300"/>
      <c r="AL620" s="543"/>
      <c r="AM620" s="10"/>
    </row>
    <row r="621" spans="1:39" s="11" customFormat="1" ht="13.8" hidden="1" x14ac:dyDescent="0.25">
      <c r="A621" s="11">
        <v>266</v>
      </c>
      <c r="B621" s="11">
        <f t="shared" si="115"/>
        <v>23</v>
      </c>
      <c r="C621" s="354">
        <f t="shared" si="104"/>
        <v>0</v>
      </c>
      <c r="D621" s="300">
        <f t="shared" si="106"/>
        <v>1.151056494563818E-8</v>
      </c>
      <c r="E621" s="354">
        <f t="shared" si="116"/>
        <v>0.13400000000000001</v>
      </c>
      <c r="F621" s="354">
        <f t="shared" si="105"/>
        <v>0.03</v>
      </c>
      <c r="H621" s="436">
        <f t="shared" si="107"/>
        <v>0</v>
      </c>
      <c r="I621" s="302">
        <f t="shared" si="108"/>
        <v>0</v>
      </c>
      <c r="K621" s="426">
        <f t="shared" si="117"/>
        <v>2.9176084758041223E-11</v>
      </c>
      <c r="L621" s="10">
        <f t="shared" si="118"/>
        <v>2.9176084758041223E-11</v>
      </c>
      <c r="M621" s="436">
        <f t="shared" si="119"/>
        <v>2.9176084758041223E-11</v>
      </c>
      <c r="N621" s="301">
        <f t="shared" si="109"/>
        <v>2.9176084758041223E-11</v>
      </c>
      <c r="O621" s="302">
        <f t="shared" si="110"/>
        <v>0</v>
      </c>
      <c r="P621" s="436">
        <f t="shared" si="111"/>
        <v>0</v>
      </c>
      <c r="Q621" s="11">
        <f t="shared" si="120"/>
        <v>0</v>
      </c>
      <c r="R621" s="426">
        <f t="shared" si="121"/>
        <v>0</v>
      </c>
      <c r="S621" s="354">
        <f>+Hirdetmény!$AA$46</f>
        <v>0.13400000000000001</v>
      </c>
      <c r="T621" s="302">
        <f t="shared" si="112"/>
        <v>0</v>
      </c>
      <c r="U621" s="302">
        <f t="shared" si="122"/>
        <v>0</v>
      </c>
      <c r="V621" s="302">
        <f t="shared" si="123"/>
        <v>0</v>
      </c>
      <c r="W621" s="302">
        <f t="shared" si="124"/>
        <v>0</v>
      </c>
      <c r="AA621" s="10">
        <f t="shared" si="125"/>
        <v>0</v>
      </c>
      <c r="AB621" s="354">
        <f>+paraméterek!$B$346</f>
        <v>6.4600000000000005E-2</v>
      </c>
      <c r="AC621" s="302">
        <f t="shared" si="113"/>
        <v>0</v>
      </c>
      <c r="AD621" s="302">
        <f t="shared" si="128"/>
        <v>0</v>
      </c>
      <c r="AE621" s="302">
        <f t="shared" si="126"/>
        <v>0</v>
      </c>
      <c r="AF621" s="478">
        <f t="shared" si="114"/>
        <v>0</v>
      </c>
      <c r="AI621" s="543">
        <f t="shared" si="127"/>
        <v>0</v>
      </c>
      <c r="AJ621" s="543"/>
      <c r="AK621" s="300"/>
      <c r="AL621" s="543"/>
      <c r="AM621" s="10"/>
    </row>
    <row r="622" spans="1:39" s="11" customFormat="1" ht="13.8" hidden="1" x14ac:dyDescent="0.25">
      <c r="A622" s="11">
        <v>267</v>
      </c>
      <c r="B622" s="11">
        <f t="shared" si="115"/>
        <v>23</v>
      </c>
      <c r="C622" s="354">
        <f t="shared" si="104"/>
        <v>0</v>
      </c>
      <c r="D622" s="300">
        <f t="shared" si="106"/>
        <v>1.151056494563818E-8</v>
      </c>
      <c r="E622" s="354">
        <f t="shared" si="116"/>
        <v>0.13400000000000001</v>
      </c>
      <c r="F622" s="354">
        <f t="shared" si="105"/>
        <v>0.03</v>
      </c>
      <c r="H622" s="436">
        <f t="shared" si="107"/>
        <v>0</v>
      </c>
      <c r="I622" s="302">
        <f t="shared" si="108"/>
        <v>0</v>
      </c>
      <c r="K622" s="426">
        <f t="shared" si="117"/>
        <v>2.9176084758041223E-11</v>
      </c>
      <c r="L622" s="10">
        <f t="shared" si="118"/>
        <v>2.9176084758041223E-11</v>
      </c>
      <c r="M622" s="436">
        <f t="shared" si="119"/>
        <v>2.9176084758041223E-11</v>
      </c>
      <c r="N622" s="301">
        <f t="shared" si="109"/>
        <v>2.9176084758041223E-11</v>
      </c>
      <c r="O622" s="302">
        <f t="shared" si="110"/>
        <v>0</v>
      </c>
      <c r="P622" s="436">
        <f t="shared" si="111"/>
        <v>0</v>
      </c>
      <c r="Q622" s="11">
        <f t="shared" si="120"/>
        <v>0</v>
      </c>
      <c r="R622" s="426">
        <f t="shared" si="121"/>
        <v>0</v>
      </c>
      <c r="S622" s="354">
        <f>+Hirdetmény!$AA$46</f>
        <v>0.13400000000000001</v>
      </c>
      <c r="T622" s="302">
        <f t="shared" si="112"/>
        <v>0</v>
      </c>
      <c r="U622" s="302">
        <f t="shared" si="122"/>
        <v>0</v>
      </c>
      <c r="V622" s="302">
        <f t="shared" si="123"/>
        <v>0</v>
      </c>
      <c r="W622" s="302">
        <f t="shared" si="124"/>
        <v>0</v>
      </c>
      <c r="AA622" s="10">
        <f t="shared" si="125"/>
        <v>0</v>
      </c>
      <c r="AB622" s="354">
        <f>+paraméterek!$B$346</f>
        <v>6.4600000000000005E-2</v>
      </c>
      <c r="AC622" s="302">
        <f t="shared" si="113"/>
        <v>0</v>
      </c>
      <c r="AD622" s="302">
        <f t="shared" si="128"/>
        <v>0</v>
      </c>
      <c r="AE622" s="302">
        <f t="shared" si="126"/>
        <v>0</v>
      </c>
      <c r="AF622" s="478">
        <f t="shared" si="114"/>
        <v>0</v>
      </c>
      <c r="AI622" s="543">
        <f t="shared" si="127"/>
        <v>0</v>
      </c>
      <c r="AJ622" s="543"/>
      <c r="AK622" s="300"/>
      <c r="AL622" s="543"/>
      <c r="AM622" s="10"/>
    </row>
    <row r="623" spans="1:39" s="11" customFormat="1" ht="13.8" hidden="1" x14ac:dyDescent="0.25">
      <c r="A623" s="11">
        <v>268</v>
      </c>
      <c r="B623" s="11">
        <f t="shared" si="115"/>
        <v>23</v>
      </c>
      <c r="C623" s="354">
        <f t="shared" si="104"/>
        <v>0</v>
      </c>
      <c r="D623" s="300">
        <f t="shared" si="106"/>
        <v>1.151056494563818E-8</v>
      </c>
      <c r="E623" s="354">
        <f t="shared" si="116"/>
        <v>0.13400000000000001</v>
      </c>
      <c r="F623" s="354">
        <f t="shared" si="105"/>
        <v>0.03</v>
      </c>
      <c r="H623" s="436">
        <f t="shared" si="107"/>
        <v>0</v>
      </c>
      <c r="I623" s="302">
        <f t="shared" si="108"/>
        <v>0</v>
      </c>
      <c r="K623" s="426">
        <f t="shared" si="117"/>
        <v>2.9176084758041223E-11</v>
      </c>
      <c r="L623" s="10">
        <f t="shared" si="118"/>
        <v>2.9176084758041223E-11</v>
      </c>
      <c r="M623" s="436">
        <f t="shared" si="119"/>
        <v>2.9176084758041223E-11</v>
      </c>
      <c r="N623" s="301">
        <f t="shared" si="109"/>
        <v>2.9176084758041223E-11</v>
      </c>
      <c r="O623" s="302">
        <f t="shared" si="110"/>
        <v>0</v>
      </c>
      <c r="P623" s="436">
        <f t="shared" si="111"/>
        <v>0</v>
      </c>
      <c r="Q623" s="11">
        <f t="shared" si="120"/>
        <v>0</v>
      </c>
      <c r="R623" s="426">
        <f t="shared" si="121"/>
        <v>0</v>
      </c>
      <c r="S623" s="354">
        <f>+Hirdetmény!$AA$46</f>
        <v>0.13400000000000001</v>
      </c>
      <c r="T623" s="302">
        <f t="shared" si="112"/>
        <v>0</v>
      </c>
      <c r="U623" s="302">
        <f t="shared" si="122"/>
        <v>0</v>
      </c>
      <c r="V623" s="302">
        <f t="shared" si="123"/>
        <v>0</v>
      </c>
      <c r="W623" s="302">
        <f t="shared" si="124"/>
        <v>0</v>
      </c>
      <c r="AA623" s="10">
        <f t="shared" si="125"/>
        <v>0</v>
      </c>
      <c r="AB623" s="354">
        <f>+paraméterek!$B$346</f>
        <v>6.4600000000000005E-2</v>
      </c>
      <c r="AC623" s="302">
        <f t="shared" si="113"/>
        <v>0</v>
      </c>
      <c r="AD623" s="302">
        <f t="shared" si="128"/>
        <v>0</v>
      </c>
      <c r="AE623" s="302">
        <f t="shared" si="126"/>
        <v>0</v>
      </c>
      <c r="AF623" s="478">
        <f t="shared" si="114"/>
        <v>0</v>
      </c>
      <c r="AI623" s="543">
        <f t="shared" si="127"/>
        <v>0</v>
      </c>
      <c r="AJ623" s="543"/>
      <c r="AK623" s="300"/>
      <c r="AL623" s="543"/>
      <c r="AM623" s="10"/>
    </row>
    <row r="624" spans="1:39" s="11" customFormat="1" ht="13.8" hidden="1" x14ac:dyDescent="0.25">
      <c r="A624" s="11">
        <v>269</v>
      </c>
      <c r="B624" s="11">
        <f t="shared" si="115"/>
        <v>23</v>
      </c>
      <c r="C624" s="354">
        <f t="shared" si="104"/>
        <v>0</v>
      </c>
      <c r="D624" s="300">
        <f t="shared" si="106"/>
        <v>1.151056494563818E-8</v>
      </c>
      <c r="E624" s="354">
        <f t="shared" si="116"/>
        <v>0.13400000000000001</v>
      </c>
      <c r="F624" s="354">
        <f t="shared" si="105"/>
        <v>0.03</v>
      </c>
      <c r="H624" s="436">
        <f t="shared" si="107"/>
        <v>0</v>
      </c>
      <c r="I624" s="302">
        <f t="shared" si="108"/>
        <v>0</v>
      </c>
      <c r="K624" s="426">
        <f t="shared" si="117"/>
        <v>2.9176084758041223E-11</v>
      </c>
      <c r="L624" s="10">
        <f t="shared" si="118"/>
        <v>2.9176084758041223E-11</v>
      </c>
      <c r="M624" s="436">
        <f t="shared" si="119"/>
        <v>2.9176084758041223E-11</v>
      </c>
      <c r="N624" s="301">
        <f t="shared" si="109"/>
        <v>2.9176084758041223E-11</v>
      </c>
      <c r="O624" s="302">
        <f t="shared" si="110"/>
        <v>0</v>
      </c>
      <c r="P624" s="436">
        <f t="shared" si="111"/>
        <v>0</v>
      </c>
      <c r="Q624" s="11">
        <f t="shared" si="120"/>
        <v>0</v>
      </c>
      <c r="R624" s="426">
        <f t="shared" si="121"/>
        <v>0</v>
      </c>
      <c r="S624" s="354">
        <f>+Hirdetmény!$AA$46</f>
        <v>0.13400000000000001</v>
      </c>
      <c r="T624" s="302">
        <f t="shared" si="112"/>
        <v>0</v>
      </c>
      <c r="U624" s="302">
        <f t="shared" si="122"/>
        <v>0</v>
      </c>
      <c r="V624" s="302">
        <f t="shared" si="123"/>
        <v>0</v>
      </c>
      <c r="W624" s="302">
        <f t="shared" si="124"/>
        <v>0</v>
      </c>
      <c r="AA624" s="10">
        <f t="shared" si="125"/>
        <v>0</v>
      </c>
      <c r="AB624" s="354">
        <f>+paraméterek!$B$346</f>
        <v>6.4600000000000005E-2</v>
      </c>
      <c r="AC624" s="302">
        <f t="shared" si="113"/>
        <v>0</v>
      </c>
      <c r="AD624" s="302">
        <f t="shared" si="128"/>
        <v>0</v>
      </c>
      <c r="AE624" s="302">
        <f t="shared" si="126"/>
        <v>0</v>
      </c>
      <c r="AF624" s="478">
        <f t="shared" si="114"/>
        <v>0</v>
      </c>
      <c r="AI624" s="543">
        <f t="shared" si="127"/>
        <v>0</v>
      </c>
      <c r="AJ624" s="543"/>
      <c r="AK624" s="300"/>
      <c r="AL624" s="543"/>
      <c r="AM624" s="10"/>
    </row>
    <row r="625" spans="1:39" s="11" customFormat="1" ht="13.8" hidden="1" x14ac:dyDescent="0.25">
      <c r="A625" s="11">
        <v>270</v>
      </c>
      <c r="B625" s="11">
        <f t="shared" si="115"/>
        <v>23</v>
      </c>
      <c r="C625" s="354">
        <f t="shared" si="104"/>
        <v>0</v>
      </c>
      <c r="D625" s="300">
        <f t="shared" si="106"/>
        <v>1.151056494563818E-8</v>
      </c>
      <c r="E625" s="354">
        <f t="shared" si="116"/>
        <v>0.13400000000000001</v>
      </c>
      <c r="F625" s="354">
        <f t="shared" si="105"/>
        <v>0.03</v>
      </c>
      <c r="H625" s="436">
        <f t="shared" si="107"/>
        <v>0</v>
      </c>
      <c r="I625" s="302">
        <f t="shared" si="108"/>
        <v>0</v>
      </c>
      <c r="K625" s="426">
        <f t="shared" si="117"/>
        <v>2.9176084758041223E-11</v>
      </c>
      <c r="L625" s="10">
        <f t="shared" si="118"/>
        <v>2.9176084758041223E-11</v>
      </c>
      <c r="M625" s="436">
        <f t="shared" si="119"/>
        <v>2.9176084758041223E-11</v>
      </c>
      <c r="N625" s="301">
        <f t="shared" si="109"/>
        <v>2.9176084758041223E-11</v>
      </c>
      <c r="O625" s="302">
        <f t="shared" si="110"/>
        <v>0</v>
      </c>
      <c r="P625" s="436">
        <f t="shared" si="111"/>
        <v>0</v>
      </c>
      <c r="Q625" s="11">
        <f t="shared" si="120"/>
        <v>0</v>
      </c>
      <c r="R625" s="426">
        <f t="shared" si="121"/>
        <v>0</v>
      </c>
      <c r="S625" s="354">
        <f>+Hirdetmény!$AA$46</f>
        <v>0.13400000000000001</v>
      </c>
      <c r="T625" s="302">
        <f t="shared" si="112"/>
        <v>0</v>
      </c>
      <c r="U625" s="302">
        <f t="shared" si="122"/>
        <v>0</v>
      </c>
      <c r="V625" s="302">
        <f t="shared" si="123"/>
        <v>0</v>
      </c>
      <c r="W625" s="302">
        <f t="shared" si="124"/>
        <v>0</v>
      </c>
      <c r="AA625" s="10">
        <f t="shared" si="125"/>
        <v>0</v>
      </c>
      <c r="AB625" s="354">
        <f>+paraméterek!$B$346</f>
        <v>6.4600000000000005E-2</v>
      </c>
      <c r="AC625" s="302">
        <f t="shared" si="113"/>
        <v>0</v>
      </c>
      <c r="AD625" s="302">
        <f t="shared" si="128"/>
        <v>0</v>
      </c>
      <c r="AE625" s="302">
        <f t="shared" si="126"/>
        <v>0</v>
      </c>
      <c r="AF625" s="478">
        <f t="shared" si="114"/>
        <v>0</v>
      </c>
      <c r="AI625" s="543">
        <f t="shared" si="127"/>
        <v>0</v>
      </c>
      <c r="AJ625" s="543"/>
      <c r="AK625" s="300"/>
      <c r="AL625" s="543"/>
      <c r="AM625" s="10"/>
    </row>
    <row r="626" spans="1:39" s="11" customFormat="1" ht="13.8" hidden="1" x14ac:dyDescent="0.25">
      <c r="A626" s="11">
        <v>271</v>
      </c>
      <c r="B626" s="11">
        <f t="shared" si="115"/>
        <v>23</v>
      </c>
      <c r="C626" s="354">
        <f t="shared" si="104"/>
        <v>0</v>
      </c>
      <c r="D626" s="300">
        <f t="shared" si="106"/>
        <v>1.151056494563818E-8</v>
      </c>
      <c r="E626" s="354">
        <f t="shared" si="116"/>
        <v>0.13400000000000001</v>
      </c>
      <c r="F626" s="354">
        <f t="shared" si="105"/>
        <v>0.03</v>
      </c>
      <c r="H626" s="436">
        <f t="shared" si="107"/>
        <v>0</v>
      </c>
      <c r="I626" s="302">
        <f t="shared" si="108"/>
        <v>0</v>
      </c>
      <c r="K626" s="426">
        <f t="shared" si="117"/>
        <v>2.9176084758041223E-11</v>
      </c>
      <c r="L626" s="10">
        <f t="shared" si="118"/>
        <v>2.9176084758041223E-11</v>
      </c>
      <c r="M626" s="436">
        <f t="shared" si="119"/>
        <v>2.9176084758041223E-11</v>
      </c>
      <c r="N626" s="301">
        <f t="shared" si="109"/>
        <v>2.9176084758041223E-11</v>
      </c>
      <c r="O626" s="302">
        <f t="shared" si="110"/>
        <v>0</v>
      </c>
      <c r="P626" s="436">
        <f t="shared" si="111"/>
        <v>0</v>
      </c>
      <c r="Q626" s="11">
        <f t="shared" si="120"/>
        <v>0</v>
      </c>
      <c r="R626" s="426">
        <f t="shared" si="121"/>
        <v>0</v>
      </c>
      <c r="S626" s="354">
        <f>+Hirdetmény!$AA$46</f>
        <v>0.13400000000000001</v>
      </c>
      <c r="T626" s="302">
        <f t="shared" si="112"/>
        <v>0</v>
      </c>
      <c r="U626" s="302">
        <f t="shared" si="122"/>
        <v>0</v>
      </c>
      <c r="V626" s="302">
        <f t="shared" si="123"/>
        <v>0</v>
      </c>
      <c r="W626" s="302">
        <f t="shared" si="124"/>
        <v>0</v>
      </c>
      <c r="AA626" s="10">
        <f t="shared" si="125"/>
        <v>0</v>
      </c>
      <c r="AB626" s="354">
        <f>+paraméterek!$B$346</f>
        <v>6.4600000000000005E-2</v>
      </c>
      <c r="AC626" s="302">
        <f t="shared" si="113"/>
        <v>0</v>
      </c>
      <c r="AD626" s="302">
        <f t="shared" si="128"/>
        <v>0</v>
      </c>
      <c r="AE626" s="302">
        <f t="shared" si="126"/>
        <v>0</v>
      </c>
      <c r="AF626" s="478">
        <f t="shared" si="114"/>
        <v>0</v>
      </c>
      <c r="AI626" s="543">
        <f t="shared" si="127"/>
        <v>0</v>
      </c>
      <c r="AJ626" s="543"/>
      <c r="AK626" s="300"/>
      <c r="AL626" s="543"/>
      <c r="AM626" s="10"/>
    </row>
    <row r="627" spans="1:39" s="11" customFormat="1" ht="13.8" hidden="1" x14ac:dyDescent="0.25">
      <c r="A627" s="11">
        <v>272</v>
      </c>
      <c r="B627" s="11">
        <f t="shared" si="115"/>
        <v>23</v>
      </c>
      <c r="C627" s="354">
        <f t="shared" si="104"/>
        <v>0</v>
      </c>
      <c r="D627" s="300">
        <f t="shared" si="106"/>
        <v>1.151056494563818E-8</v>
      </c>
      <c r="E627" s="354">
        <f t="shared" si="116"/>
        <v>0.13400000000000001</v>
      </c>
      <c r="F627" s="354">
        <f t="shared" si="105"/>
        <v>0.03</v>
      </c>
      <c r="H627" s="436">
        <f t="shared" si="107"/>
        <v>0</v>
      </c>
      <c r="I627" s="302">
        <f t="shared" si="108"/>
        <v>0</v>
      </c>
      <c r="K627" s="426">
        <f t="shared" si="117"/>
        <v>2.9176084758041223E-11</v>
      </c>
      <c r="L627" s="10">
        <f t="shared" si="118"/>
        <v>2.9176084758041223E-11</v>
      </c>
      <c r="M627" s="436">
        <f t="shared" si="119"/>
        <v>2.9176084758041223E-11</v>
      </c>
      <c r="N627" s="301">
        <f t="shared" si="109"/>
        <v>2.9176084758041223E-11</v>
      </c>
      <c r="O627" s="302">
        <f t="shared" si="110"/>
        <v>0</v>
      </c>
      <c r="P627" s="436">
        <f t="shared" si="111"/>
        <v>0</v>
      </c>
      <c r="Q627" s="11">
        <f t="shared" si="120"/>
        <v>0</v>
      </c>
      <c r="R627" s="426">
        <f t="shared" si="121"/>
        <v>0</v>
      </c>
      <c r="S627" s="354">
        <f>+Hirdetmény!$AA$46</f>
        <v>0.13400000000000001</v>
      </c>
      <c r="T627" s="302">
        <f t="shared" si="112"/>
        <v>0</v>
      </c>
      <c r="U627" s="302">
        <f t="shared" si="122"/>
        <v>0</v>
      </c>
      <c r="V627" s="302">
        <f t="shared" si="123"/>
        <v>0</v>
      </c>
      <c r="W627" s="302">
        <f t="shared" si="124"/>
        <v>0</v>
      </c>
      <c r="AA627" s="10">
        <f t="shared" si="125"/>
        <v>0</v>
      </c>
      <c r="AB627" s="354">
        <f>+paraméterek!$B$346</f>
        <v>6.4600000000000005E-2</v>
      </c>
      <c r="AC627" s="302">
        <f t="shared" si="113"/>
        <v>0</v>
      </c>
      <c r="AD627" s="302">
        <f t="shared" si="128"/>
        <v>0</v>
      </c>
      <c r="AE627" s="302">
        <f t="shared" si="126"/>
        <v>0</v>
      </c>
      <c r="AF627" s="478">
        <f t="shared" si="114"/>
        <v>0</v>
      </c>
      <c r="AI627" s="543">
        <f t="shared" si="127"/>
        <v>0</v>
      </c>
      <c r="AJ627" s="543"/>
      <c r="AK627" s="300"/>
      <c r="AL627" s="543"/>
      <c r="AM627" s="10"/>
    </row>
    <row r="628" spans="1:39" s="11" customFormat="1" ht="13.8" hidden="1" x14ac:dyDescent="0.25">
      <c r="A628" s="11">
        <v>273</v>
      </c>
      <c r="B628" s="11">
        <f t="shared" si="115"/>
        <v>23</v>
      </c>
      <c r="C628" s="354">
        <f t="shared" si="104"/>
        <v>0</v>
      </c>
      <c r="D628" s="300">
        <f t="shared" si="106"/>
        <v>1.151056494563818E-8</v>
      </c>
      <c r="E628" s="354">
        <f t="shared" si="116"/>
        <v>0.13400000000000001</v>
      </c>
      <c r="F628" s="354">
        <f t="shared" si="105"/>
        <v>0.03</v>
      </c>
      <c r="H628" s="436">
        <f t="shared" si="107"/>
        <v>0</v>
      </c>
      <c r="I628" s="302">
        <f t="shared" si="108"/>
        <v>0</v>
      </c>
      <c r="K628" s="426">
        <f t="shared" si="117"/>
        <v>2.9176084758041223E-11</v>
      </c>
      <c r="L628" s="10">
        <f t="shared" si="118"/>
        <v>2.9176084758041223E-11</v>
      </c>
      <c r="M628" s="436">
        <f t="shared" si="119"/>
        <v>2.9176084758041223E-11</v>
      </c>
      <c r="N628" s="301">
        <f t="shared" si="109"/>
        <v>2.9176084758041223E-11</v>
      </c>
      <c r="O628" s="302">
        <f t="shared" si="110"/>
        <v>0</v>
      </c>
      <c r="P628" s="436">
        <f t="shared" si="111"/>
        <v>0</v>
      </c>
      <c r="Q628" s="11">
        <f t="shared" si="120"/>
        <v>0</v>
      </c>
      <c r="R628" s="426">
        <f t="shared" si="121"/>
        <v>0</v>
      </c>
      <c r="S628" s="354">
        <f>+Hirdetmény!$AA$46</f>
        <v>0.13400000000000001</v>
      </c>
      <c r="T628" s="302">
        <f t="shared" si="112"/>
        <v>0</v>
      </c>
      <c r="U628" s="302">
        <f t="shared" si="122"/>
        <v>0</v>
      </c>
      <c r="V628" s="302">
        <f t="shared" si="123"/>
        <v>0</v>
      </c>
      <c r="W628" s="302">
        <f t="shared" si="124"/>
        <v>0</v>
      </c>
      <c r="AA628" s="10">
        <f t="shared" si="125"/>
        <v>0</v>
      </c>
      <c r="AB628" s="354">
        <f>+paraméterek!$B$346</f>
        <v>6.4600000000000005E-2</v>
      </c>
      <c r="AC628" s="302">
        <f t="shared" si="113"/>
        <v>0</v>
      </c>
      <c r="AD628" s="302">
        <f t="shared" si="128"/>
        <v>0</v>
      </c>
      <c r="AE628" s="302">
        <f t="shared" si="126"/>
        <v>0</v>
      </c>
      <c r="AF628" s="478">
        <f t="shared" si="114"/>
        <v>0</v>
      </c>
      <c r="AI628" s="543">
        <f t="shared" si="127"/>
        <v>0</v>
      </c>
      <c r="AJ628" s="543"/>
      <c r="AK628" s="300"/>
      <c r="AL628" s="543"/>
      <c r="AM628" s="10"/>
    </row>
    <row r="629" spans="1:39" s="11" customFormat="1" ht="13.8" hidden="1" x14ac:dyDescent="0.25">
      <c r="A629" s="11">
        <v>274</v>
      </c>
      <c r="B629" s="11">
        <f t="shared" si="115"/>
        <v>23</v>
      </c>
      <c r="C629" s="354">
        <f t="shared" si="104"/>
        <v>0</v>
      </c>
      <c r="D629" s="300">
        <f t="shared" si="106"/>
        <v>1.151056494563818E-8</v>
      </c>
      <c r="E629" s="354">
        <f t="shared" si="116"/>
        <v>0.13400000000000001</v>
      </c>
      <c r="F629" s="354">
        <f t="shared" si="105"/>
        <v>0.03</v>
      </c>
      <c r="H629" s="436">
        <f t="shared" si="107"/>
        <v>0</v>
      </c>
      <c r="I629" s="302">
        <f t="shared" si="108"/>
        <v>0</v>
      </c>
      <c r="K629" s="426">
        <f t="shared" si="117"/>
        <v>2.9176084758041223E-11</v>
      </c>
      <c r="L629" s="10">
        <f t="shared" si="118"/>
        <v>2.9176084758041223E-11</v>
      </c>
      <c r="M629" s="436">
        <f t="shared" si="119"/>
        <v>2.9176084758041223E-11</v>
      </c>
      <c r="N629" s="301">
        <f t="shared" si="109"/>
        <v>2.9176084758041223E-11</v>
      </c>
      <c r="O629" s="302">
        <f t="shared" si="110"/>
        <v>0</v>
      </c>
      <c r="P629" s="436">
        <f t="shared" si="111"/>
        <v>0</v>
      </c>
      <c r="Q629" s="11">
        <f t="shared" si="120"/>
        <v>0</v>
      </c>
      <c r="R629" s="426">
        <f t="shared" si="121"/>
        <v>0</v>
      </c>
      <c r="S629" s="354">
        <f>+Hirdetmény!$AA$46</f>
        <v>0.13400000000000001</v>
      </c>
      <c r="T629" s="302">
        <f t="shared" si="112"/>
        <v>0</v>
      </c>
      <c r="U629" s="302">
        <f t="shared" si="122"/>
        <v>0</v>
      </c>
      <c r="V629" s="302">
        <f t="shared" si="123"/>
        <v>0</v>
      </c>
      <c r="W629" s="302">
        <f t="shared" si="124"/>
        <v>0</v>
      </c>
      <c r="AA629" s="10">
        <f t="shared" si="125"/>
        <v>0</v>
      </c>
      <c r="AB629" s="354">
        <f>+paraméterek!$B$346</f>
        <v>6.4600000000000005E-2</v>
      </c>
      <c r="AC629" s="302">
        <f t="shared" si="113"/>
        <v>0</v>
      </c>
      <c r="AD629" s="302">
        <f t="shared" si="128"/>
        <v>0</v>
      </c>
      <c r="AE629" s="302">
        <f t="shared" si="126"/>
        <v>0</v>
      </c>
      <c r="AF629" s="478">
        <f t="shared" si="114"/>
        <v>0</v>
      </c>
      <c r="AI629" s="543">
        <f t="shared" si="127"/>
        <v>0</v>
      </c>
      <c r="AJ629" s="543"/>
      <c r="AK629" s="300"/>
      <c r="AL629" s="543"/>
      <c r="AM629" s="10"/>
    </row>
    <row r="630" spans="1:39" s="11" customFormat="1" ht="13.8" hidden="1" x14ac:dyDescent="0.25">
      <c r="A630" s="11">
        <v>275</v>
      </c>
      <c r="B630" s="11">
        <f t="shared" si="115"/>
        <v>23</v>
      </c>
      <c r="C630" s="354">
        <f t="shared" si="104"/>
        <v>0</v>
      </c>
      <c r="D630" s="300">
        <f t="shared" si="106"/>
        <v>1.151056494563818E-8</v>
      </c>
      <c r="E630" s="354">
        <f t="shared" si="116"/>
        <v>0.13400000000000001</v>
      </c>
      <c r="F630" s="354">
        <f t="shared" si="105"/>
        <v>0.03</v>
      </c>
      <c r="H630" s="436">
        <f t="shared" si="107"/>
        <v>0</v>
      </c>
      <c r="I630" s="302">
        <f t="shared" si="108"/>
        <v>0</v>
      </c>
      <c r="K630" s="426">
        <f t="shared" si="117"/>
        <v>2.9176084758041223E-11</v>
      </c>
      <c r="L630" s="10">
        <f t="shared" si="118"/>
        <v>2.9176084758041223E-11</v>
      </c>
      <c r="M630" s="436">
        <f t="shared" si="119"/>
        <v>2.9176084758041223E-11</v>
      </c>
      <c r="N630" s="301">
        <f t="shared" si="109"/>
        <v>2.9176084758041223E-11</v>
      </c>
      <c r="O630" s="302">
        <f t="shared" si="110"/>
        <v>0</v>
      </c>
      <c r="P630" s="436">
        <f t="shared" si="111"/>
        <v>0</v>
      </c>
      <c r="Q630" s="11">
        <f t="shared" si="120"/>
        <v>0</v>
      </c>
      <c r="R630" s="426">
        <f t="shared" si="121"/>
        <v>0</v>
      </c>
      <c r="S630" s="354">
        <f>+Hirdetmény!$AA$46</f>
        <v>0.13400000000000001</v>
      </c>
      <c r="T630" s="302">
        <f t="shared" si="112"/>
        <v>0</v>
      </c>
      <c r="U630" s="302">
        <f t="shared" si="122"/>
        <v>0</v>
      </c>
      <c r="V630" s="302">
        <f t="shared" si="123"/>
        <v>0</v>
      </c>
      <c r="W630" s="302">
        <f t="shared" si="124"/>
        <v>0</v>
      </c>
      <c r="AA630" s="10">
        <f t="shared" si="125"/>
        <v>0</v>
      </c>
      <c r="AB630" s="354">
        <f>+paraméterek!$B$346</f>
        <v>6.4600000000000005E-2</v>
      </c>
      <c r="AC630" s="302">
        <f t="shared" si="113"/>
        <v>0</v>
      </c>
      <c r="AD630" s="302">
        <f t="shared" si="128"/>
        <v>0</v>
      </c>
      <c r="AE630" s="302">
        <f t="shared" si="126"/>
        <v>0</v>
      </c>
      <c r="AF630" s="478">
        <f t="shared" si="114"/>
        <v>0</v>
      </c>
      <c r="AI630" s="543">
        <f t="shared" si="127"/>
        <v>0</v>
      </c>
      <c r="AJ630" s="543"/>
      <c r="AK630" s="300"/>
      <c r="AL630" s="543"/>
      <c r="AM630" s="10"/>
    </row>
    <row r="631" spans="1:39" s="11" customFormat="1" ht="13.8" hidden="1" x14ac:dyDescent="0.25">
      <c r="A631" s="11">
        <v>276</v>
      </c>
      <c r="B631" s="11">
        <f t="shared" si="115"/>
        <v>23</v>
      </c>
      <c r="C631" s="354">
        <f t="shared" si="104"/>
        <v>0</v>
      </c>
      <c r="D631" s="300">
        <f t="shared" si="106"/>
        <v>1.151056494563818E-8</v>
      </c>
      <c r="E631" s="354">
        <f t="shared" si="116"/>
        <v>0.13400000000000001</v>
      </c>
      <c r="F631" s="354">
        <f t="shared" si="105"/>
        <v>0.03</v>
      </c>
      <c r="H631" s="436">
        <f t="shared" si="107"/>
        <v>0</v>
      </c>
      <c r="I631" s="302">
        <f t="shared" si="108"/>
        <v>0</v>
      </c>
      <c r="K631" s="426">
        <f t="shared" si="117"/>
        <v>2.9176084758041223E-11</v>
      </c>
      <c r="L631" s="10">
        <f t="shared" si="118"/>
        <v>2.9176084758041223E-11</v>
      </c>
      <c r="M631" s="436">
        <f t="shared" si="119"/>
        <v>2.9176084758041223E-11</v>
      </c>
      <c r="N631" s="301">
        <f t="shared" si="109"/>
        <v>2.9176084758041223E-11</v>
      </c>
      <c r="O631" s="302">
        <f t="shared" si="110"/>
        <v>0</v>
      </c>
      <c r="P631" s="436">
        <f t="shared" si="111"/>
        <v>0</v>
      </c>
      <c r="Q631" s="11">
        <f t="shared" si="120"/>
        <v>0</v>
      </c>
      <c r="R631" s="426">
        <f t="shared" si="121"/>
        <v>0</v>
      </c>
      <c r="S631" s="354">
        <f>+Hirdetmény!$AA$46</f>
        <v>0.13400000000000001</v>
      </c>
      <c r="T631" s="302">
        <f t="shared" si="112"/>
        <v>0</v>
      </c>
      <c r="U631" s="302">
        <f t="shared" si="122"/>
        <v>0</v>
      </c>
      <c r="V631" s="302">
        <f t="shared" si="123"/>
        <v>0</v>
      </c>
      <c r="W631" s="302">
        <f t="shared" si="124"/>
        <v>0</v>
      </c>
      <c r="AA631" s="10">
        <f t="shared" si="125"/>
        <v>0</v>
      </c>
      <c r="AB631" s="354">
        <f>+paraméterek!$B$346</f>
        <v>6.4600000000000005E-2</v>
      </c>
      <c r="AC631" s="302">
        <f t="shared" si="113"/>
        <v>0</v>
      </c>
      <c r="AD631" s="302">
        <f t="shared" si="128"/>
        <v>0</v>
      </c>
      <c r="AE631" s="302">
        <f t="shared" si="126"/>
        <v>0</v>
      </c>
      <c r="AF631" s="478">
        <f t="shared" si="114"/>
        <v>0</v>
      </c>
      <c r="AI631" s="543">
        <f t="shared" si="127"/>
        <v>0</v>
      </c>
      <c r="AJ631" s="543"/>
      <c r="AK631" s="300"/>
      <c r="AL631" s="543"/>
      <c r="AM631" s="10"/>
    </row>
    <row r="632" spans="1:39" s="11" customFormat="1" ht="13.8" hidden="1" x14ac:dyDescent="0.25">
      <c r="A632" s="11">
        <v>277</v>
      </c>
      <c r="B632" s="11">
        <f t="shared" si="115"/>
        <v>24</v>
      </c>
      <c r="C632" s="354">
        <f t="shared" si="104"/>
        <v>0</v>
      </c>
      <c r="D632" s="300">
        <f t="shared" si="106"/>
        <v>1.151056494563818E-8</v>
      </c>
      <c r="E632" s="354">
        <f t="shared" si="116"/>
        <v>0.13400000000000001</v>
      </c>
      <c r="F632" s="354">
        <f t="shared" si="105"/>
        <v>0.03</v>
      </c>
      <c r="H632" s="436">
        <f t="shared" si="107"/>
        <v>0</v>
      </c>
      <c r="I632" s="302">
        <f t="shared" si="108"/>
        <v>0</v>
      </c>
      <c r="K632" s="426">
        <f t="shared" si="117"/>
        <v>2.9176084758041223E-11</v>
      </c>
      <c r="L632" s="10">
        <f t="shared" si="118"/>
        <v>2.9176084758041223E-11</v>
      </c>
      <c r="M632" s="436">
        <f t="shared" si="119"/>
        <v>2.9176084758041223E-11</v>
      </c>
      <c r="N632" s="301">
        <f t="shared" si="109"/>
        <v>2.9176084758041223E-11</v>
      </c>
      <c r="O632" s="302">
        <f t="shared" si="110"/>
        <v>0</v>
      </c>
      <c r="P632" s="436">
        <f t="shared" si="111"/>
        <v>0</v>
      </c>
      <c r="Q632" s="11">
        <f t="shared" si="120"/>
        <v>0</v>
      </c>
      <c r="R632" s="426">
        <f t="shared" si="121"/>
        <v>0</v>
      </c>
      <c r="S632" s="354">
        <f>+Hirdetmény!$AA$46</f>
        <v>0.13400000000000001</v>
      </c>
      <c r="T632" s="302">
        <f t="shared" si="112"/>
        <v>0</v>
      </c>
      <c r="U632" s="302">
        <f t="shared" si="122"/>
        <v>0</v>
      </c>
      <c r="V632" s="302">
        <f t="shared" si="123"/>
        <v>0</v>
      </c>
      <c r="W632" s="302">
        <f t="shared" si="124"/>
        <v>0</v>
      </c>
      <c r="AA632" s="10">
        <f t="shared" si="125"/>
        <v>0</v>
      </c>
      <c r="AB632" s="354">
        <f>+paraméterek!$B$346</f>
        <v>6.4600000000000005E-2</v>
      </c>
      <c r="AC632" s="302">
        <f t="shared" si="113"/>
        <v>0</v>
      </c>
      <c r="AD632" s="302">
        <f t="shared" si="128"/>
        <v>0</v>
      </c>
      <c r="AE632" s="302">
        <f t="shared" si="126"/>
        <v>0</v>
      </c>
      <c r="AF632" s="478">
        <f t="shared" si="114"/>
        <v>0</v>
      </c>
      <c r="AI632" s="543">
        <f t="shared" si="127"/>
        <v>0</v>
      </c>
      <c r="AJ632" s="543"/>
      <c r="AK632" s="300"/>
      <c r="AL632" s="543"/>
      <c r="AM632" s="10"/>
    </row>
    <row r="633" spans="1:39" s="11" customFormat="1" ht="13.8" hidden="1" x14ac:dyDescent="0.25">
      <c r="A633" s="11">
        <v>278</v>
      </c>
      <c r="B633" s="11">
        <f t="shared" si="115"/>
        <v>24</v>
      </c>
      <c r="C633" s="354">
        <f t="shared" si="104"/>
        <v>0</v>
      </c>
      <c r="D633" s="300">
        <f t="shared" si="106"/>
        <v>1.151056494563818E-8</v>
      </c>
      <c r="E633" s="354">
        <f t="shared" si="116"/>
        <v>0.13400000000000001</v>
      </c>
      <c r="F633" s="354">
        <f t="shared" si="105"/>
        <v>0.03</v>
      </c>
      <c r="H633" s="436">
        <f t="shared" si="107"/>
        <v>0</v>
      </c>
      <c r="I633" s="302">
        <f t="shared" si="108"/>
        <v>0</v>
      </c>
      <c r="K633" s="426">
        <f t="shared" si="117"/>
        <v>2.9176084758041223E-11</v>
      </c>
      <c r="L633" s="10">
        <f t="shared" si="118"/>
        <v>2.9176084758041223E-11</v>
      </c>
      <c r="M633" s="436">
        <f t="shared" si="119"/>
        <v>2.9176084758041223E-11</v>
      </c>
      <c r="N633" s="301">
        <f t="shared" si="109"/>
        <v>2.9176084758041223E-11</v>
      </c>
      <c r="O633" s="302">
        <f t="shared" si="110"/>
        <v>0</v>
      </c>
      <c r="P633" s="436">
        <f t="shared" si="111"/>
        <v>0</v>
      </c>
      <c r="Q633" s="11">
        <f t="shared" si="120"/>
        <v>0</v>
      </c>
      <c r="R633" s="426">
        <f t="shared" si="121"/>
        <v>0</v>
      </c>
      <c r="S633" s="354">
        <f>+Hirdetmény!$AA$46</f>
        <v>0.13400000000000001</v>
      </c>
      <c r="T633" s="302">
        <f t="shared" si="112"/>
        <v>0</v>
      </c>
      <c r="U633" s="302">
        <f t="shared" si="122"/>
        <v>0</v>
      </c>
      <c r="V633" s="302">
        <f t="shared" si="123"/>
        <v>0</v>
      </c>
      <c r="W633" s="302">
        <f t="shared" si="124"/>
        <v>0</v>
      </c>
      <c r="AA633" s="10">
        <f t="shared" si="125"/>
        <v>0</v>
      </c>
      <c r="AB633" s="354">
        <f>+paraméterek!$B$346</f>
        <v>6.4600000000000005E-2</v>
      </c>
      <c r="AC633" s="302">
        <f t="shared" si="113"/>
        <v>0</v>
      </c>
      <c r="AD633" s="302">
        <f t="shared" si="128"/>
        <v>0</v>
      </c>
      <c r="AE633" s="302">
        <f t="shared" si="126"/>
        <v>0</v>
      </c>
      <c r="AF633" s="478">
        <f t="shared" si="114"/>
        <v>0</v>
      </c>
      <c r="AI633" s="543">
        <f t="shared" si="127"/>
        <v>0</v>
      </c>
      <c r="AJ633" s="543"/>
      <c r="AK633" s="300"/>
      <c r="AL633" s="543"/>
      <c r="AM633" s="10"/>
    </row>
    <row r="634" spans="1:39" s="11" customFormat="1" ht="13.8" hidden="1" x14ac:dyDescent="0.25">
      <c r="A634" s="11">
        <v>279</v>
      </c>
      <c r="B634" s="11">
        <f t="shared" si="115"/>
        <v>24</v>
      </c>
      <c r="C634" s="354">
        <f t="shared" si="104"/>
        <v>0</v>
      </c>
      <c r="D634" s="300">
        <f t="shared" si="106"/>
        <v>1.151056494563818E-8</v>
      </c>
      <c r="E634" s="354">
        <f t="shared" si="116"/>
        <v>0.13400000000000001</v>
      </c>
      <c r="F634" s="354">
        <f t="shared" si="105"/>
        <v>0.03</v>
      </c>
      <c r="H634" s="436">
        <f t="shared" si="107"/>
        <v>0</v>
      </c>
      <c r="I634" s="302">
        <f t="shared" si="108"/>
        <v>0</v>
      </c>
      <c r="K634" s="426">
        <f t="shared" si="117"/>
        <v>2.9176084758041223E-11</v>
      </c>
      <c r="L634" s="10">
        <f t="shared" si="118"/>
        <v>2.9176084758041223E-11</v>
      </c>
      <c r="M634" s="436">
        <f t="shared" si="119"/>
        <v>2.9176084758041223E-11</v>
      </c>
      <c r="N634" s="301">
        <f t="shared" si="109"/>
        <v>2.9176084758041223E-11</v>
      </c>
      <c r="O634" s="302">
        <f t="shared" si="110"/>
        <v>0</v>
      </c>
      <c r="P634" s="436">
        <f t="shared" si="111"/>
        <v>0</v>
      </c>
      <c r="Q634" s="11">
        <f t="shared" si="120"/>
        <v>0</v>
      </c>
      <c r="R634" s="426">
        <f t="shared" si="121"/>
        <v>0</v>
      </c>
      <c r="S634" s="354">
        <f>+Hirdetmény!$AA$46</f>
        <v>0.13400000000000001</v>
      </c>
      <c r="T634" s="302">
        <f t="shared" si="112"/>
        <v>0</v>
      </c>
      <c r="U634" s="302">
        <f t="shared" si="122"/>
        <v>0</v>
      </c>
      <c r="V634" s="302">
        <f t="shared" si="123"/>
        <v>0</v>
      </c>
      <c r="W634" s="302">
        <f t="shared" si="124"/>
        <v>0</v>
      </c>
      <c r="AA634" s="10">
        <f t="shared" si="125"/>
        <v>0</v>
      </c>
      <c r="AB634" s="354">
        <f>+paraméterek!$B$346</f>
        <v>6.4600000000000005E-2</v>
      </c>
      <c r="AC634" s="302">
        <f t="shared" si="113"/>
        <v>0</v>
      </c>
      <c r="AD634" s="302">
        <f t="shared" si="128"/>
        <v>0</v>
      </c>
      <c r="AE634" s="302">
        <f t="shared" si="126"/>
        <v>0</v>
      </c>
      <c r="AF634" s="478">
        <f t="shared" si="114"/>
        <v>0</v>
      </c>
      <c r="AI634" s="543">
        <f t="shared" si="127"/>
        <v>0</v>
      </c>
      <c r="AJ634" s="543"/>
      <c r="AK634" s="300"/>
      <c r="AL634" s="543"/>
      <c r="AM634" s="10"/>
    </row>
    <row r="635" spans="1:39" s="11" customFormat="1" ht="13.8" hidden="1" x14ac:dyDescent="0.25">
      <c r="A635" s="11">
        <v>280</v>
      </c>
      <c r="B635" s="11">
        <f t="shared" si="115"/>
        <v>24</v>
      </c>
      <c r="C635" s="354">
        <f t="shared" si="104"/>
        <v>0</v>
      </c>
      <c r="D635" s="300">
        <f t="shared" si="106"/>
        <v>1.151056494563818E-8</v>
      </c>
      <c r="E635" s="354">
        <f t="shared" si="116"/>
        <v>0.13400000000000001</v>
      </c>
      <c r="F635" s="354">
        <f t="shared" si="105"/>
        <v>0.03</v>
      </c>
      <c r="H635" s="436">
        <f t="shared" si="107"/>
        <v>0</v>
      </c>
      <c r="I635" s="302">
        <f t="shared" si="108"/>
        <v>0</v>
      </c>
      <c r="K635" s="426">
        <f t="shared" si="117"/>
        <v>2.9176084758041223E-11</v>
      </c>
      <c r="L635" s="10">
        <f t="shared" si="118"/>
        <v>2.9176084758041223E-11</v>
      </c>
      <c r="M635" s="436">
        <f t="shared" si="119"/>
        <v>2.9176084758041223E-11</v>
      </c>
      <c r="N635" s="301">
        <f t="shared" si="109"/>
        <v>2.9176084758041223E-11</v>
      </c>
      <c r="O635" s="302">
        <f t="shared" si="110"/>
        <v>0</v>
      </c>
      <c r="P635" s="436">
        <f t="shared" si="111"/>
        <v>0</v>
      </c>
      <c r="Q635" s="11">
        <f t="shared" si="120"/>
        <v>0</v>
      </c>
      <c r="R635" s="426">
        <f t="shared" si="121"/>
        <v>0</v>
      </c>
      <c r="S635" s="354">
        <f>+Hirdetmény!$AA$46</f>
        <v>0.13400000000000001</v>
      </c>
      <c r="T635" s="302">
        <f t="shared" si="112"/>
        <v>0</v>
      </c>
      <c r="U635" s="302">
        <f t="shared" si="122"/>
        <v>0</v>
      </c>
      <c r="V635" s="302">
        <f t="shared" si="123"/>
        <v>0</v>
      </c>
      <c r="W635" s="302">
        <f t="shared" si="124"/>
        <v>0</v>
      </c>
      <c r="AA635" s="10">
        <f t="shared" si="125"/>
        <v>0</v>
      </c>
      <c r="AB635" s="354">
        <f>+paraméterek!$B$346</f>
        <v>6.4600000000000005E-2</v>
      </c>
      <c r="AC635" s="302">
        <f t="shared" si="113"/>
        <v>0</v>
      </c>
      <c r="AD635" s="302">
        <f t="shared" si="128"/>
        <v>0</v>
      </c>
      <c r="AE635" s="302">
        <f t="shared" si="126"/>
        <v>0</v>
      </c>
      <c r="AF635" s="478">
        <f t="shared" si="114"/>
        <v>0</v>
      </c>
      <c r="AI635" s="543">
        <f t="shared" si="127"/>
        <v>0</v>
      </c>
      <c r="AJ635" s="543"/>
      <c r="AK635" s="300"/>
      <c r="AL635" s="543"/>
      <c r="AM635" s="10"/>
    </row>
    <row r="636" spans="1:39" s="11" customFormat="1" ht="13.8" hidden="1" x14ac:dyDescent="0.25">
      <c r="A636" s="11">
        <v>281</v>
      </c>
      <c r="B636" s="11">
        <f t="shared" si="115"/>
        <v>24</v>
      </c>
      <c r="C636" s="354">
        <f t="shared" si="104"/>
        <v>0</v>
      </c>
      <c r="D636" s="300">
        <f t="shared" si="106"/>
        <v>1.151056494563818E-8</v>
      </c>
      <c r="E636" s="354">
        <f t="shared" si="116"/>
        <v>0.13400000000000001</v>
      </c>
      <c r="F636" s="354">
        <f t="shared" si="105"/>
        <v>0.03</v>
      </c>
      <c r="H636" s="436">
        <f t="shared" si="107"/>
        <v>0</v>
      </c>
      <c r="I636" s="302">
        <f t="shared" si="108"/>
        <v>0</v>
      </c>
      <c r="K636" s="426">
        <f t="shared" si="117"/>
        <v>2.9176084758041223E-11</v>
      </c>
      <c r="L636" s="10">
        <f t="shared" si="118"/>
        <v>2.9176084758041223E-11</v>
      </c>
      <c r="M636" s="436">
        <f t="shared" si="119"/>
        <v>2.9176084758041223E-11</v>
      </c>
      <c r="N636" s="301">
        <f t="shared" si="109"/>
        <v>2.9176084758041223E-11</v>
      </c>
      <c r="O636" s="302">
        <f t="shared" si="110"/>
        <v>0</v>
      </c>
      <c r="P636" s="436">
        <f t="shared" si="111"/>
        <v>0</v>
      </c>
      <c r="Q636" s="11">
        <f t="shared" si="120"/>
        <v>0</v>
      </c>
      <c r="R636" s="426">
        <f t="shared" si="121"/>
        <v>0</v>
      </c>
      <c r="S636" s="354">
        <f>+Hirdetmény!$AA$46</f>
        <v>0.13400000000000001</v>
      </c>
      <c r="T636" s="302">
        <f t="shared" si="112"/>
        <v>0</v>
      </c>
      <c r="U636" s="302">
        <f t="shared" si="122"/>
        <v>0</v>
      </c>
      <c r="V636" s="302">
        <f t="shared" si="123"/>
        <v>0</v>
      </c>
      <c r="W636" s="302">
        <f t="shared" si="124"/>
        <v>0</v>
      </c>
      <c r="AA636" s="10">
        <f t="shared" si="125"/>
        <v>0</v>
      </c>
      <c r="AB636" s="354">
        <f>+paraméterek!$B$346</f>
        <v>6.4600000000000005E-2</v>
      </c>
      <c r="AC636" s="302">
        <f t="shared" si="113"/>
        <v>0</v>
      </c>
      <c r="AD636" s="302">
        <f t="shared" si="128"/>
        <v>0</v>
      </c>
      <c r="AE636" s="302">
        <f t="shared" si="126"/>
        <v>0</v>
      </c>
      <c r="AF636" s="478">
        <f t="shared" si="114"/>
        <v>0</v>
      </c>
      <c r="AI636" s="543">
        <f t="shared" si="127"/>
        <v>0</v>
      </c>
      <c r="AJ636" s="543"/>
      <c r="AK636" s="300"/>
      <c r="AL636" s="543"/>
      <c r="AM636" s="10"/>
    </row>
    <row r="637" spans="1:39" s="11" customFormat="1" ht="13.8" hidden="1" x14ac:dyDescent="0.25">
      <c r="A637" s="11">
        <v>282</v>
      </c>
      <c r="B637" s="11">
        <f t="shared" si="115"/>
        <v>24</v>
      </c>
      <c r="C637" s="354">
        <f t="shared" si="104"/>
        <v>0</v>
      </c>
      <c r="D637" s="300">
        <f t="shared" si="106"/>
        <v>1.151056494563818E-8</v>
      </c>
      <c r="E637" s="354">
        <f t="shared" si="116"/>
        <v>0.13400000000000001</v>
      </c>
      <c r="F637" s="354">
        <f t="shared" si="105"/>
        <v>0.03</v>
      </c>
      <c r="H637" s="436">
        <f t="shared" si="107"/>
        <v>0</v>
      </c>
      <c r="I637" s="302">
        <f t="shared" si="108"/>
        <v>0</v>
      </c>
      <c r="K637" s="426">
        <f t="shared" si="117"/>
        <v>2.9176084758041223E-11</v>
      </c>
      <c r="L637" s="10">
        <f t="shared" si="118"/>
        <v>2.9176084758041223E-11</v>
      </c>
      <c r="M637" s="436">
        <f t="shared" si="119"/>
        <v>2.9176084758041223E-11</v>
      </c>
      <c r="N637" s="301">
        <f t="shared" si="109"/>
        <v>2.9176084758041223E-11</v>
      </c>
      <c r="O637" s="302">
        <f t="shared" si="110"/>
        <v>0</v>
      </c>
      <c r="P637" s="436">
        <f t="shared" si="111"/>
        <v>0</v>
      </c>
      <c r="Q637" s="11">
        <f t="shared" si="120"/>
        <v>0</v>
      </c>
      <c r="R637" s="426">
        <f t="shared" si="121"/>
        <v>0</v>
      </c>
      <c r="S637" s="354">
        <f>+Hirdetmény!$AA$46</f>
        <v>0.13400000000000001</v>
      </c>
      <c r="T637" s="302">
        <f t="shared" si="112"/>
        <v>0</v>
      </c>
      <c r="U637" s="302">
        <f t="shared" si="122"/>
        <v>0</v>
      </c>
      <c r="V637" s="302">
        <f t="shared" si="123"/>
        <v>0</v>
      </c>
      <c r="W637" s="302">
        <f t="shared" si="124"/>
        <v>0</v>
      </c>
      <c r="AA637" s="10">
        <f t="shared" si="125"/>
        <v>0</v>
      </c>
      <c r="AB637" s="354">
        <f>+paraméterek!$B$346</f>
        <v>6.4600000000000005E-2</v>
      </c>
      <c r="AC637" s="302">
        <f t="shared" si="113"/>
        <v>0</v>
      </c>
      <c r="AD637" s="302">
        <f t="shared" si="128"/>
        <v>0</v>
      </c>
      <c r="AE637" s="302">
        <f t="shared" si="126"/>
        <v>0</v>
      </c>
      <c r="AF637" s="478">
        <f t="shared" si="114"/>
        <v>0</v>
      </c>
      <c r="AI637" s="543">
        <f t="shared" si="127"/>
        <v>0</v>
      </c>
      <c r="AJ637" s="543"/>
      <c r="AK637" s="300"/>
      <c r="AL637" s="543"/>
      <c r="AM637" s="10"/>
    </row>
    <row r="638" spans="1:39" s="11" customFormat="1" ht="13.8" hidden="1" x14ac:dyDescent="0.25">
      <c r="A638" s="11">
        <v>283</v>
      </c>
      <c r="B638" s="11">
        <f t="shared" si="115"/>
        <v>24</v>
      </c>
      <c r="C638" s="354">
        <f t="shared" si="104"/>
        <v>0</v>
      </c>
      <c r="D638" s="300">
        <f t="shared" si="106"/>
        <v>1.151056494563818E-8</v>
      </c>
      <c r="E638" s="354">
        <f t="shared" si="116"/>
        <v>0.13400000000000001</v>
      </c>
      <c r="F638" s="354">
        <f t="shared" si="105"/>
        <v>0.03</v>
      </c>
      <c r="H638" s="436">
        <f t="shared" si="107"/>
        <v>0</v>
      </c>
      <c r="I638" s="302">
        <f t="shared" si="108"/>
        <v>0</v>
      </c>
      <c r="K638" s="426">
        <f t="shared" si="117"/>
        <v>2.9176084758041223E-11</v>
      </c>
      <c r="L638" s="10">
        <f t="shared" si="118"/>
        <v>2.9176084758041223E-11</v>
      </c>
      <c r="M638" s="436">
        <f t="shared" si="119"/>
        <v>2.9176084758041223E-11</v>
      </c>
      <c r="N638" s="301">
        <f t="shared" si="109"/>
        <v>2.9176084758041223E-11</v>
      </c>
      <c r="O638" s="302">
        <f t="shared" si="110"/>
        <v>0</v>
      </c>
      <c r="P638" s="436">
        <f t="shared" si="111"/>
        <v>0</v>
      </c>
      <c r="Q638" s="11">
        <f t="shared" si="120"/>
        <v>0</v>
      </c>
      <c r="R638" s="426">
        <f t="shared" si="121"/>
        <v>0</v>
      </c>
      <c r="S638" s="354">
        <f>+Hirdetmény!$AA$46</f>
        <v>0.13400000000000001</v>
      </c>
      <c r="T638" s="302">
        <f t="shared" si="112"/>
        <v>0</v>
      </c>
      <c r="U638" s="302">
        <f t="shared" si="122"/>
        <v>0</v>
      </c>
      <c r="V638" s="302">
        <f t="shared" si="123"/>
        <v>0</v>
      </c>
      <c r="W638" s="302">
        <f t="shared" si="124"/>
        <v>0</v>
      </c>
      <c r="AA638" s="10">
        <f t="shared" si="125"/>
        <v>0</v>
      </c>
      <c r="AB638" s="354">
        <f>+paraméterek!$B$346</f>
        <v>6.4600000000000005E-2</v>
      </c>
      <c r="AC638" s="302">
        <f t="shared" si="113"/>
        <v>0</v>
      </c>
      <c r="AD638" s="302">
        <f t="shared" si="128"/>
        <v>0</v>
      </c>
      <c r="AE638" s="302">
        <f t="shared" si="126"/>
        <v>0</v>
      </c>
      <c r="AF638" s="478">
        <f t="shared" si="114"/>
        <v>0</v>
      </c>
      <c r="AI638" s="543">
        <f t="shared" si="127"/>
        <v>0</v>
      </c>
      <c r="AJ638" s="543"/>
      <c r="AK638" s="300"/>
      <c r="AL638" s="543"/>
      <c r="AM638" s="10"/>
    </row>
    <row r="639" spans="1:39" s="11" customFormat="1" ht="13.8" hidden="1" x14ac:dyDescent="0.25">
      <c r="A639" s="11">
        <v>284</v>
      </c>
      <c r="B639" s="11">
        <f t="shared" si="115"/>
        <v>24</v>
      </c>
      <c r="C639" s="354">
        <f t="shared" si="104"/>
        <v>0</v>
      </c>
      <c r="D639" s="300">
        <f t="shared" si="106"/>
        <v>1.151056494563818E-8</v>
      </c>
      <c r="E639" s="354">
        <f t="shared" si="116"/>
        <v>0.13400000000000001</v>
      </c>
      <c r="F639" s="354">
        <f t="shared" si="105"/>
        <v>0.03</v>
      </c>
      <c r="H639" s="436">
        <f t="shared" si="107"/>
        <v>0</v>
      </c>
      <c r="I639" s="302">
        <f t="shared" si="108"/>
        <v>0</v>
      </c>
      <c r="K639" s="426">
        <f t="shared" si="117"/>
        <v>2.9176084758041223E-11</v>
      </c>
      <c r="L639" s="10">
        <f t="shared" si="118"/>
        <v>2.9176084758041223E-11</v>
      </c>
      <c r="M639" s="436">
        <f t="shared" si="119"/>
        <v>2.9176084758041223E-11</v>
      </c>
      <c r="N639" s="301">
        <f t="shared" si="109"/>
        <v>2.9176084758041223E-11</v>
      </c>
      <c r="O639" s="302">
        <f t="shared" si="110"/>
        <v>0</v>
      </c>
      <c r="P639" s="436">
        <f t="shared" si="111"/>
        <v>0</v>
      </c>
      <c r="Q639" s="11">
        <f t="shared" si="120"/>
        <v>0</v>
      </c>
      <c r="R639" s="426">
        <f t="shared" si="121"/>
        <v>0</v>
      </c>
      <c r="S639" s="354">
        <f>+Hirdetmény!$AA$46</f>
        <v>0.13400000000000001</v>
      </c>
      <c r="T639" s="302">
        <f t="shared" si="112"/>
        <v>0</v>
      </c>
      <c r="U639" s="302">
        <f t="shared" si="122"/>
        <v>0</v>
      </c>
      <c r="V639" s="302">
        <f t="shared" si="123"/>
        <v>0</v>
      </c>
      <c r="W639" s="302">
        <f t="shared" si="124"/>
        <v>0</v>
      </c>
      <c r="AA639" s="10">
        <f t="shared" si="125"/>
        <v>0</v>
      </c>
      <c r="AB639" s="354">
        <f>+paraméterek!$B$346</f>
        <v>6.4600000000000005E-2</v>
      </c>
      <c r="AC639" s="302">
        <f t="shared" si="113"/>
        <v>0</v>
      </c>
      <c r="AD639" s="302">
        <f t="shared" si="128"/>
        <v>0</v>
      </c>
      <c r="AE639" s="302">
        <f t="shared" si="126"/>
        <v>0</v>
      </c>
      <c r="AF639" s="478">
        <f t="shared" si="114"/>
        <v>0</v>
      </c>
      <c r="AI639" s="543">
        <f t="shared" si="127"/>
        <v>0</v>
      </c>
      <c r="AJ639" s="543"/>
      <c r="AK639" s="300"/>
      <c r="AL639" s="543"/>
      <c r="AM639" s="10"/>
    </row>
    <row r="640" spans="1:39" s="11" customFormat="1" ht="13.8" hidden="1" x14ac:dyDescent="0.25">
      <c r="A640" s="11">
        <v>285</v>
      </c>
      <c r="B640" s="11">
        <f t="shared" si="115"/>
        <v>24</v>
      </c>
      <c r="C640" s="354">
        <f t="shared" si="104"/>
        <v>0</v>
      </c>
      <c r="D640" s="300">
        <f t="shared" si="106"/>
        <v>1.151056494563818E-8</v>
      </c>
      <c r="E640" s="354">
        <f t="shared" si="116"/>
        <v>0.13400000000000001</v>
      </c>
      <c r="F640" s="354">
        <f t="shared" si="105"/>
        <v>0.03</v>
      </c>
      <c r="H640" s="436">
        <f t="shared" si="107"/>
        <v>0</v>
      </c>
      <c r="I640" s="302">
        <f t="shared" si="108"/>
        <v>0</v>
      </c>
      <c r="K640" s="426">
        <f t="shared" si="117"/>
        <v>2.9176084758041223E-11</v>
      </c>
      <c r="L640" s="10">
        <f t="shared" si="118"/>
        <v>2.9176084758041223E-11</v>
      </c>
      <c r="M640" s="436">
        <f t="shared" si="119"/>
        <v>2.9176084758041223E-11</v>
      </c>
      <c r="N640" s="301">
        <f t="shared" si="109"/>
        <v>2.9176084758041223E-11</v>
      </c>
      <c r="O640" s="302">
        <f t="shared" si="110"/>
        <v>0</v>
      </c>
      <c r="P640" s="436">
        <f t="shared" si="111"/>
        <v>0</v>
      </c>
      <c r="Q640" s="11">
        <f t="shared" si="120"/>
        <v>0</v>
      </c>
      <c r="R640" s="426">
        <f t="shared" si="121"/>
        <v>0</v>
      </c>
      <c r="S640" s="354">
        <f>+Hirdetmény!$AA$46</f>
        <v>0.13400000000000001</v>
      </c>
      <c r="T640" s="302">
        <f t="shared" si="112"/>
        <v>0</v>
      </c>
      <c r="U640" s="302">
        <f t="shared" si="122"/>
        <v>0</v>
      </c>
      <c r="V640" s="302">
        <f t="shared" si="123"/>
        <v>0</v>
      </c>
      <c r="W640" s="302">
        <f t="shared" si="124"/>
        <v>0</v>
      </c>
      <c r="AA640" s="10">
        <f t="shared" si="125"/>
        <v>0</v>
      </c>
      <c r="AB640" s="354">
        <f>+paraméterek!$B$346</f>
        <v>6.4600000000000005E-2</v>
      </c>
      <c r="AC640" s="302">
        <f t="shared" si="113"/>
        <v>0</v>
      </c>
      <c r="AD640" s="302">
        <f t="shared" si="128"/>
        <v>0</v>
      </c>
      <c r="AE640" s="302">
        <f t="shared" si="126"/>
        <v>0</v>
      </c>
      <c r="AF640" s="478">
        <f t="shared" si="114"/>
        <v>0</v>
      </c>
      <c r="AI640" s="543">
        <f t="shared" si="127"/>
        <v>0</v>
      </c>
      <c r="AJ640" s="543"/>
      <c r="AK640" s="300"/>
      <c r="AL640" s="543"/>
      <c r="AM640" s="10"/>
    </row>
    <row r="641" spans="1:39" s="11" customFormat="1" ht="13.8" hidden="1" x14ac:dyDescent="0.25">
      <c r="A641" s="11">
        <v>286</v>
      </c>
      <c r="B641" s="11">
        <f t="shared" si="115"/>
        <v>24</v>
      </c>
      <c r="C641" s="354">
        <f t="shared" si="104"/>
        <v>0</v>
      </c>
      <c r="D641" s="300">
        <f t="shared" si="106"/>
        <v>1.151056494563818E-8</v>
      </c>
      <c r="E641" s="354">
        <f t="shared" si="116"/>
        <v>0.13400000000000001</v>
      </c>
      <c r="F641" s="354">
        <f t="shared" si="105"/>
        <v>0.03</v>
      </c>
      <c r="H641" s="436">
        <f t="shared" si="107"/>
        <v>0</v>
      </c>
      <c r="I641" s="302">
        <f t="shared" si="108"/>
        <v>0</v>
      </c>
      <c r="K641" s="426">
        <f t="shared" si="117"/>
        <v>2.9176084758041223E-11</v>
      </c>
      <c r="L641" s="10">
        <f t="shared" si="118"/>
        <v>2.9176084758041223E-11</v>
      </c>
      <c r="M641" s="436">
        <f t="shared" si="119"/>
        <v>2.9176084758041223E-11</v>
      </c>
      <c r="N641" s="301">
        <f t="shared" si="109"/>
        <v>2.9176084758041223E-11</v>
      </c>
      <c r="O641" s="302">
        <f t="shared" si="110"/>
        <v>0</v>
      </c>
      <c r="P641" s="436">
        <f t="shared" si="111"/>
        <v>0</v>
      </c>
      <c r="Q641" s="11">
        <f t="shared" si="120"/>
        <v>0</v>
      </c>
      <c r="R641" s="426">
        <f t="shared" si="121"/>
        <v>0</v>
      </c>
      <c r="S641" s="354">
        <f>+Hirdetmény!$AA$46</f>
        <v>0.13400000000000001</v>
      </c>
      <c r="T641" s="302">
        <f t="shared" si="112"/>
        <v>0</v>
      </c>
      <c r="U641" s="302">
        <f t="shared" si="122"/>
        <v>0</v>
      </c>
      <c r="V641" s="302">
        <f t="shared" si="123"/>
        <v>0</v>
      </c>
      <c r="W641" s="302">
        <f t="shared" si="124"/>
        <v>0</v>
      </c>
      <c r="AA641" s="10">
        <f t="shared" si="125"/>
        <v>0</v>
      </c>
      <c r="AB641" s="354">
        <f>+paraméterek!$B$346</f>
        <v>6.4600000000000005E-2</v>
      </c>
      <c r="AC641" s="302">
        <f t="shared" si="113"/>
        <v>0</v>
      </c>
      <c r="AD641" s="302">
        <f t="shared" si="128"/>
        <v>0</v>
      </c>
      <c r="AE641" s="302">
        <f t="shared" si="126"/>
        <v>0</v>
      </c>
      <c r="AF641" s="478">
        <f t="shared" si="114"/>
        <v>0</v>
      </c>
      <c r="AI641" s="543">
        <f t="shared" si="127"/>
        <v>0</v>
      </c>
      <c r="AJ641" s="543"/>
      <c r="AK641" s="300"/>
      <c r="AL641" s="543"/>
      <c r="AM641" s="10"/>
    </row>
    <row r="642" spans="1:39" s="11" customFormat="1" ht="13.8" hidden="1" x14ac:dyDescent="0.25">
      <c r="A642" s="11">
        <v>287</v>
      </c>
      <c r="B642" s="11">
        <f t="shared" si="115"/>
        <v>24</v>
      </c>
      <c r="C642" s="354">
        <f t="shared" si="104"/>
        <v>0</v>
      </c>
      <c r="D642" s="300">
        <f t="shared" si="106"/>
        <v>1.151056494563818E-8</v>
      </c>
      <c r="E642" s="354">
        <f t="shared" si="116"/>
        <v>0.13400000000000001</v>
      </c>
      <c r="F642" s="354">
        <f t="shared" si="105"/>
        <v>0.03</v>
      </c>
      <c r="H642" s="436">
        <f t="shared" si="107"/>
        <v>0</v>
      </c>
      <c r="I642" s="302">
        <f t="shared" si="108"/>
        <v>0</v>
      </c>
      <c r="K642" s="426">
        <f t="shared" si="117"/>
        <v>2.9176084758041223E-11</v>
      </c>
      <c r="L642" s="10">
        <f t="shared" si="118"/>
        <v>2.9176084758041223E-11</v>
      </c>
      <c r="M642" s="436">
        <f t="shared" si="119"/>
        <v>2.9176084758041223E-11</v>
      </c>
      <c r="N642" s="301">
        <f t="shared" si="109"/>
        <v>2.9176084758041223E-11</v>
      </c>
      <c r="O642" s="302">
        <f t="shared" si="110"/>
        <v>0</v>
      </c>
      <c r="P642" s="436">
        <f t="shared" si="111"/>
        <v>0</v>
      </c>
      <c r="Q642" s="11">
        <f t="shared" si="120"/>
        <v>0</v>
      </c>
      <c r="R642" s="426">
        <f t="shared" si="121"/>
        <v>0</v>
      </c>
      <c r="S642" s="354">
        <f>+Hirdetmény!$AA$46</f>
        <v>0.13400000000000001</v>
      </c>
      <c r="T642" s="302">
        <f t="shared" si="112"/>
        <v>0</v>
      </c>
      <c r="U642" s="302">
        <f t="shared" si="122"/>
        <v>0</v>
      </c>
      <c r="V642" s="302">
        <f t="shared" si="123"/>
        <v>0</v>
      </c>
      <c r="W642" s="302">
        <f t="shared" si="124"/>
        <v>0</v>
      </c>
      <c r="AA642" s="10">
        <f t="shared" si="125"/>
        <v>0</v>
      </c>
      <c r="AB642" s="354">
        <f>+paraméterek!$B$346</f>
        <v>6.4600000000000005E-2</v>
      </c>
      <c r="AC642" s="302">
        <f t="shared" si="113"/>
        <v>0</v>
      </c>
      <c r="AD642" s="302">
        <f t="shared" si="128"/>
        <v>0</v>
      </c>
      <c r="AE642" s="302">
        <f t="shared" si="126"/>
        <v>0</v>
      </c>
      <c r="AF642" s="478">
        <f t="shared" si="114"/>
        <v>0</v>
      </c>
      <c r="AI642" s="543">
        <f t="shared" si="127"/>
        <v>0</v>
      </c>
      <c r="AJ642" s="543"/>
      <c r="AK642" s="300"/>
      <c r="AL642" s="543"/>
      <c r="AM642" s="10"/>
    </row>
    <row r="643" spans="1:39" s="11" customFormat="1" ht="13.8" hidden="1" x14ac:dyDescent="0.25">
      <c r="A643" s="11">
        <v>288</v>
      </c>
      <c r="B643" s="11">
        <f t="shared" si="115"/>
        <v>24</v>
      </c>
      <c r="C643" s="354">
        <f t="shared" si="104"/>
        <v>0</v>
      </c>
      <c r="D643" s="300">
        <f t="shared" si="106"/>
        <v>1.151056494563818E-8</v>
      </c>
      <c r="E643" s="354">
        <f t="shared" si="116"/>
        <v>0.13400000000000001</v>
      </c>
      <c r="F643" s="354">
        <f t="shared" si="105"/>
        <v>0.03</v>
      </c>
      <c r="H643" s="436">
        <f t="shared" si="107"/>
        <v>0</v>
      </c>
      <c r="I643" s="302">
        <f t="shared" si="108"/>
        <v>0</v>
      </c>
      <c r="K643" s="426">
        <f t="shared" si="117"/>
        <v>2.9176084758041223E-11</v>
      </c>
      <c r="L643" s="10">
        <f t="shared" si="118"/>
        <v>2.9176084758041223E-11</v>
      </c>
      <c r="M643" s="436">
        <f t="shared" si="119"/>
        <v>2.9176084758041223E-11</v>
      </c>
      <c r="N643" s="301">
        <f t="shared" si="109"/>
        <v>2.9176084758041223E-11</v>
      </c>
      <c r="O643" s="302">
        <f t="shared" si="110"/>
        <v>0</v>
      </c>
      <c r="P643" s="436">
        <f t="shared" si="111"/>
        <v>0</v>
      </c>
      <c r="Q643" s="11">
        <f t="shared" si="120"/>
        <v>0</v>
      </c>
      <c r="R643" s="426">
        <f t="shared" si="121"/>
        <v>0</v>
      </c>
      <c r="S643" s="354">
        <f>+Hirdetmény!$AA$46</f>
        <v>0.13400000000000001</v>
      </c>
      <c r="T643" s="302">
        <f t="shared" si="112"/>
        <v>0</v>
      </c>
      <c r="U643" s="302">
        <f t="shared" si="122"/>
        <v>0</v>
      </c>
      <c r="V643" s="302">
        <f t="shared" si="123"/>
        <v>0</v>
      </c>
      <c r="W643" s="302">
        <f t="shared" si="124"/>
        <v>0</v>
      </c>
      <c r="AA643" s="10">
        <f t="shared" si="125"/>
        <v>0</v>
      </c>
      <c r="AB643" s="354">
        <f>+paraméterek!$B$346</f>
        <v>6.4600000000000005E-2</v>
      </c>
      <c r="AC643" s="302">
        <f t="shared" si="113"/>
        <v>0</v>
      </c>
      <c r="AD643" s="302">
        <f t="shared" si="128"/>
        <v>0</v>
      </c>
      <c r="AE643" s="302">
        <f t="shared" si="126"/>
        <v>0</v>
      </c>
      <c r="AF643" s="478">
        <f t="shared" si="114"/>
        <v>0</v>
      </c>
      <c r="AI643" s="543">
        <f t="shared" si="127"/>
        <v>0</v>
      </c>
      <c r="AJ643" s="543"/>
      <c r="AK643" s="300"/>
      <c r="AL643" s="543"/>
      <c r="AM643" s="10"/>
    </row>
    <row r="644" spans="1:39" s="11" customFormat="1" ht="13.8" hidden="1" x14ac:dyDescent="0.25">
      <c r="A644" s="11">
        <v>289</v>
      </c>
      <c r="B644" s="11">
        <f t="shared" si="115"/>
        <v>25</v>
      </c>
      <c r="C644" s="354">
        <f t="shared" si="104"/>
        <v>0</v>
      </c>
      <c r="D644" s="300">
        <f t="shared" si="106"/>
        <v>1.151056494563818E-8</v>
      </c>
      <c r="E644" s="354">
        <f t="shared" si="116"/>
        <v>0.13400000000000001</v>
      </c>
      <c r="F644" s="354">
        <f t="shared" si="105"/>
        <v>0.03</v>
      </c>
      <c r="H644" s="436">
        <f t="shared" si="107"/>
        <v>0</v>
      </c>
      <c r="I644" s="302">
        <f t="shared" si="108"/>
        <v>0</v>
      </c>
      <c r="K644" s="426">
        <f t="shared" si="117"/>
        <v>2.9176084758041223E-11</v>
      </c>
      <c r="L644" s="10">
        <f t="shared" si="118"/>
        <v>2.9176084758041223E-11</v>
      </c>
      <c r="M644" s="436">
        <f t="shared" si="119"/>
        <v>2.9176084758041223E-11</v>
      </c>
      <c r="N644" s="301">
        <f t="shared" si="109"/>
        <v>2.9176084758041223E-11</v>
      </c>
      <c r="O644" s="302">
        <f t="shared" si="110"/>
        <v>0</v>
      </c>
      <c r="P644" s="436">
        <f t="shared" si="111"/>
        <v>0</v>
      </c>
      <c r="Q644" s="11">
        <f t="shared" si="120"/>
        <v>0</v>
      </c>
      <c r="R644" s="426">
        <f t="shared" si="121"/>
        <v>0</v>
      </c>
      <c r="S644" s="354">
        <f>+Hirdetmény!$AA$46</f>
        <v>0.13400000000000001</v>
      </c>
      <c r="T644" s="302">
        <f t="shared" si="112"/>
        <v>0</v>
      </c>
      <c r="U644" s="302">
        <f t="shared" si="122"/>
        <v>0</v>
      </c>
      <c r="V644" s="302">
        <f t="shared" si="123"/>
        <v>0</v>
      </c>
      <c r="W644" s="302">
        <f t="shared" si="124"/>
        <v>0</v>
      </c>
      <c r="AA644" s="10">
        <f t="shared" si="125"/>
        <v>0</v>
      </c>
      <c r="AB644" s="354">
        <f>+paraméterek!$B$346</f>
        <v>6.4600000000000005E-2</v>
      </c>
      <c r="AC644" s="302">
        <f t="shared" si="113"/>
        <v>0</v>
      </c>
      <c r="AD644" s="302">
        <f t="shared" si="128"/>
        <v>0</v>
      </c>
      <c r="AE644" s="302">
        <f t="shared" si="126"/>
        <v>0</v>
      </c>
      <c r="AF644" s="478">
        <f t="shared" si="114"/>
        <v>0</v>
      </c>
      <c r="AI644" s="543">
        <f t="shared" si="127"/>
        <v>0</v>
      </c>
      <c r="AJ644" s="543"/>
      <c r="AK644" s="300"/>
      <c r="AL644" s="543"/>
      <c r="AM644" s="10"/>
    </row>
    <row r="645" spans="1:39" s="11" customFormat="1" ht="13.8" hidden="1" x14ac:dyDescent="0.25">
      <c r="A645" s="11">
        <v>290</v>
      </c>
      <c r="B645" s="11">
        <f t="shared" si="115"/>
        <v>25</v>
      </c>
      <c r="C645" s="354">
        <f t="shared" si="104"/>
        <v>0</v>
      </c>
      <c r="D645" s="300">
        <f t="shared" si="106"/>
        <v>1.151056494563818E-8</v>
      </c>
      <c r="E645" s="354">
        <f t="shared" si="116"/>
        <v>0.13400000000000001</v>
      </c>
      <c r="F645" s="354">
        <f t="shared" si="105"/>
        <v>0.03</v>
      </c>
      <c r="H645" s="436">
        <f t="shared" si="107"/>
        <v>0</v>
      </c>
      <c r="I645" s="302">
        <f t="shared" si="108"/>
        <v>0</v>
      </c>
      <c r="K645" s="426">
        <f t="shared" si="117"/>
        <v>2.9176084758041223E-11</v>
      </c>
      <c r="L645" s="10">
        <f t="shared" si="118"/>
        <v>2.9176084758041223E-11</v>
      </c>
      <c r="M645" s="436">
        <f t="shared" si="119"/>
        <v>2.9176084758041223E-11</v>
      </c>
      <c r="N645" s="301">
        <f t="shared" si="109"/>
        <v>2.9176084758041223E-11</v>
      </c>
      <c r="O645" s="302">
        <f t="shared" si="110"/>
        <v>0</v>
      </c>
      <c r="P645" s="436">
        <f t="shared" si="111"/>
        <v>0</v>
      </c>
      <c r="Q645" s="11">
        <f t="shared" si="120"/>
        <v>0</v>
      </c>
      <c r="R645" s="426">
        <f t="shared" si="121"/>
        <v>0</v>
      </c>
      <c r="S645" s="354">
        <f>+Hirdetmény!$AA$46</f>
        <v>0.13400000000000001</v>
      </c>
      <c r="T645" s="302">
        <f t="shared" si="112"/>
        <v>0</v>
      </c>
      <c r="U645" s="302">
        <f t="shared" si="122"/>
        <v>0</v>
      </c>
      <c r="V645" s="302">
        <f t="shared" si="123"/>
        <v>0</v>
      </c>
      <c r="W645" s="302">
        <f t="shared" si="124"/>
        <v>0</v>
      </c>
      <c r="AA645" s="10">
        <f t="shared" si="125"/>
        <v>0</v>
      </c>
      <c r="AB645" s="354">
        <f>+paraméterek!$B$346</f>
        <v>6.4600000000000005E-2</v>
      </c>
      <c r="AC645" s="302">
        <f t="shared" si="113"/>
        <v>0</v>
      </c>
      <c r="AD645" s="302">
        <f t="shared" si="128"/>
        <v>0</v>
      </c>
      <c r="AE645" s="302">
        <f t="shared" si="126"/>
        <v>0</v>
      </c>
      <c r="AF645" s="478">
        <f t="shared" si="114"/>
        <v>0</v>
      </c>
      <c r="AI645" s="543">
        <f t="shared" si="127"/>
        <v>0</v>
      </c>
      <c r="AJ645" s="543"/>
      <c r="AK645" s="300"/>
      <c r="AL645" s="543"/>
      <c r="AM645" s="10"/>
    </row>
    <row r="646" spans="1:39" s="11" customFormat="1" ht="13.8" hidden="1" x14ac:dyDescent="0.25">
      <c r="A646" s="11">
        <v>291</v>
      </c>
      <c r="B646" s="11">
        <f t="shared" si="115"/>
        <v>25</v>
      </c>
      <c r="C646" s="354">
        <f t="shared" si="104"/>
        <v>0</v>
      </c>
      <c r="D646" s="300">
        <f t="shared" si="106"/>
        <v>1.151056494563818E-8</v>
      </c>
      <c r="E646" s="354">
        <f t="shared" si="116"/>
        <v>0.13400000000000001</v>
      </c>
      <c r="F646" s="354">
        <f t="shared" si="105"/>
        <v>0.03</v>
      </c>
      <c r="H646" s="436">
        <f t="shared" si="107"/>
        <v>0</v>
      </c>
      <c r="I646" s="302">
        <f t="shared" si="108"/>
        <v>0</v>
      </c>
      <c r="K646" s="426">
        <f t="shared" si="117"/>
        <v>2.9176084758041223E-11</v>
      </c>
      <c r="L646" s="10">
        <f t="shared" si="118"/>
        <v>2.9176084758041223E-11</v>
      </c>
      <c r="M646" s="436">
        <f t="shared" si="119"/>
        <v>2.9176084758041223E-11</v>
      </c>
      <c r="N646" s="301">
        <f t="shared" si="109"/>
        <v>2.9176084758041223E-11</v>
      </c>
      <c r="O646" s="302">
        <f t="shared" si="110"/>
        <v>0</v>
      </c>
      <c r="P646" s="436">
        <f t="shared" si="111"/>
        <v>0</v>
      </c>
      <c r="Q646" s="11">
        <f t="shared" si="120"/>
        <v>0</v>
      </c>
      <c r="R646" s="426">
        <f t="shared" si="121"/>
        <v>0</v>
      </c>
      <c r="S646" s="354">
        <f>+Hirdetmény!$AA$46</f>
        <v>0.13400000000000001</v>
      </c>
      <c r="T646" s="302">
        <f t="shared" si="112"/>
        <v>0</v>
      </c>
      <c r="U646" s="302">
        <f t="shared" si="122"/>
        <v>0</v>
      </c>
      <c r="V646" s="302">
        <f t="shared" si="123"/>
        <v>0</v>
      </c>
      <c r="W646" s="302">
        <f t="shared" si="124"/>
        <v>0</v>
      </c>
      <c r="AA646" s="10">
        <f t="shared" si="125"/>
        <v>0</v>
      </c>
      <c r="AB646" s="354">
        <f>+paraméterek!$B$346</f>
        <v>6.4600000000000005E-2</v>
      </c>
      <c r="AC646" s="302">
        <f t="shared" si="113"/>
        <v>0</v>
      </c>
      <c r="AD646" s="302">
        <f t="shared" si="128"/>
        <v>0</v>
      </c>
      <c r="AE646" s="302">
        <f t="shared" si="126"/>
        <v>0</v>
      </c>
      <c r="AF646" s="478">
        <f t="shared" si="114"/>
        <v>0</v>
      </c>
      <c r="AI646" s="543">
        <f t="shared" si="127"/>
        <v>0</v>
      </c>
      <c r="AJ646" s="543"/>
      <c r="AK646" s="300"/>
      <c r="AL646" s="543"/>
      <c r="AM646" s="10"/>
    </row>
    <row r="647" spans="1:39" s="11" customFormat="1" ht="13.8" hidden="1" x14ac:dyDescent="0.25">
      <c r="A647" s="11">
        <v>292</v>
      </c>
      <c r="B647" s="11">
        <f t="shared" si="115"/>
        <v>25</v>
      </c>
      <c r="C647" s="354">
        <f t="shared" si="104"/>
        <v>0</v>
      </c>
      <c r="D647" s="300">
        <f t="shared" si="106"/>
        <v>1.151056494563818E-8</v>
      </c>
      <c r="E647" s="354">
        <f t="shared" si="116"/>
        <v>0.13400000000000001</v>
      </c>
      <c r="F647" s="354">
        <f t="shared" si="105"/>
        <v>0.03</v>
      </c>
      <c r="H647" s="436">
        <f t="shared" si="107"/>
        <v>0</v>
      </c>
      <c r="I647" s="302">
        <f t="shared" si="108"/>
        <v>0</v>
      </c>
      <c r="K647" s="426">
        <f t="shared" si="117"/>
        <v>2.9176084758041223E-11</v>
      </c>
      <c r="L647" s="10">
        <f t="shared" si="118"/>
        <v>2.9176084758041223E-11</v>
      </c>
      <c r="M647" s="436">
        <f t="shared" si="119"/>
        <v>2.9176084758041223E-11</v>
      </c>
      <c r="N647" s="301">
        <f t="shared" si="109"/>
        <v>2.9176084758041223E-11</v>
      </c>
      <c r="O647" s="302">
        <f t="shared" si="110"/>
        <v>0</v>
      </c>
      <c r="P647" s="436">
        <f t="shared" si="111"/>
        <v>0</v>
      </c>
      <c r="Q647" s="11">
        <f t="shared" si="120"/>
        <v>0</v>
      </c>
      <c r="R647" s="426">
        <f t="shared" si="121"/>
        <v>0</v>
      </c>
      <c r="S647" s="354">
        <f>+Hirdetmény!$AA$46</f>
        <v>0.13400000000000001</v>
      </c>
      <c r="T647" s="302">
        <f t="shared" si="112"/>
        <v>0</v>
      </c>
      <c r="U647" s="302">
        <f t="shared" si="122"/>
        <v>0</v>
      </c>
      <c r="V647" s="302">
        <f t="shared" si="123"/>
        <v>0</v>
      </c>
      <c r="W647" s="302">
        <f t="shared" si="124"/>
        <v>0</v>
      </c>
      <c r="AA647" s="10">
        <f t="shared" si="125"/>
        <v>0</v>
      </c>
      <c r="AB647" s="354">
        <f>+paraméterek!$B$346</f>
        <v>6.4600000000000005E-2</v>
      </c>
      <c r="AC647" s="302">
        <f t="shared" si="113"/>
        <v>0</v>
      </c>
      <c r="AD647" s="302">
        <f t="shared" si="128"/>
        <v>0</v>
      </c>
      <c r="AE647" s="302">
        <f t="shared" si="126"/>
        <v>0</v>
      </c>
      <c r="AF647" s="478">
        <f t="shared" si="114"/>
        <v>0</v>
      </c>
      <c r="AI647" s="543">
        <f t="shared" si="127"/>
        <v>0</v>
      </c>
      <c r="AJ647" s="543"/>
      <c r="AK647" s="300"/>
      <c r="AL647" s="543"/>
      <c r="AM647" s="10"/>
    </row>
    <row r="648" spans="1:39" s="11" customFormat="1" ht="13.8" hidden="1" x14ac:dyDescent="0.25">
      <c r="A648" s="11">
        <v>293</v>
      </c>
      <c r="B648" s="11">
        <f t="shared" si="115"/>
        <v>25</v>
      </c>
      <c r="C648" s="354">
        <f t="shared" si="104"/>
        <v>0</v>
      </c>
      <c r="D648" s="300">
        <f t="shared" si="106"/>
        <v>1.151056494563818E-8</v>
      </c>
      <c r="E648" s="354">
        <f t="shared" si="116"/>
        <v>0.13400000000000001</v>
      </c>
      <c r="F648" s="354">
        <f t="shared" si="105"/>
        <v>0.03</v>
      </c>
      <c r="H648" s="436">
        <f t="shared" si="107"/>
        <v>0</v>
      </c>
      <c r="I648" s="302">
        <f t="shared" si="108"/>
        <v>0</v>
      </c>
      <c r="K648" s="426">
        <f t="shared" si="117"/>
        <v>2.9176084758041223E-11</v>
      </c>
      <c r="L648" s="10">
        <f t="shared" si="118"/>
        <v>2.9176084758041223E-11</v>
      </c>
      <c r="M648" s="436">
        <f t="shared" si="119"/>
        <v>2.9176084758041223E-11</v>
      </c>
      <c r="N648" s="301">
        <f t="shared" si="109"/>
        <v>2.9176084758041223E-11</v>
      </c>
      <c r="O648" s="302">
        <f t="shared" si="110"/>
        <v>0</v>
      </c>
      <c r="P648" s="436">
        <f t="shared" si="111"/>
        <v>0</v>
      </c>
      <c r="Q648" s="11">
        <f t="shared" si="120"/>
        <v>0</v>
      </c>
      <c r="R648" s="426">
        <f t="shared" si="121"/>
        <v>0</v>
      </c>
      <c r="S648" s="354">
        <f>+Hirdetmény!$AA$46</f>
        <v>0.13400000000000001</v>
      </c>
      <c r="T648" s="302">
        <f t="shared" si="112"/>
        <v>0</v>
      </c>
      <c r="U648" s="302">
        <f t="shared" si="122"/>
        <v>0</v>
      </c>
      <c r="V648" s="302">
        <f t="shared" si="123"/>
        <v>0</v>
      </c>
      <c r="W648" s="302">
        <f t="shared" si="124"/>
        <v>0</v>
      </c>
      <c r="AA648" s="10">
        <f t="shared" si="125"/>
        <v>0</v>
      </c>
      <c r="AB648" s="354">
        <f>+paraméterek!$B$346</f>
        <v>6.4600000000000005E-2</v>
      </c>
      <c r="AC648" s="302">
        <f t="shared" si="113"/>
        <v>0</v>
      </c>
      <c r="AD648" s="302">
        <f t="shared" si="128"/>
        <v>0</v>
      </c>
      <c r="AE648" s="302">
        <f t="shared" si="126"/>
        <v>0</v>
      </c>
      <c r="AF648" s="478">
        <f t="shared" si="114"/>
        <v>0</v>
      </c>
      <c r="AI648" s="543">
        <f t="shared" si="127"/>
        <v>0</v>
      </c>
      <c r="AJ648" s="543"/>
      <c r="AK648" s="300"/>
      <c r="AL648" s="543"/>
      <c r="AM648" s="10"/>
    </row>
    <row r="649" spans="1:39" s="11" customFormat="1" ht="13.8" hidden="1" x14ac:dyDescent="0.25">
      <c r="A649" s="11">
        <v>294</v>
      </c>
      <c r="B649" s="11">
        <f t="shared" si="115"/>
        <v>25</v>
      </c>
      <c r="C649" s="354">
        <f t="shared" si="104"/>
        <v>0</v>
      </c>
      <c r="D649" s="300">
        <f t="shared" si="106"/>
        <v>1.151056494563818E-8</v>
      </c>
      <c r="E649" s="354">
        <f t="shared" si="116"/>
        <v>0.13400000000000001</v>
      </c>
      <c r="F649" s="354">
        <f t="shared" si="105"/>
        <v>0.03</v>
      </c>
      <c r="H649" s="436">
        <f t="shared" si="107"/>
        <v>0</v>
      </c>
      <c r="I649" s="302">
        <f t="shared" si="108"/>
        <v>0</v>
      </c>
      <c r="K649" s="426">
        <f t="shared" si="117"/>
        <v>2.9176084758041223E-11</v>
      </c>
      <c r="L649" s="10">
        <f t="shared" si="118"/>
        <v>2.9176084758041223E-11</v>
      </c>
      <c r="M649" s="436">
        <f t="shared" si="119"/>
        <v>2.9176084758041223E-11</v>
      </c>
      <c r="N649" s="301">
        <f t="shared" si="109"/>
        <v>2.9176084758041223E-11</v>
      </c>
      <c r="O649" s="302">
        <f t="shared" si="110"/>
        <v>0</v>
      </c>
      <c r="P649" s="436">
        <f t="shared" si="111"/>
        <v>0</v>
      </c>
      <c r="Q649" s="11">
        <f t="shared" si="120"/>
        <v>0</v>
      </c>
      <c r="R649" s="426">
        <f t="shared" si="121"/>
        <v>0</v>
      </c>
      <c r="S649" s="354">
        <f>+Hirdetmény!$AA$46</f>
        <v>0.13400000000000001</v>
      </c>
      <c r="T649" s="302">
        <f t="shared" si="112"/>
        <v>0</v>
      </c>
      <c r="U649" s="302">
        <f t="shared" si="122"/>
        <v>0</v>
      </c>
      <c r="V649" s="302">
        <f t="shared" si="123"/>
        <v>0</v>
      </c>
      <c r="W649" s="302">
        <f t="shared" si="124"/>
        <v>0</v>
      </c>
      <c r="AA649" s="10">
        <f t="shared" si="125"/>
        <v>0</v>
      </c>
      <c r="AB649" s="354">
        <f>+paraméterek!$B$346</f>
        <v>6.4600000000000005E-2</v>
      </c>
      <c r="AC649" s="302">
        <f t="shared" si="113"/>
        <v>0</v>
      </c>
      <c r="AD649" s="302">
        <f t="shared" si="128"/>
        <v>0</v>
      </c>
      <c r="AE649" s="302">
        <f t="shared" si="126"/>
        <v>0</v>
      </c>
      <c r="AF649" s="478">
        <f t="shared" si="114"/>
        <v>0</v>
      </c>
      <c r="AI649" s="543">
        <f t="shared" si="127"/>
        <v>0</v>
      </c>
      <c r="AJ649" s="543"/>
      <c r="AK649" s="300"/>
      <c r="AL649" s="543"/>
      <c r="AM649" s="10"/>
    </row>
    <row r="650" spans="1:39" s="11" customFormat="1" ht="13.8" hidden="1" x14ac:dyDescent="0.25">
      <c r="A650" s="11">
        <v>295</v>
      </c>
      <c r="B650" s="11">
        <f t="shared" si="115"/>
        <v>25</v>
      </c>
      <c r="C650" s="354">
        <f t="shared" si="104"/>
        <v>0</v>
      </c>
      <c r="D650" s="300">
        <f t="shared" si="106"/>
        <v>1.151056494563818E-8</v>
      </c>
      <c r="E650" s="354">
        <f t="shared" si="116"/>
        <v>0.13400000000000001</v>
      </c>
      <c r="F650" s="354">
        <f t="shared" si="105"/>
        <v>0.03</v>
      </c>
      <c r="H650" s="436">
        <f t="shared" si="107"/>
        <v>0</v>
      </c>
      <c r="I650" s="302">
        <f t="shared" si="108"/>
        <v>0</v>
      </c>
      <c r="K650" s="426">
        <f t="shared" si="117"/>
        <v>2.9176084758041223E-11</v>
      </c>
      <c r="L650" s="10">
        <f t="shared" si="118"/>
        <v>2.9176084758041223E-11</v>
      </c>
      <c r="M650" s="436">
        <f t="shared" si="119"/>
        <v>2.9176084758041223E-11</v>
      </c>
      <c r="N650" s="301">
        <f t="shared" si="109"/>
        <v>2.9176084758041223E-11</v>
      </c>
      <c r="O650" s="302">
        <f t="shared" si="110"/>
        <v>0</v>
      </c>
      <c r="P650" s="436">
        <f t="shared" si="111"/>
        <v>0</v>
      </c>
      <c r="Q650" s="11">
        <f t="shared" si="120"/>
        <v>0</v>
      </c>
      <c r="R650" s="426">
        <f t="shared" si="121"/>
        <v>0</v>
      </c>
      <c r="S650" s="354">
        <f>+Hirdetmény!$AA$46</f>
        <v>0.13400000000000001</v>
      </c>
      <c r="T650" s="302">
        <f t="shared" si="112"/>
        <v>0</v>
      </c>
      <c r="U650" s="302">
        <f t="shared" si="122"/>
        <v>0</v>
      </c>
      <c r="V650" s="302">
        <f t="shared" si="123"/>
        <v>0</v>
      </c>
      <c r="W650" s="302">
        <f t="shared" si="124"/>
        <v>0</v>
      </c>
      <c r="AA650" s="10">
        <f t="shared" si="125"/>
        <v>0</v>
      </c>
      <c r="AB650" s="354">
        <f>+paraméterek!$B$346</f>
        <v>6.4600000000000005E-2</v>
      </c>
      <c r="AC650" s="302">
        <f t="shared" si="113"/>
        <v>0</v>
      </c>
      <c r="AD650" s="302">
        <f t="shared" si="128"/>
        <v>0</v>
      </c>
      <c r="AE650" s="302">
        <f t="shared" si="126"/>
        <v>0</v>
      </c>
      <c r="AF650" s="478">
        <f t="shared" si="114"/>
        <v>0</v>
      </c>
      <c r="AI650" s="543">
        <f t="shared" si="127"/>
        <v>0</v>
      </c>
      <c r="AJ650" s="543"/>
      <c r="AK650" s="300"/>
      <c r="AL650" s="543"/>
      <c r="AM650" s="10"/>
    </row>
    <row r="651" spans="1:39" s="11" customFormat="1" ht="13.8" hidden="1" x14ac:dyDescent="0.25">
      <c r="A651" s="11">
        <v>296</v>
      </c>
      <c r="B651" s="11">
        <f t="shared" si="115"/>
        <v>25</v>
      </c>
      <c r="C651" s="354">
        <f t="shared" si="104"/>
        <v>0</v>
      </c>
      <c r="D651" s="300">
        <f t="shared" si="106"/>
        <v>1.151056494563818E-8</v>
      </c>
      <c r="E651" s="354">
        <f t="shared" si="116"/>
        <v>0.13400000000000001</v>
      </c>
      <c r="F651" s="354">
        <f t="shared" si="105"/>
        <v>0.03</v>
      </c>
      <c r="H651" s="436">
        <f t="shared" si="107"/>
        <v>0</v>
      </c>
      <c r="I651" s="302">
        <f t="shared" si="108"/>
        <v>0</v>
      </c>
      <c r="K651" s="426">
        <f t="shared" si="117"/>
        <v>2.9176084758041223E-11</v>
      </c>
      <c r="L651" s="10">
        <f t="shared" si="118"/>
        <v>2.9176084758041223E-11</v>
      </c>
      <c r="M651" s="436">
        <f t="shared" si="119"/>
        <v>2.9176084758041223E-11</v>
      </c>
      <c r="N651" s="301">
        <f t="shared" si="109"/>
        <v>2.9176084758041223E-11</v>
      </c>
      <c r="O651" s="302">
        <f t="shared" si="110"/>
        <v>0</v>
      </c>
      <c r="P651" s="436">
        <f t="shared" si="111"/>
        <v>0</v>
      </c>
      <c r="Q651" s="11">
        <f t="shared" si="120"/>
        <v>0</v>
      </c>
      <c r="R651" s="426">
        <f t="shared" si="121"/>
        <v>0</v>
      </c>
      <c r="S651" s="354">
        <f>+Hirdetmény!$AA$46</f>
        <v>0.13400000000000001</v>
      </c>
      <c r="T651" s="302">
        <f t="shared" si="112"/>
        <v>0</v>
      </c>
      <c r="U651" s="302">
        <f t="shared" si="122"/>
        <v>0</v>
      </c>
      <c r="V651" s="302">
        <f t="shared" si="123"/>
        <v>0</v>
      </c>
      <c r="W651" s="302">
        <f t="shared" si="124"/>
        <v>0</v>
      </c>
      <c r="AA651" s="10">
        <f t="shared" si="125"/>
        <v>0</v>
      </c>
      <c r="AB651" s="354">
        <f>+paraméterek!$B$346</f>
        <v>6.4600000000000005E-2</v>
      </c>
      <c r="AC651" s="302">
        <f t="shared" si="113"/>
        <v>0</v>
      </c>
      <c r="AD651" s="302">
        <f t="shared" si="128"/>
        <v>0</v>
      </c>
      <c r="AE651" s="302">
        <f t="shared" si="126"/>
        <v>0</v>
      </c>
      <c r="AF651" s="478">
        <f t="shared" si="114"/>
        <v>0</v>
      </c>
      <c r="AI651" s="543">
        <f t="shared" si="127"/>
        <v>0</v>
      </c>
      <c r="AJ651" s="543"/>
      <c r="AK651" s="300"/>
      <c r="AL651" s="543"/>
      <c r="AM651" s="10"/>
    </row>
    <row r="652" spans="1:39" s="11" customFormat="1" ht="13.8" hidden="1" x14ac:dyDescent="0.25">
      <c r="A652" s="11">
        <v>297</v>
      </c>
      <c r="B652" s="11">
        <f t="shared" si="115"/>
        <v>25</v>
      </c>
      <c r="C652" s="354">
        <f t="shared" si="104"/>
        <v>0</v>
      </c>
      <c r="D652" s="300">
        <f t="shared" si="106"/>
        <v>1.151056494563818E-8</v>
      </c>
      <c r="E652" s="354">
        <f t="shared" si="116"/>
        <v>0.13400000000000001</v>
      </c>
      <c r="F652" s="354">
        <f t="shared" si="105"/>
        <v>0.03</v>
      </c>
      <c r="H652" s="436">
        <f t="shared" si="107"/>
        <v>0</v>
      </c>
      <c r="I652" s="302">
        <f t="shared" si="108"/>
        <v>0</v>
      </c>
      <c r="K652" s="426">
        <f t="shared" si="117"/>
        <v>2.9176084758041223E-11</v>
      </c>
      <c r="L652" s="10">
        <f t="shared" si="118"/>
        <v>2.9176084758041223E-11</v>
      </c>
      <c r="M652" s="436">
        <f t="shared" si="119"/>
        <v>2.9176084758041223E-11</v>
      </c>
      <c r="N652" s="301">
        <f t="shared" si="109"/>
        <v>2.9176084758041223E-11</v>
      </c>
      <c r="O652" s="302">
        <f t="shared" si="110"/>
        <v>0</v>
      </c>
      <c r="P652" s="436">
        <f t="shared" si="111"/>
        <v>0</v>
      </c>
      <c r="Q652" s="11">
        <f t="shared" si="120"/>
        <v>0</v>
      </c>
      <c r="R652" s="426">
        <f t="shared" si="121"/>
        <v>0</v>
      </c>
      <c r="S652" s="354">
        <f>+Hirdetmény!$AA$46</f>
        <v>0.13400000000000001</v>
      </c>
      <c r="T652" s="302">
        <f t="shared" si="112"/>
        <v>0</v>
      </c>
      <c r="U652" s="302">
        <f t="shared" si="122"/>
        <v>0</v>
      </c>
      <c r="V652" s="302">
        <f t="shared" si="123"/>
        <v>0</v>
      </c>
      <c r="W652" s="302">
        <f t="shared" si="124"/>
        <v>0</v>
      </c>
      <c r="AA652" s="10">
        <f t="shared" si="125"/>
        <v>0</v>
      </c>
      <c r="AB652" s="354">
        <f>+paraméterek!$B$346</f>
        <v>6.4600000000000005E-2</v>
      </c>
      <c r="AC652" s="302">
        <f t="shared" si="113"/>
        <v>0</v>
      </c>
      <c r="AD652" s="302">
        <f t="shared" si="128"/>
        <v>0</v>
      </c>
      <c r="AE652" s="302">
        <f t="shared" si="126"/>
        <v>0</v>
      </c>
      <c r="AF652" s="478">
        <f t="shared" si="114"/>
        <v>0</v>
      </c>
      <c r="AI652" s="543">
        <f t="shared" si="127"/>
        <v>0</v>
      </c>
      <c r="AJ652" s="543"/>
      <c r="AK652" s="300"/>
      <c r="AL652" s="543"/>
      <c r="AM652" s="10"/>
    </row>
    <row r="653" spans="1:39" s="11" customFormat="1" ht="13.8" hidden="1" x14ac:dyDescent="0.25">
      <c r="A653" s="11">
        <v>298</v>
      </c>
      <c r="B653" s="11">
        <f t="shared" si="115"/>
        <v>25</v>
      </c>
      <c r="C653" s="354">
        <f t="shared" si="104"/>
        <v>0</v>
      </c>
      <c r="D653" s="300">
        <f t="shared" si="106"/>
        <v>1.151056494563818E-8</v>
      </c>
      <c r="E653" s="354">
        <f t="shared" si="116"/>
        <v>0.13400000000000001</v>
      </c>
      <c r="F653" s="354">
        <f t="shared" si="105"/>
        <v>0.03</v>
      </c>
      <c r="H653" s="436">
        <f t="shared" si="107"/>
        <v>0</v>
      </c>
      <c r="I653" s="302">
        <f t="shared" si="108"/>
        <v>0</v>
      </c>
      <c r="K653" s="426">
        <f t="shared" si="117"/>
        <v>2.9176084758041223E-11</v>
      </c>
      <c r="L653" s="10">
        <f t="shared" si="118"/>
        <v>2.9176084758041223E-11</v>
      </c>
      <c r="M653" s="436">
        <f t="shared" si="119"/>
        <v>2.9176084758041223E-11</v>
      </c>
      <c r="N653" s="301">
        <f t="shared" si="109"/>
        <v>2.9176084758041223E-11</v>
      </c>
      <c r="O653" s="302">
        <f t="shared" si="110"/>
        <v>0</v>
      </c>
      <c r="P653" s="436">
        <f t="shared" si="111"/>
        <v>0</v>
      </c>
      <c r="Q653" s="11">
        <f t="shared" si="120"/>
        <v>0</v>
      </c>
      <c r="R653" s="426">
        <f t="shared" si="121"/>
        <v>0</v>
      </c>
      <c r="S653" s="354">
        <f>+Hirdetmény!$AA$46</f>
        <v>0.13400000000000001</v>
      </c>
      <c r="T653" s="302">
        <f t="shared" si="112"/>
        <v>0</v>
      </c>
      <c r="U653" s="302">
        <f t="shared" si="122"/>
        <v>0</v>
      </c>
      <c r="V653" s="302">
        <f t="shared" si="123"/>
        <v>0</v>
      </c>
      <c r="W653" s="302">
        <f t="shared" si="124"/>
        <v>0</v>
      </c>
      <c r="AA653" s="10">
        <f t="shared" si="125"/>
        <v>0</v>
      </c>
      <c r="AB653" s="354">
        <f>+paraméterek!$B$346</f>
        <v>6.4600000000000005E-2</v>
      </c>
      <c r="AC653" s="302">
        <f t="shared" si="113"/>
        <v>0</v>
      </c>
      <c r="AD653" s="302">
        <f t="shared" si="128"/>
        <v>0</v>
      </c>
      <c r="AE653" s="302">
        <f t="shared" si="126"/>
        <v>0</v>
      </c>
      <c r="AF653" s="478">
        <f t="shared" si="114"/>
        <v>0</v>
      </c>
      <c r="AI653" s="543">
        <f t="shared" si="127"/>
        <v>0</v>
      </c>
      <c r="AJ653" s="543"/>
      <c r="AK653" s="300"/>
      <c r="AL653" s="543"/>
      <c r="AM653" s="10"/>
    </row>
    <row r="654" spans="1:39" s="11" customFormat="1" ht="13.8" hidden="1" x14ac:dyDescent="0.25">
      <c r="A654" s="11">
        <v>299</v>
      </c>
      <c r="B654" s="11">
        <f t="shared" si="115"/>
        <v>25</v>
      </c>
      <c r="C654" s="354">
        <f t="shared" si="104"/>
        <v>0</v>
      </c>
      <c r="D654" s="300">
        <f t="shared" si="106"/>
        <v>1.151056494563818E-8</v>
      </c>
      <c r="E654" s="354">
        <f t="shared" si="116"/>
        <v>0.13400000000000001</v>
      </c>
      <c r="F654" s="354">
        <f t="shared" si="105"/>
        <v>0.03</v>
      </c>
      <c r="H654" s="436">
        <f t="shared" si="107"/>
        <v>0</v>
      </c>
      <c r="I654" s="302">
        <f t="shared" si="108"/>
        <v>0</v>
      </c>
      <c r="K654" s="426">
        <f t="shared" si="117"/>
        <v>2.9176084758041223E-11</v>
      </c>
      <c r="L654" s="10">
        <f t="shared" si="118"/>
        <v>2.9176084758041223E-11</v>
      </c>
      <c r="M654" s="436">
        <f t="shared" si="119"/>
        <v>2.9176084758041223E-11</v>
      </c>
      <c r="N654" s="301">
        <f t="shared" si="109"/>
        <v>2.9176084758041223E-11</v>
      </c>
      <c r="O654" s="302">
        <f t="shared" si="110"/>
        <v>0</v>
      </c>
      <c r="P654" s="436">
        <f t="shared" si="111"/>
        <v>0</v>
      </c>
      <c r="Q654" s="11">
        <f t="shared" si="120"/>
        <v>0</v>
      </c>
      <c r="R654" s="426">
        <f t="shared" si="121"/>
        <v>0</v>
      </c>
      <c r="S654" s="354">
        <f>+Hirdetmény!$AA$46</f>
        <v>0.13400000000000001</v>
      </c>
      <c r="T654" s="302">
        <f t="shared" si="112"/>
        <v>0</v>
      </c>
      <c r="U654" s="302">
        <f t="shared" si="122"/>
        <v>0</v>
      </c>
      <c r="V654" s="302">
        <f t="shared" si="123"/>
        <v>0</v>
      </c>
      <c r="W654" s="302">
        <f t="shared" si="124"/>
        <v>0</v>
      </c>
      <c r="AA654" s="10">
        <f t="shared" si="125"/>
        <v>0</v>
      </c>
      <c r="AB654" s="354">
        <f>+paraméterek!$B$346</f>
        <v>6.4600000000000005E-2</v>
      </c>
      <c r="AC654" s="302">
        <f t="shared" si="113"/>
        <v>0</v>
      </c>
      <c r="AD654" s="302">
        <f t="shared" si="128"/>
        <v>0</v>
      </c>
      <c r="AE654" s="302">
        <f t="shared" si="126"/>
        <v>0</v>
      </c>
      <c r="AF654" s="478">
        <f t="shared" si="114"/>
        <v>0</v>
      </c>
      <c r="AI654" s="543">
        <f t="shared" si="127"/>
        <v>0</v>
      </c>
      <c r="AJ654" s="543"/>
      <c r="AK654" s="300"/>
      <c r="AL654" s="543"/>
      <c r="AM654" s="10"/>
    </row>
    <row r="655" spans="1:39" s="11" customFormat="1" ht="13.8" hidden="1" x14ac:dyDescent="0.25">
      <c r="A655" s="11">
        <v>300</v>
      </c>
      <c r="B655" s="11">
        <f t="shared" si="115"/>
        <v>25</v>
      </c>
      <c r="C655" s="354">
        <f t="shared" si="104"/>
        <v>0</v>
      </c>
      <c r="D655" s="300">
        <f t="shared" si="106"/>
        <v>1.151056494563818E-8</v>
      </c>
      <c r="E655" s="354">
        <f t="shared" si="116"/>
        <v>0.13400000000000001</v>
      </c>
      <c r="F655" s="354">
        <f t="shared" si="105"/>
        <v>0.03</v>
      </c>
      <c r="H655" s="436">
        <f t="shared" si="107"/>
        <v>0</v>
      </c>
      <c r="I655" s="302">
        <f t="shared" si="108"/>
        <v>0</v>
      </c>
      <c r="K655" s="426">
        <f t="shared" si="117"/>
        <v>2.9176084758041223E-11</v>
      </c>
      <c r="L655" s="10">
        <f t="shared" si="118"/>
        <v>2.9176084758041223E-11</v>
      </c>
      <c r="M655" s="436">
        <f t="shared" si="119"/>
        <v>2.9176084758041223E-11</v>
      </c>
      <c r="N655" s="301">
        <f t="shared" si="109"/>
        <v>2.9176084758041223E-11</v>
      </c>
      <c r="O655" s="302">
        <f t="shared" si="110"/>
        <v>0</v>
      </c>
      <c r="P655" s="436">
        <f t="shared" si="111"/>
        <v>0</v>
      </c>
      <c r="Q655" s="11">
        <f t="shared" si="120"/>
        <v>0</v>
      </c>
      <c r="R655" s="426">
        <f t="shared" si="121"/>
        <v>0</v>
      </c>
      <c r="S655" s="354">
        <f>+Hirdetmény!$AA$46</f>
        <v>0.13400000000000001</v>
      </c>
      <c r="T655" s="302">
        <f t="shared" si="112"/>
        <v>0</v>
      </c>
      <c r="U655" s="302">
        <f t="shared" si="122"/>
        <v>0</v>
      </c>
      <c r="V655" s="302">
        <f t="shared" si="123"/>
        <v>0</v>
      </c>
      <c r="W655" s="302">
        <f t="shared" si="124"/>
        <v>0</v>
      </c>
      <c r="AA655" s="10">
        <f t="shared" si="125"/>
        <v>0</v>
      </c>
      <c r="AB655" s="354">
        <f>+paraméterek!$B$346</f>
        <v>6.4600000000000005E-2</v>
      </c>
      <c r="AC655" s="302">
        <f t="shared" si="113"/>
        <v>0</v>
      </c>
      <c r="AD655" s="302">
        <f t="shared" si="128"/>
        <v>0</v>
      </c>
      <c r="AE655" s="302">
        <f t="shared" si="126"/>
        <v>0</v>
      </c>
      <c r="AF655" s="478">
        <f t="shared" si="114"/>
        <v>0</v>
      </c>
      <c r="AI655" s="543">
        <f t="shared" si="127"/>
        <v>0</v>
      </c>
      <c r="AJ655" s="543"/>
      <c r="AK655" s="300"/>
      <c r="AL655" s="543"/>
      <c r="AM655" s="10"/>
    </row>
    <row r="656" spans="1:39" s="11" customFormat="1" ht="13.8" hidden="1" x14ac:dyDescent="0.25">
      <c r="A656" s="11">
        <v>301</v>
      </c>
      <c r="B656" s="11">
        <f t="shared" si="115"/>
        <v>26</v>
      </c>
      <c r="C656" s="354">
        <f t="shared" si="104"/>
        <v>0</v>
      </c>
      <c r="D656" s="300">
        <f t="shared" si="106"/>
        <v>1.151056494563818E-8</v>
      </c>
      <c r="E656" s="354">
        <f t="shared" si="116"/>
        <v>0.13400000000000001</v>
      </c>
      <c r="F656" s="354">
        <f t="shared" si="105"/>
        <v>0.03</v>
      </c>
      <c r="H656" s="436">
        <f t="shared" si="107"/>
        <v>0</v>
      </c>
      <c r="I656" s="302">
        <f t="shared" si="108"/>
        <v>0</v>
      </c>
      <c r="K656" s="426">
        <f t="shared" si="117"/>
        <v>2.9176084758041223E-11</v>
      </c>
      <c r="L656" s="10">
        <f t="shared" si="118"/>
        <v>2.9176084758041223E-11</v>
      </c>
      <c r="M656" s="436">
        <f t="shared" si="119"/>
        <v>2.9176084758041223E-11</v>
      </c>
      <c r="N656" s="301">
        <f t="shared" si="109"/>
        <v>2.9176084758041223E-11</v>
      </c>
      <c r="O656" s="302">
        <f t="shared" si="110"/>
        <v>0</v>
      </c>
      <c r="P656" s="436">
        <f t="shared" si="111"/>
        <v>0</v>
      </c>
      <c r="Q656" s="11">
        <f t="shared" si="120"/>
        <v>0</v>
      </c>
      <c r="R656" s="426">
        <f t="shared" si="121"/>
        <v>0</v>
      </c>
      <c r="S656" s="354">
        <f>+Hirdetmény!$AA$46</f>
        <v>0.13400000000000001</v>
      </c>
      <c r="T656" s="302">
        <f t="shared" si="112"/>
        <v>0</v>
      </c>
      <c r="U656" s="302">
        <f t="shared" si="122"/>
        <v>0</v>
      </c>
      <c r="V656" s="302">
        <f t="shared" si="123"/>
        <v>0</v>
      </c>
      <c r="W656" s="302">
        <f t="shared" si="124"/>
        <v>0</v>
      </c>
      <c r="AA656" s="10">
        <f t="shared" si="125"/>
        <v>0</v>
      </c>
      <c r="AB656" s="354">
        <f>+paraméterek!$B$346</f>
        <v>6.4600000000000005E-2</v>
      </c>
      <c r="AC656" s="302">
        <f t="shared" si="113"/>
        <v>0</v>
      </c>
      <c r="AD656" s="302">
        <f t="shared" si="128"/>
        <v>0</v>
      </c>
      <c r="AE656" s="302">
        <f t="shared" si="126"/>
        <v>0</v>
      </c>
      <c r="AF656" s="478">
        <f t="shared" si="114"/>
        <v>0</v>
      </c>
      <c r="AI656" s="543">
        <f t="shared" si="127"/>
        <v>0</v>
      </c>
      <c r="AJ656" s="543"/>
      <c r="AK656" s="300"/>
      <c r="AL656" s="543"/>
      <c r="AM656" s="10"/>
    </row>
    <row r="657" spans="1:39" s="11" customFormat="1" ht="13.8" hidden="1" x14ac:dyDescent="0.25">
      <c r="A657" s="11">
        <v>302</v>
      </c>
      <c r="B657" s="11">
        <f t="shared" si="115"/>
        <v>26</v>
      </c>
      <c r="C657" s="354">
        <f t="shared" si="104"/>
        <v>0</v>
      </c>
      <c r="D657" s="300">
        <f t="shared" si="106"/>
        <v>1.151056494563818E-8</v>
      </c>
      <c r="E657" s="354">
        <f t="shared" si="116"/>
        <v>0.13400000000000001</v>
      </c>
      <c r="F657" s="354">
        <f t="shared" si="105"/>
        <v>0.03</v>
      </c>
      <c r="H657" s="436">
        <f t="shared" si="107"/>
        <v>0</v>
      </c>
      <c r="I657" s="302">
        <f t="shared" si="108"/>
        <v>0</v>
      </c>
      <c r="K657" s="426">
        <f t="shared" si="117"/>
        <v>2.9176084758041223E-11</v>
      </c>
      <c r="L657" s="10">
        <f t="shared" si="118"/>
        <v>2.9176084758041223E-11</v>
      </c>
      <c r="M657" s="436">
        <f t="shared" si="119"/>
        <v>2.9176084758041223E-11</v>
      </c>
      <c r="N657" s="301">
        <f t="shared" si="109"/>
        <v>2.9176084758041223E-11</v>
      </c>
      <c r="O657" s="302">
        <f t="shared" si="110"/>
        <v>0</v>
      </c>
      <c r="P657" s="436">
        <f t="shared" si="111"/>
        <v>0</v>
      </c>
      <c r="Q657" s="11">
        <f t="shared" si="120"/>
        <v>0</v>
      </c>
      <c r="R657" s="426">
        <f t="shared" si="121"/>
        <v>0</v>
      </c>
      <c r="S657" s="354">
        <f>+Hirdetmény!$AA$46</f>
        <v>0.13400000000000001</v>
      </c>
      <c r="T657" s="302">
        <f t="shared" si="112"/>
        <v>0</v>
      </c>
      <c r="U657" s="302">
        <f t="shared" si="122"/>
        <v>0</v>
      </c>
      <c r="V657" s="302">
        <f t="shared" si="123"/>
        <v>0</v>
      </c>
      <c r="W657" s="302">
        <f t="shared" si="124"/>
        <v>0</v>
      </c>
      <c r="AA657" s="10">
        <f t="shared" si="125"/>
        <v>0</v>
      </c>
      <c r="AB657" s="354">
        <f>+paraméterek!$B$346</f>
        <v>6.4600000000000005E-2</v>
      </c>
      <c r="AC657" s="302">
        <f t="shared" si="113"/>
        <v>0</v>
      </c>
      <c r="AD657" s="302">
        <f t="shared" si="128"/>
        <v>0</v>
      </c>
      <c r="AE657" s="302">
        <f t="shared" si="126"/>
        <v>0</v>
      </c>
      <c r="AF657" s="478">
        <f t="shared" si="114"/>
        <v>0</v>
      </c>
      <c r="AI657" s="543">
        <f t="shared" si="127"/>
        <v>0</v>
      </c>
      <c r="AJ657" s="543"/>
      <c r="AK657" s="300"/>
      <c r="AL657" s="543"/>
      <c r="AM657" s="10"/>
    </row>
    <row r="658" spans="1:39" s="11" customFormat="1" ht="13.8" hidden="1" x14ac:dyDescent="0.25">
      <c r="A658" s="11">
        <v>303</v>
      </c>
      <c r="B658" s="11">
        <f t="shared" si="115"/>
        <v>26</v>
      </c>
      <c r="C658" s="354">
        <f t="shared" si="104"/>
        <v>0</v>
      </c>
      <c r="D658" s="300">
        <f t="shared" si="106"/>
        <v>1.151056494563818E-8</v>
      </c>
      <c r="E658" s="354">
        <f t="shared" si="116"/>
        <v>0.13400000000000001</v>
      </c>
      <c r="F658" s="354">
        <f t="shared" si="105"/>
        <v>0.03</v>
      </c>
      <c r="H658" s="436">
        <f t="shared" si="107"/>
        <v>0</v>
      </c>
      <c r="I658" s="302">
        <f t="shared" si="108"/>
        <v>0</v>
      </c>
      <c r="K658" s="426">
        <f t="shared" si="117"/>
        <v>2.9176084758041223E-11</v>
      </c>
      <c r="L658" s="10">
        <f t="shared" si="118"/>
        <v>2.9176084758041223E-11</v>
      </c>
      <c r="M658" s="436">
        <f t="shared" si="119"/>
        <v>2.9176084758041223E-11</v>
      </c>
      <c r="N658" s="301">
        <f t="shared" si="109"/>
        <v>2.9176084758041223E-11</v>
      </c>
      <c r="O658" s="302">
        <f t="shared" si="110"/>
        <v>0</v>
      </c>
      <c r="P658" s="436">
        <f t="shared" si="111"/>
        <v>0</v>
      </c>
      <c r="Q658" s="11">
        <f t="shared" si="120"/>
        <v>0</v>
      </c>
      <c r="R658" s="426">
        <f t="shared" si="121"/>
        <v>0</v>
      </c>
      <c r="S658" s="354">
        <f>+Hirdetmény!$AA$46</f>
        <v>0.13400000000000001</v>
      </c>
      <c r="T658" s="302">
        <f t="shared" si="112"/>
        <v>0</v>
      </c>
      <c r="U658" s="302">
        <f t="shared" si="122"/>
        <v>0</v>
      </c>
      <c r="V658" s="302">
        <f t="shared" si="123"/>
        <v>0</v>
      </c>
      <c r="W658" s="302">
        <f t="shared" si="124"/>
        <v>0</v>
      </c>
      <c r="AA658" s="10">
        <f t="shared" si="125"/>
        <v>0</v>
      </c>
      <c r="AB658" s="354">
        <f>+paraméterek!$B$346</f>
        <v>6.4600000000000005E-2</v>
      </c>
      <c r="AC658" s="302">
        <f t="shared" si="113"/>
        <v>0</v>
      </c>
      <c r="AD658" s="302">
        <f t="shared" si="128"/>
        <v>0</v>
      </c>
      <c r="AE658" s="302">
        <f t="shared" si="126"/>
        <v>0</v>
      </c>
      <c r="AF658" s="478">
        <f t="shared" si="114"/>
        <v>0</v>
      </c>
      <c r="AI658" s="543">
        <f t="shared" si="127"/>
        <v>0</v>
      </c>
      <c r="AJ658" s="543"/>
      <c r="AK658" s="300"/>
      <c r="AL658" s="543"/>
      <c r="AM658" s="10"/>
    </row>
    <row r="659" spans="1:39" s="11" customFormat="1" ht="13.8" hidden="1" x14ac:dyDescent="0.25">
      <c r="A659" s="11">
        <v>304</v>
      </c>
      <c r="B659" s="11">
        <f t="shared" si="115"/>
        <v>26</v>
      </c>
      <c r="C659" s="354">
        <f t="shared" si="104"/>
        <v>0</v>
      </c>
      <c r="D659" s="300">
        <f t="shared" si="106"/>
        <v>1.151056494563818E-8</v>
      </c>
      <c r="E659" s="354">
        <f t="shared" si="116"/>
        <v>0.13400000000000001</v>
      </c>
      <c r="F659" s="354">
        <f t="shared" si="105"/>
        <v>0.03</v>
      </c>
      <c r="H659" s="436">
        <f t="shared" si="107"/>
        <v>0</v>
      </c>
      <c r="I659" s="302">
        <f t="shared" si="108"/>
        <v>0</v>
      </c>
      <c r="K659" s="426">
        <f t="shared" si="117"/>
        <v>2.9176084758041223E-11</v>
      </c>
      <c r="L659" s="10">
        <f t="shared" si="118"/>
        <v>2.9176084758041223E-11</v>
      </c>
      <c r="M659" s="436">
        <f t="shared" si="119"/>
        <v>2.9176084758041223E-11</v>
      </c>
      <c r="N659" s="301">
        <f t="shared" si="109"/>
        <v>2.9176084758041223E-11</v>
      </c>
      <c r="O659" s="302">
        <f t="shared" si="110"/>
        <v>0</v>
      </c>
      <c r="P659" s="436">
        <f t="shared" si="111"/>
        <v>0</v>
      </c>
      <c r="Q659" s="11">
        <f t="shared" si="120"/>
        <v>0</v>
      </c>
      <c r="R659" s="426">
        <f t="shared" si="121"/>
        <v>0</v>
      </c>
      <c r="S659" s="354">
        <f>+Hirdetmény!$AA$46</f>
        <v>0.13400000000000001</v>
      </c>
      <c r="T659" s="302">
        <f t="shared" si="112"/>
        <v>0</v>
      </c>
      <c r="U659" s="302">
        <f t="shared" si="122"/>
        <v>0</v>
      </c>
      <c r="V659" s="302">
        <f t="shared" si="123"/>
        <v>0</v>
      </c>
      <c r="W659" s="302">
        <f t="shared" si="124"/>
        <v>0</v>
      </c>
      <c r="AA659" s="10">
        <f t="shared" si="125"/>
        <v>0</v>
      </c>
      <c r="AB659" s="354">
        <f>+paraméterek!$B$346</f>
        <v>6.4600000000000005E-2</v>
      </c>
      <c r="AC659" s="302">
        <f t="shared" si="113"/>
        <v>0</v>
      </c>
      <c r="AD659" s="302">
        <f t="shared" si="128"/>
        <v>0</v>
      </c>
      <c r="AE659" s="302">
        <f t="shared" si="126"/>
        <v>0</v>
      </c>
      <c r="AF659" s="478">
        <f t="shared" si="114"/>
        <v>0</v>
      </c>
      <c r="AI659" s="543">
        <f t="shared" si="127"/>
        <v>0</v>
      </c>
      <c r="AJ659" s="543"/>
      <c r="AK659" s="300"/>
      <c r="AL659" s="543"/>
      <c r="AM659" s="10"/>
    </row>
    <row r="660" spans="1:39" s="11" customFormat="1" ht="13.8" hidden="1" x14ac:dyDescent="0.25">
      <c r="A660" s="11">
        <v>305</v>
      </c>
      <c r="B660" s="11">
        <f t="shared" si="115"/>
        <v>26</v>
      </c>
      <c r="C660" s="354">
        <f t="shared" si="104"/>
        <v>0</v>
      </c>
      <c r="D660" s="300">
        <f t="shared" si="106"/>
        <v>1.151056494563818E-8</v>
      </c>
      <c r="E660" s="354">
        <f t="shared" si="116"/>
        <v>0.13400000000000001</v>
      </c>
      <c r="F660" s="354">
        <f t="shared" si="105"/>
        <v>0.03</v>
      </c>
      <c r="H660" s="436">
        <f t="shared" si="107"/>
        <v>0</v>
      </c>
      <c r="I660" s="302">
        <f t="shared" si="108"/>
        <v>0</v>
      </c>
      <c r="K660" s="426">
        <f t="shared" si="117"/>
        <v>2.9176084758041223E-11</v>
      </c>
      <c r="L660" s="10">
        <f t="shared" si="118"/>
        <v>2.9176084758041223E-11</v>
      </c>
      <c r="M660" s="436">
        <f t="shared" si="119"/>
        <v>2.9176084758041223E-11</v>
      </c>
      <c r="N660" s="301">
        <f t="shared" si="109"/>
        <v>2.9176084758041223E-11</v>
      </c>
      <c r="O660" s="302">
        <f t="shared" si="110"/>
        <v>0</v>
      </c>
      <c r="P660" s="436">
        <f t="shared" si="111"/>
        <v>0</v>
      </c>
      <c r="Q660" s="11">
        <f t="shared" si="120"/>
        <v>0</v>
      </c>
      <c r="R660" s="426">
        <f t="shared" si="121"/>
        <v>0</v>
      </c>
      <c r="S660" s="354">
        <f>+Hirdetmény!$AA$46</f>
        <v>0.13400000000000001</v>
      </c>
      <c r="T660" s="302">
        <f t="shared" si="112"/>
        <v>0</v>
      </c>
      <c r="U660" s="302">
        <f t="shared" si="122"/>
        <v>0</v>
      </c>
      <c r="V660" s="302">
        <f t="shared" si="123"/>
        <v>0</v>
      </c>
      <c r="W660" s="302">
        <f t="shared" si="124"/>
        <v>0</v>
      </c>
      <c r="AA660" s="10">
        <f t="shared" si="125"/>
        <v>0</v>
      </c>
      <c r="AB660" s="354">
        <f>+paraméterek!$B$346</f>
        <v>6.4600000000000005E-2</v>
      </c>
      <c r="AC660" s="302">
        <f t="shared" si="113"/>
        <v>0</v>
      </c>
      <c r="AD660" s="302">
        <f t="shared" si="128"/>
        <v>0</v>
      </c>
      <c r="AE660" s="302">
        <f t="shared" si="126"/>
        <v>0</v>
      </c>
      <c r="AF660" s="478">
        <f t="shared" si="114"/>
        <v>0</v>
      </c>
      <c r="AI660" s="543">
        <f t="shared" si="127"/>
        <v>0</v>
      </c>
      <c r="AJ660" s="543"/>
      <c r="AK660" s="300"/>
      <c r="AL660" s="543"/>
      <c r="AM660" s="10"/>
    </row>
    <row r="661" spans="1:39" s="11" customFormat="1" ht="13.8" hidden="1" x14ac:dyDescent="0.25">
      <c r="A661" s="11">
        <v>306</v>
      </c>
      <c r="B661" s="11">
        <f t="shared" si="115"/>
        <v>26</v>
      </c>
      <c r="C661" s="354">
        <f t="shared" si="104"/>
        <v>0</v>
      </c>
      <c r="D661" s="300">
        <f t="shared" si="106"/>
        <v>1.151056494563818E-8</v>
      </c>
      <c r="E661" s="354">
        <f t="shared" si="116"/>
        <v>0.13400000000000001</v>
      </c>
      <c r="F661" s="354">
        <f t="shared" si="105"/>
        <v>0.03</v>
      </c>
      <c r="H661" s="436">
        <f t="shared" si="107"/>
        <v>0</v>
      </c>
      <c r="I661" s="302">
        <f t="shared" si="108"/>
        <v>0</v>
      </c>
      <c r="K661" s="426">
        <f t="shared" si="117"/>
        <v>2.9176084758041223E-11</v>
      </c>
      <c r="L661" s="10">
        <f t="shared" si="118"/>
        <v>2.9176084758041223E-11</v>
      </c>
      <c r="M661" s="436">
        <f t="shared" si="119"/>
        <v>2.9176084758041223E-11</v>
      </c>
      <c r="N661" s="301">
        <f t="shared" si="109"/>
        <v>2.9176084758041223E-11</v>
      </c>
      <c r="O661" s="302">
        <f t="shared" si="110"/>
        <v>0</v>
      </c>
      <c r="P661" s="436">
        <f t="shared" si="111"/>
        <v>0</v>
      </c>
      <c r="Q661" s="11">
        <f t="shared" si="120"/>
        <v>0</v>
      </c>
      <c r="R661" s="426">
        <f t="shared" si="121"/>
        <v>0</v>
      </c>
      <c r="S661" s="354">
        <f>+Hirdetmény!$AA$46</f>
        <v>0.13400000000000001</v>
      </c>
      <c r="T661" s="302">
        <f t="shared" si="112"/>
        <v>0</v>
      </c>
      <c r="U661" s="302">
        <f t="shared" si="122"/>
        <v>0</v>
      </c>
      <c r="V661" s="302">
        <f t="shared" si="123"/>
        <v>0</v>
      </c>
      <c r="W661" s="302">
        <f t="shared" si="124"/>
        <v>0</v>
      </c>
      <c r="AA661" s="10">
        <f t="shared" si="125"/>
        <v>0</v>
      </c>
      <c r="AB661" s="354">
        <f>+paraméterek!$B$346</f>
        <v>6.4600000000000005E-2</v>
      </c>
      <c r="AC661" s="302">
        <f t="shared" si="113"/>
        <v>0</v>
      </c>
      <c r="AD661" s="302">
        <f t="shared" si="128"/>
        <v>0</v>
      </c>
      <c r="AE661" s="302">
        <f t="shared" si="126"/>
        <v>0</v>
      </c>
      <c r="AF661" s="478">
        <f t="shared" si="114"/>
        <v>0</v>
      </c>
      <c r="AI661" s="543">
        <f t="shared" si="127"/>
        <v>0</v>
      </c>
      <c r="AJ661" s="543"/>
      <c r="AK661" s="300"/>
      <c r="AL661" s="543"/>
      <c r="AM661" s="10"/>
    </row>
    <row r="662" spans="1:39" s="11" customFormat="1" ht="13.8" hidden="1" x14ac:dyDescent="0.25">
      <c r="A662" s="11">
        <v>307</v>
      </c>
      <c r="B662" s="11">
        <f t="shared" si="115"/>
        <v>26</v>
      </c>
      <c r="C662" s="354">
        <f t="shared" si="104"/>
        <v>0</v>
      </c>
      <c r="D662" s="300">
        <f t="shared" si="106"/>
        <v>1.151056494563818E-8</v>
      </c>
      <c r="E662" s="354">
        <f t="shared" si="116"/>
        <v>0.13400000000000001</v>
      </c>
      <c r="F662" s="354">
        <f t="shared" si="105"/>
        <v>0.03</v>
      </c>
      <c r="H662" s="436">
        <f t="shared" si="107"/>
        <v>0</v>
      </c>
      <c r="I662" s="302">
        <f t="shared" si="108"/>
        <v>0</v>
      </c>
      <c r="K662" s="426">
        <f t="shared" si="117"/>
        <v>2.9176084758041223E-11</v>
      </c>
      <c r="L662" s="10">
        <f t="shared" si="118"/>
        <v>2.9176084758041223E-11</v>
      </c>
      <c r="M662" s="436">
        <f t="shared" si="119"/>
        <v>2.9176084758041223E-11</v>
      </c>
      <c r="N662" s="301">
        <f t="shared" si="109"/>
        <v>2.9176084758041223E-11</v>
      </c>
      <c r="O662" s="302">
        <f t="shared" si="110"/>
        <v>0</v>
      </c>
      <c r="P662" s="436">
        <f t="shared" si="111"/>
        <v>0</v>
      </c>
      <c r="Q662" s="11">
        <f t="shared" si="120"/>
        <v>0</v>
      </c>
      <c r="R662" s="426">
        <f t="shared" si="121"/>
        <v>0</v>
      </c>
      <c r="S662" s="354">
        <f>+Hirdetmény!$AA$46</f>
        <v>0.13400000000000001</v>
      </c>
      <c r="T662" s="302">
        <f t="shared" si="112"/>
        <v>0</v>
      </c>
      <c r="U662" s="302">
        <f t="shared" si="122"/>
        <v>0</v>
      </c>
      <c r="V662" s="302">
        <f t="shared" si="123"/>
        <v>0</v>
      </c>
      <c r="W662" s="302">
        <f t="shared" si="124"/>
        <v>0</v>
      </c>
      <c r="AA662" s="10">
        <f t="shared" si="125"/>
        <v>0</v>
      </c>
      <c r="AB662" s="354">
        <f>+paraméterek!$B$346</f>
        <v>6.4600000000000005E-2</v>
      </c>
      <c r="AC662" s="302">
        <f t="shared" si="113"/>
        <v>0</v>
      </c>
      <c r="AD662" s="302">
        <f t="shared" si="128"/>
        <v>0</v>
      </c>
      <c r="AE662" s="302">
        <f t="shared" si="126"/>
        <v>0</v>
      </c>
      <c r="AF662" s="478">
        <f t="shared" si="114"/>
        <v>0</v>
      </c>
      <c r="AI662" s="543">
        <f t="shared" si="127"/>
        <v>0</v>
      </c>
      <c r="AJ662" s="543"/>
      <c r="AK662" s="300"/>
      <c r="AL662" s="543"/>
      <c r="AM662" s="10"/>
    </row>
    <row r="663" spans="1:39" s="11" customFormat="1" ht="13.8" hidden="1" x14ac:dyDescent="0.25">
      <c r="A663" s="11">
        <v>308</v>
      </c>
      <c r="B663" s="11">
        <f t="shared" si="115"/>
        <v>26</v>
      </c>
      <c r="C663" s="354">
        <f t="shared" si="104"/>
        <v>0</v>
      </c>
      <c r="D663" s="300">
        <f t="shared" si="106"/>
        <v>1.151056494563818E-8</v>
      </c>
      <c r="E663" s="354">
        <f t="shared" si="116"/>
        <v>0.13400000000000001</v>
      </c>
      <c r="F663" s="354">
        <f t="shared" si="105"/>
        <v>0.03</v>
      </c>
      <c r="H663" s="436">
        <f t="shared" si="107"/>
        <v>0</v>
      </c>
      <c r="I663" s="302">
        <f t="shared" si="108"/>
        <v>0</v>
      </c>
      <c r="K663" s="426">
        <f t="shared" si="117"/>
        <v>2.9176084758041223E-11</v>
      </c>
      <c r="L663" s="10">
        <f t="shared" si="118"/>
        <v>2.9176084758041223E-11</v>
      </c>
      <c r="M663" s="436">
        <f t="shared" si="119"/>
        <v>2.9176084758041223E-11</v>
      </c>
      <c r="N663" s="301">
        <f t="shared" si="109"/>
        <v>2.9176084758041223E-11</v>
      </c>
      <c r="O663" s="302">
        <f t="shared" si="110"/>
        <v>0</v>
      </c>
      <c r="P663" s="436">
        <f t="shared" si="111"/>
        <v>0</v>
      </c>
      <c r="Q663" s="11">
        <f t="shared" si="120"/>
        <v>0</v>
      </c>
      <c r="R663" s="426">
        <f t="shared" si="121"/>
        <v>0</v>
      </c>
      <c r="S663" s="354">
        <f>+Hirdetmény!$AA$46</f>
        <v>0.13400000000000001</v>
      </c>
      <c r="T663" s="302">
        <f t="shared" si="112"/>
        <v>0</v>
      </c>
      <c r="U663" s="302">
        <f t="shared" si="122"/>
        <v>0</v>
      </c>
      <c r="V663" s="302">
        <f t="shared" si="123"/>
        <v>0</v>
      </c>
      <c r="W663" s="302">
        <f t="shared" si="124"/>
        <v>0</v>
      </c>
      <c r="AA663" s="10">
        <f t="shared" si="125"/>
        <v>0</v>
      </c>
      <c r="AB663" s="354">
        <f>+paraméterek!$B$346</f>
        <v>6.4600000000000005E-2</v>
      </c>
      <c r="AC663" s="302">
        <f t="shared" si="113"/>
        <v>0</v>
      </c>
      <c r="AD663" s="302">
        <f t="shared" si="128"/>
        <v>0</v>
      </c>
      <c r="AE663" s="302">
        <f t="shared" si="126"/>
        <v>0</v>
      </c>
      <c r="AF663" s="478">
        <f t="shared" si="114"/>
        <v>0</v>
      </c>
      <c r="AI663" s="543">
        <f t="shared" si="127"/>
        <v>0</v>
      </c>
      <c r="AJ663" s="543"/>
      <c r="AK663" s="300"/>
      <c r="AL663" s="543"/>
      <c r="AM663" s="10"/>
    </row>
    <row r="664" spans="1:39" s="11" customFormat="1" ht="13.8" hidden="1" x14ac:dyDescent="0.25">
      <c r="A664" s="11">
        <v>309</v>
      </c>
      <c r="B664" s="11">
        <f t="shared" si="115"/>
        <v>26</v>
      </c>
      <c r="C664" s="354">
        <f t="shared" si="104"/>
        <v>0</v>
      </c>
      <c r="D664" s="300">
        <f t="shared" si="106"/>
        <v>1.151056494563818E-8</v>
      </c>
      <c r="E664" s="354">
        <f t="shared" si="116"/>
        <v>0.13400000000000001</v>
      </c>
      <c r="F664" s="354">
        <f t="shared" si="105"/>
        <v>0.03</v>
      </c>
      <c r="H664" s="436">
        <f t="shared" si="107"/>
        <v>0</v>
      </c>
      <c r="I664" s="302">
        <f t="shared" si="108"/>
        <v>0</v>
      </c>
      <c r="K664" s="426">
        <f t="shared" si="117"/>
        <v>2.9176084758041223E-11</v>
      </c>
      <c r="L664" s="10">
        <f t="shared" si="118"/>
        <v>2.9176084758041223E-11</v>
      </c>
      <c r="M664" s="436">
        <f t="shared" si="119"/>
        <v>2.9176084758041223E-11</v>
      </c>
      <c r="N664" s="301">
        <f t="shared" si="109"/>
        <v>2.9176084758041223E-11</v>
      </c>
      <c r="O664" s="302">
        <f t="shared" si="110"/>
        <v>0</v>
      </c>
      <c r="P664" s="436">
        <f t="shared" si="111"/>
        <v>0</v>
      </c>
      <c r="Q664" s="11">
        <f t="shared" si="120"/>
        <v>0</v>
      </c>
      <c r="R664" s="426">
        <f t="shared" si="121"/>
        <v>0</v>
      </c>
      <c r="S664" s="354">
        <f>+Hirdetmény!$AA$46</f>
        <v>0.13400000000000001</v>
      </c>
      <c r="T664" s="302">
        <f t="shared" si="112"/>
        <v>0</v>
      </c>
      <c r="U664" s="302">
        <f t="shared" si="122"/>
        <v>0</v>
      </c>
      <c r="V664" s="302">
        <f t="shared" si="123"/>
        <v>0</v>
      </c>
      <c r="W664" s="302">
        <f t="shared" si="124"/>
        <v>0</v>
      </c>
      <c r="AA664" s="10">
        <f t="shared" si="125"/>
        <v>0</v>
      </c>
      <c r="AB664" s="354">
        <f>+paraméterek!$B$346</f>
        <v>6.4600000000000005E-2</v>
      </c>
      <c r="AC664" s="302">
        <f t="shared" si="113"/>
        <v>0</v>
      </c>
      <c r="AD664" s="302">
        <f t="shared" si="128"/>
        <v>0</v>
      </c>
      <c r="AE664" s="302">
        <f t="shared" si="126"/>
        <v>0</v>
      </c>
      <c r="AF664" s="478">
        <f t="shared" si="114"/>
        <v>0</v>
      </c>
      <c r="AI664" s="543">
        <f t="shared" si="127"/>
        <v>0</v>
      </c>
      <c r="AJ664" s="543"/>
      <c r="AK664" s="300"/>
      <c r="AL664" s="543"/>
      <c r="AM664" s="10"/>
    </row>
    <row r="665" spans="1:39" s="11" customFormat="1" ht="13.8" hidden="1" x14ac:dyDescent="0.25">
      <c r="A665" s="11">
        <v>310</v>
      </c>
      <c r="B665" s="11">
        <f t="shared" si="115"/>
        <v>26</v>
      </c>
      <c r="C665" s="354">
        <f t="shared" si="104"/>
        <v>0</v>
      </c>
      <c r="D665" s="300">
        <f t="shared" si="106"/>
        <v>1.151056494563818E-8</v>
      </c>
      <c r="E665" s="354">
        <f t="shared" si="116"/>
        <v>0.13400000000000001</v>
      </c>
      <c r="F665" s="354">
        <f t="shared" si="105"/>
        <v>0.03</v>
      </c>
      <c r="H665" s="436">
        <f t="shared" si="107"/>
        <v>0</v>
      </c>
      <c r="I665" s="302">
        <f t="shared" si="108"/>
        <v>0</v>
      </c>
      <c r="K665" s="426">
        <f t="shared" si="117"/>
        <v>2.9176084758041223E-11</v>
      </c>
      <c r="L665" s="10">
        <f t="shared" si="118"/>
        <v>2.9176084758041223E-11</v>
      </c>
      <c r="M665" s="436">
        <f t="shared" si="119"/>
        <v>2.9176084758041223E-11</v>
      </c>
      <c r="N665" s="301">
        <f t="shared" si="109"/>
        <v>2.9176084758041223E-11</v>
      </c>
      <c r="O665" s="302">
        <f t="shared" si="110"/>
        <v>0</v>
      </c>
      <c r="P665" s="436">
        <f t="shared" si="111"/>
        <v>0</v>
      </c>
      <c r="Q665" s="11">
        <f t="shared" si="120"/>
        <v>0</v>
      </c>
      <c r="R665" s="426">
        <f t="shared" si="121"/>
        <v>0</v>
      </c>
      <c r="S665" s="354">
        <f>+Hirdetmény!$AA$46</f>
        <v>0.13400000000000001</v>
      </c>
      <c r="T665" s="302">
        <f t="shared" si="112"/>
        <v>0</v>
      </c>
      <c r="U665" s="302">
        <f t="shared" si="122"/>
        <v>0</v>
      </c>
      <c r="V665" s="302">
        <f t="shared" si="123"/>
        <v>0</v>
      </c>
      <c r="W665" s="302">
        <f t="shared" si="124"/>
        <v>0</v>
      </c>
      <c r="AA665" s="10">
        <f t="shared" si="125"/>
        <v>0</v>
      </c>
      <c r="AB665" s="354">
        <f>+paraméterek!$B$346</f>
        <v>6.4600000000000005E-2</v>
      </c>
      <c r="AC665" s="302">
        <f t="shared" si="113"/>
        <v>0</v>
      </c>
      <c r="AD665" s="302">
        <f t="shared" si="128"/>
        <v>0</v>
      </c>
      <c r="AE665" s="302">
        <f t="shared" si="126"/>
        <v>0</v>
      </c>
      <c r="AF665" s="478">
        <f t="shared" si="114"/>
        <v>0</v>
      </c>
      <c r="AI665" s="543">
        <f t="shared" si="127"/>
        <v>0</v>
      </c>
      <c r="AJ665" s="543"/>
      <c r="AK665" s="300"/>
      <c r="AL665" s="543"/>
      <c r="AM665" s="10"/>
    </row>
    <row r="666" spans="1:39" s="11" customFormat="1" ht="13.8" hidden="1" x14ac:dyDescent="0.25">
      <c r="A666" s="11">
        <v>311</v>
      </c>
      <c r="B666" s="11">
        <f t="shared" si="115"/>
        <v>26</v>
      </c>
      <c r="C666" s="354">
        <f t="shared" si="104"/>
        <v>0</v>
      </c>
      <c r="D666" s="300">
        <f t="shared" si="106"/>
        <v>1.151056494563818E-8</v>
      </c>
      <c r="E666" s="354">
        <f t="shared" si="116"/>
        <v>0.13400000000000001</v>
      </c>
      <c r="F666" s="354">
        <f t="shared" si="105"/>
        <v>0.03</v>
      </c>
      <c r="H666" s="436">
        <f t="shared" si="107"/>
        <v>0</v>
      </c>
      <c r="I666" s="302">
        <f t="shared" si="108"/>
        <v>0</v>
      </c>
      <c r="K666" s="426">
        <f t="shared" si="117"/>
        <v>2.9176084758041223E-11</v>
      </c>
      <c r="L666" s="10">
        <f t="shared" si="118"/>
        <v>2.9176084758041223E-11</v>
      </c>
      <c r="M666" s="436">
        <f t="shared" si="119"/>
        <v>2.9176084758041223E-11</v>
      </c>
      <c r="N666" s="301">
        <f t="shared" si="109"/>
        <v>2.9176084758041223E-11</v>
      </c>
      <c r="O666" s="302">
        <f t="shared" si="110"/>
        <v>0</v>
      </c>
      <c r="P666" s="436">
        <f t="shared" si="111"/>
        <v>0</v>
      </c>
      <c r="Q666" s="11">
        <f t="shared" si="120"/>
        <v>0</v>
      </c>
      <c r="R666" s="426">
        <f t="shared" si="121"/>
        <v>0</v>
      </c>
      <c r="S666" s="354">
        <f>+Hirdetmény!$AA$46</f>
        <v>0.13400000000000001</v>
      </c>
      <c r="T666" s="302">
        <f t="shared" si="112"/>
        <v>0</v>
      </c>
      <c r="U666" s="302">
        <f t="shared" si="122"/>
        <v>0</v>
      </c>
      <c r="V666" s="302">
        <f t="shared" si="123"/>
        <v>0</v>
      </c>
      <c r="W666" s="302">
        <f t="shared" si="124"/>
        <v>0</v>
      </c>
      <c r="AA666" s="10">
        <f t="shared" si="125"/>
        <v>0</v>
      </c>
      <c r="AB666" s="354">
        <f>+paraméterek!$B$346</f>
        <v>6.4600000000000005E-2</v>
      </c>
      <c r="AC666" s="302">
        <f t="shared" si="113"/>
        <v>0</v>
      </c>
      <c r="AD666" s="302">
        <f t="shared" si="128"/>
        <v>0</v>
      </c>
      <c r="AE666" s="302">
        <f t="shared" si="126"/>
        <v>0</v>
      </c>
      <c r="AF666" s="478">
        <f t="shared" si="114"/>
        <v>0</v>
      </c>
      <c r="AI666" s="543">
        <f t="shared" si="127"/>
        <v>0</v>
      </c>
      <c r="AJ666" s="543"/>
      <c r="AK666" s="300"/>
      <c r="AL666" s="543"/>
      <c r="AM666" s="10"/>
    </row>
    <row r="667" spans="1:39" s="11" customFormat="1" ht="13.8" hidden="1" x14ac:dyDescent="0.25">
      <c r="A667" s="11">
        <v>312</v>
      </c>
      <c r="B667" s="11">
        <f t="shared" si="115"/>
        <v>26</v>
      </c>
      <c r="C667" s="354">
        <f t="shared" si="104"/>
        <v>0</v>
      </c>
      <c r="D667" s="300">
        <f t="shared" si="106"/>
        <v>1.151056494563818E-8</v>
      </c>
      <c r="E667" s="354">
        <f t="shared" si="116"/>
        <v>0.13400000000000001</v>
      </c>
      <c r="F667" s="354">
        <f t="shared" si="105"/>
        <v>0.03</v>
      </c>
      <c r="H667" s="436">
        <f t="shared" si="107"/>
        <v>0</v>
      </c>
      <c r="I667" s="302">
        <f t="shared" si="108"/>
        <v>0</v>
      </c>
      <c r="K667" s="426">
        <f t="shared" si="117"/>
        <v>2.9176084758041223E-11</v>
      </c>
      <c r="L667" s="10">
        <f t="shared" si="118"/>
        <v>2.9176084758041223E-11</v>
      </c>
      <c r="M667" s="436">
        <f t="shared" si="119"/>
        <v>2.9176084758041223E-11</v>
      </c>
      <c r="N667" s="301">
        <f t="shared" si="109"/>
        <v>2.9176084758041223E-11</v>
      </c>
      <c r="O667" s="302">
        <f t="shared" si="110"/>
        <v>0</v>
      </c>
      <c r="P667" s="436">
        <f t="shared" si="111"/>
        <v>0</v>
      </c>
      <c r="Q667" s="11">
        <f t="shared" si="120"/>
        <v>0</v>
      </c>
      <c r="R667" s="426">
        <f t="shared" si="121"/>
        <v>0</v>
      </c>
      <c r="S667" s="354">
        <f>+Hirdetmény!$AA$46</f>
        <v>0.13400000000000001</v>
      </c>
      <c r="T667" s="302">
        <f t="shared" si="112"/>
        <v>0</v>
      </c>
      <c r="U667" s="302">
        <f t="shared" si="122"/>
        <v>0</v>
      </c>
      <c r="V667" s="302">
        <f t="shared" si="123"/>
        <v>0</v>
      </c>
      <c r="W667" s="302">
        <f t="shared" si="124"/>
        <v>0</v>
      </c>
      <c r="AA667" s="10">
        <f t="shared" si="125"/>
        <v>0</v>
      </c>
      <c r="AB667" s="354">
        <f>+paraméterek!$B$346</f>
        <v>6.4600000000000005E-2</v>
      </c>
      <c r="AC667" s="302">
        <f t="shared" si="113"/>
        <v>0</v>
      </c>
      <c r="AD667" s="302">
        <f t="shared" si="128"/>
        <v>0</v>
      </c>
      <c r="AE667" s="302">
        <f t="shared" si="126"/>
        <v>0</v>
      </c>
      <c r="AF667" s="478">
        <f t="shared" si="114"/>
        <v>0</v>
      </c>
      <c r="AI667" s="543">
        <f t="shared" si="127"/>
        <v>0</v>
      </c>
      <c r="AJ667" s="543"/>
      <c r="AK667" s="300"/>
      <c r="AL667" s="543"/>
      <c r="AM667" s="10"/>
    </row>
    <row r="668" spans="1:39" s="11" customFormat="1" ht="13.8" hidden="1" x14ac:dyDescent="0.25">
      <c r="A668" s="11">
        <v>313</v>
      </c>
      <c r="B668" s="11">
        <f t="shared" si="115"/>
        <v>27</v>
      </c>
      <c r="C668" s="354">
        <f t="shared" si="104"/>
        <v>0</v>
      </c>
      <c r="D668" s="300">
        <f t="shared" si="106"/>
        <v>1.151056494563818E-8</v>
      </c>
      <c r="E668" s="354">
        <f t="shared" si="116"/>
        <v>0.13400000000000001</v>
      </c>
      <c r="F668" s="354">
        <f t="shared" si="105"/>
        <v>0.03</v>
      </c>
      <c r="H668" s="436">
        <f t="shared" si="107"/>
        <v>0</v>
      </c>
      <c r="I668" s="302">
        <f t="shared" si="108"/>
        <v>0</v>
      </c>
      <c r="K668" s="426">
        <f t="shared" si="117"/>
        <v>2.9176084758041223E-11</v>
      </c>
      <c r="L668" s="10">
        <f t="shared" si="118"/>
        <v>2.9176084758041223E-11</v>
      </c>
      <c r="M668" s="436">
        <f t="shared" si="119"/>
        <v>2.9176084758041223E-11</v>
      </c>
      <c r="N668" s="301">
        <f t="shared" si="109"/>
        <v>2.9176084758041223E-11</v>
      </c>
      <c r="O668" s="302">
        <f t="shared" si="110"/>
        <v>0</v>
      </c>
      <c r="P668" s="436">
        <f t="shared" si="111"/>
        <v>0</v>
      </c>
      <c r="Q668" s="11">
        <f t="shared" si="120"/>
        <v>0</v>
      </c>
      <c r="R668" s="426">
        <f t="shared" si="121"/>
        <v>0</v>
      </c>
      <c r="S668" s="354">
        <f>+Hirdetmény!$AA$46</f>
        <v>0.13400000000000001</v>
      </c>
      <c r="T668" s="302">
        <f t="shared" si="112"/>
        <v>0</v>
      </c>
      <c r="U668" s="302">
        <f t="shared" si="122"/>
        <v>0</v>
      </c>
      <c r="V668" s="302">
        <f t="shared" si="123"/>
        <v>0</v>
      </c>
      <c r="W668" s="302">
        <f t="shared" si="124"/>
        <v>0</v>
      </c>
      <c r="AA668" s="10">
        <f t="shared" si="125"/>
        <v>0</v>
      </c>
      <c r="AB668" s="354">
        <f>+paraméterek!$B$346</f>
        <v>6.4600000000000005E-2</v>
      </c>
      <c r="AC668" s="302">
        <f t="shared" si="113"/>
        <v>0</v>
      </c>
      <c r="AD668" s="302">
        <f t="shared" si="128"/>
        <v>0</v>
      </c>
      <c r="AE668" s="302">
        <f t="shared" si="126"/>
        <v>0</v>
      </c>
      <c r="AF668" s="478">
        <f t="shared" si="114"/>
        <v>0</v>
      </c>
      <c r="AI668" s="543">
        <f t="shared" si="127"/>
        <v>0</v>
      </c>
      <c r="AJ668" s="543"/>
      <c r="AK668" s="300"/>
      <c r="AL668" s="543"/>
      <c r="AM668" s="10"/>
    </row>
    <row r="669" spans="1:39" s="11" customFormat="1" ht="13.8" hidden="1" x14ac:dyDescent="0.25">
      <c r="A669" s="11">
        <v>314</v>
      </c>
      <c r="B669" s="11">
        <f t="shared" si="115"/>
        <v>27</v>
      </c>
      <c r="C669" s="354">
        <f t="shared" si="104"/>
        <v>0</v>
      </c>
      <c r="D669" s="300">
        <f t="shared" si="106"/>
        <v>1.151056494563818E-8</v>
      </c>
      <c r="E669" s="354">
        <f t="shared" si="116"/>
        <v>0.13400000000000001</v>
      </c>
      <c r="F669" s="354">
        <f t="shared" si="105"/>
        <v>0.03</v>
      </c>
      <c r="H669" s="436">
        <f t="shared" si="107"/>
        <v>0</v>
      </c>
      <c r="I669" s="302">
        <f t="shared" si="108"/>
        <v>0</v>
      </c>
      <c r="K669" s="426">
        <f t="shared" si="117"/>
        <v>2.9176084758041223E-11</v>
      </c>
      <c r="L669" s="10">
        <f t="shared" si="118"/>
        <v>2.9176084758041223E-11</v>
      </c>
      <c r="M669" s="436">
        <f t="shared" si="119"/>
        <v>2.9176084758041223E-11</v>
      </c>
      <c r="N669" s="301">
        <f t="shared" si="109"/>
        <v>2.9176084758041223E-11</v>
      </c>
      <c r="O669" s="302">
        <f t="shared" si="110"/>
        <v>0</v>
      </c>
      <c r="P669" s="436">
        <f t="shared" si="111"/>
        <v>0</v>
      </c>
      <c r="Q669" s="11">
        <f t="shared" si="120"/>
        <v>0</v>
      </c>
      <c r="R669" s="426">
        <f t="shared" si="121"/>
        <v>0</v>
      </c>
      <c r="S669" s="354">
        <f>+Hirdetmény!$AA$46</f>
        <v>0.13400000000000001</v>
      </c>
      <c r="T669" s="302">
        <f t="shared" si="112"/>
        <v>0</v>
      </c>
      <c r="U669" s="302">
        <f t="shared" si="122"/>
        <v>0</v>
      </c>
      <c r="V669" s="302">
        <f t="shared" si="123"/>
        <v>0</v>
      </c>
      <c r="W669" s="302">
        <f t="shared" si="124"/>
        <v>0</v>
      </c>
      <c r="AA669" s="10">
        <f t="shared" si="125"/>
        <v>0</v>
      </c>
      <c r="AB669" s="354">
        <f>+paraméterek!$B$346</f>
        <v>6.4600000000000005E-2</v>
      </c>
      <c r="AC669" s="302">
        <f t="shared" si="113"/>
        <v>0</v>
      </c>
      <c r="AD669" s="302">
        <f t="shared" si="128"/>
        <v>0</v>
      </c>
      <c r="AE669" s="302">
        <f t="shared" si="126"/>
        <v>0</v>
      </c>
      <c r="AF669" s="478">
        <f t="shared" si="114"/>
        <v>0</v>
      </c>
      <c r="AI669" s="543">
        <f t="shared" si="127"/>
        <v>0</v>
      </c>
      <c r="AJ669" s="543"/>
      <c r="AK669" s="300"/>
      <c r="AL669" s="543"/>
      <c r="AM669" s="10"/>
    </row>
    <row r="670" spans="1:39" s="11" customFormat="1" ht="13.8" hidden="1" x14ac:dyDescent="0.25">
      <c r="A670" s="11">
        <v>315</v>
      </c>
      <c r="B670" s="11">
        <f t="shared" si="115"/>
        <v>27</v>
      </c>
      <c r="C670" s="354">
        <f t="shared" si="104"/>
        <v>0</v>
      </c>
      <c r="D670" s="300">
        <f t="shared" si="106"/>
        <v>1.151056494563818E-8</v>
      </c>
      <c r="E670" s="354">
        <f t="shared" si="116"/>
        <v>0.13400000000000001</v>
      </c>
      <c r="F670" s="354">
        <f t="shared" si="105"/>
        <v>0.03</v>
      </c>
      <c r="H670" s="436">
        <f t="shared" si="107"/>
        <v>0</v>
      </c>
      <c r="I670" s="302">
        <f t="shared" si="108"/>
        <v>0</v>
      </c>
      <c r="K670" s="426">
        <f t="shared" si="117"/>
        <v>2.9176084758041223E-11</v>
      </c>
      <c r="L670" s="10">
        <f t="shared" si="118"/>
        <v>2.9176084758041223E-11</v>
      </c>
      <c r="M670" s="436">
        <f t="shared" si="119"/>
        <v>2.9176084758041223E-11</v>
      </c>
      <c r="N670" s="301">
        <f t="shared" si="109"/>
        <v>2.9176084758041223E-11</v>
      </c>
      <c r="O670" s="302">
        <f t="shared" si="110"/>
        <v>0</v>
      </c>
      <c r="P670" s="436">
        <f t="shared" si="111"/>
        <v>0</v>
      </c>
      <c r="Q670" s="11">
        <f t="shared" si="120"/>
        <v>0</v>
      </c>
      <c r="R670" s="426">
        <f t="shared" si="121"/>
        <v>0</v>
      </c>
      <c r="S670" s="354">
        <f>+Hirdetmény!$AA$46</f>
        <v>0.13400000000000001</v>
      </c>
      <c r="T670" s="302">
        <f t="shared" si="112"/>
        <v>0</v>
      </c>
      <c r="U670" s="302">
        <f t="shared" si="122"/>
        <v>0</v>
      </c>
      <c r="V670" s="302">
        <f t="shared" si="123"/>
        <v>0</v>
      </c>
      <c r="W670" s="302">
        <f t="shared" si="124"/>
        <v>0</v>
      </c>
      <c r="AA670" s="10">
        <f t="shared" si="125"/>
        <v>0</v>
      </c>
      <c r="AB670" s="354">
        <f>+paraméterek!$B$346</f>
        <v>6.4600000000000005E-2</v>
      </c>
      <c r="AC670" s="302">
        <f t="shared" si="113"/>
        <v>0</v>
      </c>
      <c r="AD670" s="302">
        <f t="shared" si="128"/>
        <v>0</v>
      </c>
      <c r="AE670" s="302">
        <f t="shared" si="126"/>
        <v>0</v>
      </c>
      <c r="AF670" s="478">
        <f t="shared" si="114"/>
        <v>0</v>
      </c>
      <c r="AI670" s="543">
        <f t="shared" si="127"/>
        <v>0</v>
      </c>
      <c r="AJ670" s="543"/>
      <c r="AK670" s="300"/>
      <c r="AL670" s="543"/>
      <c r="AM670" s="10"/>
    </row>
    <row r="671" spans="1:39" s="11" customFormat="1" ht="13.8" hidden="1" x14ac:dyDescent="0.25">
      <c r="A671" s="11">
        <v>316</v>
      </c>
      <c r="B671" s="11">
        <f t="shared" si="115"/>
        <v>27</v>
      </c>
      <c r="C671" s="354">
        <f t="shared" si="104"/>
        <v>0</v>
      </c>
      <c r="D671" s="300">
        <f t="shared" si="106"/>
        <v>1.151056494563818E-8</v>
      </c>
      <c r="E671" s="354">
        <f t="shared" si="116"/>
        <v>0.13400000000000001</v>
      </c>
      <c r="F671" s="354">
        <f t="shared" si="105"/>
        <v>0.03</v>
      </c>
      <c r="H671" s="436">
        <f t="shared" si="107"/>
        <v>0</v>
      </c>
      <c r="I671" s="302">
        <f t="shared" si="108"/>
        <v>0</v>
      </c>
      <c r="K671" s="426">
        <f t="shared" si="117"/>
        <v>2.9176084758041223E-11</v>
      </c>
      <c r="L671" s="10">
        <f t="shared" si="118"/>
        <v>2.9176084758041223E-11</v>
      </c>
      <c r="M671" s="436">
        <f t="shared" si="119"/>
        <v>2.9176084758041223E-11</v>
      </c>
      <c r="N671" s="301">
        <f t="shared" si="109"/>
        <v>2.9176084758041223E-11</v>
      </c>
      <c r="O671" s="302">
        <f t="shared" si="110"/>
        <v>0</v>
      </c>
      <c r="P671" s="436">
        <f t="shared" si="111"/>
        <v>0</v>
      </c>
      <c r="Q671" s="11">
        <f t="shared" si="120"/>
        <v>0</v>
      </c>
      <c r="R671" s="426">
        <f t="shared" si="121"/>
        <v>0</v>
      </c>
      <c r="S671" s="354">
        <f>+Hirdetmény!$AA$46</f>
        <v>0.13400000000000001</v>
      </c>
      <c r="T671" s="302">
        <f t="shared" si="112"/>
        <v>0</v>
      </c>
      <c r="U671" s="302">
        <f t="shared" si="122"/>
        <v>0</v>
      </c>
      <c r="V671" s="302">
        <f t="shared" si="123"/>
        <v>0</v>
      </c>
      <c r="W671" s="302">
        <f t="shared" si="124"/>
        <v>0</v>
      </c>
      <c r="AA671" s="10">
        <f t="shared" si="125"/>
        <v>0</v>
      </c>
      <c r="AB671" s="354">
        <f>+paraméterek!$B$346</f>
        <v>6.4600000000000005E-2</v>
      </c>
      <c r="AC671" s="302">
        <f t="shared" si="113"/>
        <v>0</v>
      </c>
      <c r="AD671" s="302">
        <f t="shared" si="128"/>
        <v>0</v>
      </c>
      <c r="AE671" s="302">
        <f t="shared" si="126"/>
        <v>0</v>
      </c>
      <c r="AF671" s="478">
        <f t="shared" si="114"/>
        <v>0</v>
      </c>
      <c r="AI671" s="543">
        <f t="shared" si="127"/>
        <v>0</v>
      </c>
      <c r="AJ671" s="543"/>
      <c r="AK671" s="300"/>
      <c r="AL671" s="543"/>
      <c r="AM671" s="10"/>
    </row>
    <row r="672" spans="1:39" s="11" customFormat="1" ht="13.8" hidden="1" x14ac:dyDescent="0.25">
      <c r="A672" s="11">
        <v>317</v>
      </c>
      <c r="B672" s="11">
        <f t="shared" si="115"/>
        <v>27</v>
      </c>
      <c r="C672" s="354">
        <f t="shared" si="104"/>
        <v>0</v>
      </c>
      <c r="D672" s="300">
        <f t="shared" si="106"/>
        <v>1.151056494563818E-8</v>
      </c>
      <c r="E672" s="354">
        <f t="shared" si="116"/>
        <v>0.13400000000000001</v>
      </c>
      <c r="F672" s="354">
        <f t="shared" si="105"/>
        <v>0.03</v>
      </c>
      <c r="H672" s="436">
        <f t="shared" si="107"/>
        <v>0</v>
      </c>
      <c r="I672" s="302">
        <f t="shared" si="108"/>
        <v>0</v>
      </c>
      <c r="K672" s="426">
        <f t="shared" si="117"/>
        <v>2.9176084758041223E-11</v>
      </c>
      <c r="L672" s="10">
        <f t="shared" si="118"/>
        <v>2.9176084758041223E-11</v>
      </c>
      <c r="M672" s="436">
        <f t="shared" si="119"/>
        <v>2.9176084758041223E-11</v>
      </c>
      <c r="N672" s="301">
        <f t="shared" si="109"/>
        <v>2.9176084758041223E-11</v>
      </c>
      <c r="O672" s="302">
        <f t="shared" si="110"/>
        <v>0</v>
      </c>
      <c r="P672" s="436">
        <f t="shared" si="111"/>
        <v>0</v>
      </c>
      <c r="Q672" s="11">
        <f t="shared" si="120"/>
        <v>0</v>
      </c>
      <c r="R672" s="426">
        <f t="shared" si="121"/>
        <v>0</v>
      </c>
      <c r="S672" s="354">
        <f>+Hirdetmény!$AA$46</f>
        <v>0.13400000000000001</v>
      </c>
      <c r="T672" s="302">
        <f t="shared" si="112"/>
        <v>0</v>
      </c>
      <c r="U672" s="302">
        <f t="shared" si="122"/>
        <v>0</v>
      </c>
      <c r="V672" s="302">
        <f t="shared" si="123"/>
        <v>0</v>
      </c>
      <c r="W672" s="302">
        <f t="shared" si="124"/>
        <v>0</v>
      </c>
      <c r="AA672" s="10">
        <f t="shared" si="125"/>
        <v>0</v>
      </c>
      <c r="AB672" s="354">
        <f>+paraméterek!$B$346</f>
        <v>6.4600000000000005E-2</v>
      </c>
      <c r="AC672" s="302">
        <f t="shared" si="113"/>
        <v>0</v>
      </c>
      <c r="AD672" s="302">
        <f t="shared" si="128"/>
        <v>0</v>
      </c>
      <c r="AE672" s="302">
        <f t="shared" si="126"/>
        <v>0</v>
      </c>
      <c r="AF672" s="478">
        <f t="shared" si="114"/>
        <v>0</v>
      </c>
      <c r="AI672" s="543">
        <f t="shared" si="127"/>
        <v>0</v>
      </c>
      <c r="AJ672" s="543"/>
      <c r="AK672" s="300"/>
      <c r="AL672" s="543"/>
      <c r="AM672" s="10"/>
    </row>
    <row r="673" spans="1:39" s="4" customFormat="1" ht="13.8" hidden="1" x14ac:dyDescent="0.25">
      <c r="A673" s="11">
        <v>318</v>
      </c>
      <c r="B673" s="11">
        <f t="shared" si="115"/>
        <v>27</v>
      </c>
      <c r="C673" s="354">
        <f t="shared" si="104"/>
        <v>0</v>
      </c>
      <c r="D673" s="300">
        <f t="shared" si="106"/>
        <v>1.151056494563818E-8</v>
      </c>
      <c r="E673" s="354">
        <f t="shared" si="116"/>
        <v>0.13400000000000001</v>
      </c>
      <c r="F673" s="354">
        <f t="shared" si="105"/>
        <v>0.03</v>
      </c>
      <c r="G673" s="11"/>
      <c r="H673" s="436">
        <f t="shared" si="107"/>
        <v>0</v>
      </c>
      <c r="I673" s="302">
        <f t="shared" si="108"/>
        <v>0</v>
      </c>
      <c r="J673" s="11"/>
      <c r="K673" s="426">
        <f t="shared" si="117"/>
        <v>2.9176084758041223E-11</v>
      </c>
      <c r="L673" s="10">
        <f t="shared" si="118"/>
        <v>2.9176084758041223E-11</v>
      </c>
      <c r="M673" s="436">
        <f t="shared" si="119"/>
        <v>2.9176084758041223E-11</v>
      </c>
      <c r="N673" s="301">
        <f t="shared" si="109"/>
        <v>2.9176084758041223E-11</v>
      </c>
      <c r="O673" s="302">
        <f t="shared" si="110"/>
        <v>0</v>
      </c>
      <c r="P673" s="436">
        <f t="shared" si="111"/>
        <v>0</v>
      </c>
      <c r="Q673" s="11">
        <f t="shared" si="120"/>
        <v>0</v>
      </c>
      <c r="R673" s="426">
        <f t="shared" si="121"/>
        <v>0</v>
      </c>
      <c r="S673" s="354">
        <f>+Hirdetmény!$AA$46</f>
        <v>0.13400000000000001</v>
      </c>
      <c r="T673" s="302">
        <f t="shared" si="112"/>
        <v>0</v>
      </c>
      <c r="U673" s="302">
        <f t="shared" si="122"/>
        <v>0</v>
      </c>
      <c r="V673" s="302">
        <f t="shared" si="123"/>
        <v>0</v>
      </c>
      <c r="W673" s="302">
        <f t="shared" si="124"/>
        <v>0</v>
      </c>
      <c r="AA673" s="10">
        <f t="shared" si="125"/>
        <v>0</v>
      </c>
      <c r="AB673" s="354">
        <f>+paraméterek!$B$346</f>
        <v>6.4600000000000005E-2</v>
      </c>
      <c r="AC673" s="302">
        <f t="shared" si="113"/>
        <v>0</v>
      </c>
      <c r="AD673" s="302">
        <f t="shared" si="128"/>
        <v>0</v>
      </c>
      <c r="AE673" s="302">
        <f t="shared" si="126"/>
        <v>0</v>
      </c>
      <c r="AF673" s="478">
        <f t="shared" si="114"/>
        <v>0</v>
      </c>
      <c r="AI673" s="543">
        <f t="shared" si="127"/>
        <v>0</v>
      </c>
      <c r="AJ673" s="543"/>
      <c r="AK673" s="300"/>
      <c r="AL673" s="543"/>
      <c r="AM673" s="10"/>
    </row>
    <row r="674" spans="1:39" s="4" customFormat="1" ht="13.8" hidden="1" x14ac:dyDescent="0.25">
      <c r="A674" s="11">
        <v>319</v>
      </c>
      <c r="B674" s="11">
        <f t="shared" si="115"/>
        <v>27</v>
      </c>
      <c r="C674" s="354">
        <f t="shared" si="104"/>
        <v>0</v>
      </c>
      <c r="D674" s="300">
        <f t="shared" si="106"/>
        <v>1.151056494563818E-8</v>
      </c>
      <c r="E674" s="354">
        <f t="shared" si="116"/>
        <v>0.13400000000000001</v>
      </c>
      <c r="F674" s="354">
        <f t="shared" si="105"/>
        <v>0.03</v>
      </c>
      <c r="G674" s="11"/>
      <c r="H674" s="436">
        <f t="shared" si="107"/>
        <v>0</v>
      </c>
      <c r="I674" s="302">
        <f t="shared" si="108"/>
        <v>0</v>
      </c>
      <c r="J674" s="11"/>
      <c r="K674" s="426">
        <f t="shared" si="117"/>
        <v>2.9176084758041223E-11</v>
      </c>
      <c r="L674" s="10">
        <f t="shared" si="118"/>
        <v>2.9176084758041223E-11</v>
      </c>
      <c r="M674" s="436">
        <f t="shared" si="119"/>
        <v>2.9176084758041223E-11</v>
      </c>
      <c r="N674" s="301">
        <f t="shared" si="109"/>
        <v>2.9176084758041223E-11</v>
      </c>
      <c r="O674" s="302">
        <f t="shared" si="110"/>
        <v>0</v>
      </c>
      <c r="P674" s="436">
        <f t="shared" si="111"/>
        <v>0</v>
      </c>
      <c r="Q674" s="11">
        <f t="shared" si="120"/>
        <v>0</v>
      </c>
      <c r="R674" s="426">
        <f t="shared" si="121"/>
        <v>0</v>
      </c>
      <c r="S674" s="354">
        <f>+Hirdetmény!$AA$46</f>
        <v>0.13400000000000001</v>
      </c>
      <c r="T674" s="302">
        <f t="shared" si="112"/>
        <v>0</v>
      </c>
      <c r="U674" s="302">
        <f t="shared" si="122"/>
        <v>0</v>
      </c>
      <c r="V674" s="302">
        <f t="shared" si="123"/>
        <v>0</v>
      </c>
      <c r="W674" s="302">
        <f t="shared" si="124"/>
        <v>0</v>
      </c>
      <c r="AA674" s="10">
        <f t="shared" si="125"/>
        <v>0</v>
      </c>
      <c r="AB674" s="354">
        <f>+paraméterek!$B$346</f>
        <v>6.4600000000000005E-2</v>
      </c>
      <c r="AC674" s="302">
        <f t="shared" si="113"/>
        <v>0</v>
      </c>
      <c r="AD674" s="302">
        <f t="shared" si="128"/>
        <v>0</v>
      </c>
      <c r="AE674" s="302">
        <f t="shared" si="126"/>
        <v>0</v>
      </c>
      <c r="AF674" s="478">
        <f t="shared" si="114"/>
        <v>0</v>
      </c>
      <c r="AI674" s="543">
        <f t="shared" si="127"/>
        <v>0</v>
      </c>
      <c r="AJ674" s="543"/>
      <c r="AK674" s="300"/>
      <c r="AL674" s="543"/>
      <c r="AM674" s="10"/>
    </row>
    <row r="675" spans="1:39" s="4" customFormat="1" ht="13.8" hidden="1" x14ac:dyDescent="0.25">
      <c r="A675" s="11">
        <v>320</v>
      </c>
      <c r="B675" s="11">
        <f t="shared" si="115"/>
        <v>27</v>
      </c>
      <c r="C675" s="354">
        <f t="shared" ref="C675:C738" si="129">aktualisbubor</f>
        <v>0</v>
      </c>
      <c r="D675" s="300">
        <f t="shared" si="106"/>
        <v>1.151056494563818E-8</v>
      </c>
      <c r="E675" s="354">
        <f t="shared" si="116"/>
        <v>0.13400000000000001</v>
      </c>
      <c r="F675" s="354">
        <f t="shared" ref="F675:F738" si="130">$N$292</f>
        <v>0.03</v>
      </c>
      <c r="G675" s="11"/>
      <c r="H675" s="436">
        <f t="shared" si="107"/>
        <v>0</v>
      </c>
      <c r="I675" s="302">
        <f t="shared" si="108"/>
        <v>0</v>
      </c>
      <c r="J675" s="11"/>
      <c r="K675" s="426">
        <f t="shared" si="117"/>
        <v>2.9176084758041223E-11</v>
      </c>
      <c r="L675" s="10">
        <f t="shared" si="118"/>
        <v>2.9176084758041223E-11</v>
      </c>
      <c r="M675" s="436">
        <f t="shared" si="119"/>
        <v>2.9176084758041223E-11</v>
      </c>
      <c r="N675" s="301">
        <f t="shared" si="109"/>
        <v>2.9176084758041223E-11</v>
      </c>
      <c r="O675" s="302">
        <f t="shared" si="110"/>
        <v>0</v>
      </c>
      <c r="P675" s="436">
        <f t="shared" si="111"/>
        <v>0</v>
      </c>
      <c r="Q675" s="11">
        <f t="shared" si="120"/>
        <v>0</v>
      </c>
      <c r="R675" s="426">
        <f t="shared" si="121"/>
        <v>0</v>
      </c>
      <c r="S675" s="354">
        <f>+Hirdetmény!$AA$46</f>
        <v>0.13400000000000001</v>
      </c>
      <c r="T675" s="302">
        <f t="shared" si="112"/>
        <v>0</v>
      </c>
      <c r="U675" s="302">
        <f t="shared" si="122"/>
        <v>0</v>
      </c>
      <c r="V675" s="302">
        <f t="shared" si="123"/>
        <v>0</v>
      </c>
      <c r="W675" s="302">
        <f t="shared" si="124"/>
        <v>0</v>
      </c>
      <c r="AA675" s="10">
        <f t="shared" si="125"/>
        <v>0</v>
      </c>
      <c r="AB675" s="354">
        <f>+paraméterek!$B$346</f>
        <v>6.4600000000000005E-2</v>
      </c>
      <c r="AC675" s="302">
        <f t="shared" si="113"/>
        <v>0</v>
      </c>
      <c r="AD675" s="302">
        <f t="shared" si="128"/>
        <v>0</v>
      </c>
      <c r="AE675" s="302">
        <f t="shared" si="126"/>
        <v>0</v>
      </c>
      <c r="AF675" s="478">
        <f t="shared" si="114"/>
        <v>0</v>
      </c>
      <c r="AI675" s="543">
        <f t="shared" si="127"/>
        <v>0</v>
      </c>
      <c r="AJ675" s="543"/>
      <c r="AK675" s="300"/>
      <c r="AL675" s="543"/>
      <c r="AM675" s="10"/>
    </row>
    <row r="676" spans="1:39" s="4" customFormat="1" ht="13.8" hidden="1" x14ac:dyDescent="0.25">
      <c r="A676" s="11">
        <v>321</v>
      </c>
      <c r="B676" s="11">
        <f t="shared" si="115"/>
        <v>27</v>
      </c>
      <c r="C676" s="354">
        <f t="shared" si="129"/>
        <v>0</v>
      </c>
      <c r="D676" s="300">
        <f t="shared" ref="D676:D739" si="131">+D675-H676-I676</f>
        <v>1.151056494563818E-8</v>
      </c>
      <c r="E676" s="354">
        <f t="shared" si="116"/>
        <v>0.13400000000000001</v>
      </c>
      <c r="F676" s="354">
        <f t="shared" si="130"/>
        <v>0.03</v>
      </c>
      <c r="G676" s="11"/>
      <c r="H676" s="436">
        <f t="shared" ref="H676:H739" si="132">IF(A676&lt;=$E$295,0,IF(A676&lt;=$K$5,PPMT(F676/360*(365/12),A676-$E$295,$K$5-$E$295,-$D$355),0))</f>
        <v>0</v>
      </c>
      <c r="I676" s="302">
        <f t="shared" ref="I676:I739" si="133">+IF(A676=$K$5,$K$11,0)</f>
        <v>0</v>
      </c>
      <c r="J676" s="11"/>
      <c r="K676" s="426">
        <f t="shared" si="117"/>
        <v>2.9176084758041223E-11</v>
      </c>
      <c r="L676" s="10">
        <f t="shared" si="118"/>
        <v>2.9176084758041223E-11</v>
      </c>
      <c r="M676" s="436">
        <f t="shared" si="119"/>
        <v>2.9176084758041223E-11</v>
      </c>
      <c r="N676" s="301">
        <f t="shared" ref="N676:N739" si="134">+D675*F676/360*(365/12)</f>
        <v>2.9176084758041223E-11</v>
      </c>
      <c r="O676" s="302">
        <f t="shared" ref="O676:O739" si="135">IF(A676&lt;=$K$5,PMT($N$292*365/360/12,$K$5,-$N$18)+P676+Q676+$N$27)+IF($K$6="nem",$E$29,IF(A675&lt;$E$295+1,$E$28,$E$29))</f>
        <v>0</v>
      </c>
      <c r="P676" s="436">
        <f t="shared" ref="P676:P740" si="136">IF(A676&lt;=$K$5,$E$25,0)</f>
        <v>0</v>
      </c>
      <c r="Q676" s="11">
        <f t="shared" si="120"/>
        <v>0</v>
      </c>
      <c r="R676" s="426">
        <f t="shared" si="121"/>
        <v>0</v>
      </c>
      <c r="S676" s="354">
        <f>+Hirdetmény!$AA$46</f>
        <v>0.13400000000000001</v>
      </c>
      <c r="T676" s="302">
        <f t="shared" ref="T676:T739" si="137">IF(A676&lt;=$K$5,IF(A676&gt;$E$295,PPMT(S676/360*(365/12),1,$K$5-A675,R675,$K$11*-1),0)*-1,0)</f>
        <v>0</v>
      </c>
      <c r="U676" s="302">
        <f t="shared" si="122"/>
        <v>0</v>
      </c>
      <c r="V676" s="302">
        <f t="shared" si="123"/>
        <v>0</v>
      </c>
      <c r="W676" s="302">
        <f t="shared" si="124"/>
        <v>0</v>
      </c>
      <c r="AA676" s="10">
        <f t="shared" si="125"/>
        <v>0</v>
      </c>
      <c r="AB676" s="354">
        <f>+paraméterek!$B$346</f>
        <v>6.4600000000000005E-2</v>
      </c>
      <c r="AC676" s="302">
        <f t="shared" ref="AC676:AC739" si="138">IF(A676&lt;=$K$5,IF(A676&gt;$E$295,PPMT(AB676/360*(365/12),1,$K$5-A675,AA675,$K$11*-1),0)*-1,0)</f>
        <v>0</v>
      </c>
      <c r="AD676" s="302">
        <f t="shared" si="128"/>
        <v>0</v>
      </c>
      <c r="AE676" s="302">
        <f t="shared" si="126"/>
        <v>0</v>
      </c>
      <c r="AF676" s="478">
        <f t="shared" ref="AF676:AF739" si="139">+AE676+IF($K$6="nem",$E$29,IF(A676&lt;$E$295+1,$E$28,$E$29)+IF(A676&lt;=$K$5,$E$25+Q676+$N$27,0))</f>
        <v>0</v>
      </c>
      <c r="AI676" s="543">
        <f t="shared" si="127"/>
        <v>0</v>
      </c>
      <c r="AJ676" s="543"/>
      <c r="AK676" s="300"/>
      <c r="AL676" s="543"/>
      <c r="AM676" s="10"/>
    </row>
    <row r="677" spans="1:39" s="4" customFormat="1" ht="13.8" hidden="1" x14ac:dyDescent="0.25">
      <c r="A677" s="11">
        <v>322</v>
      </c>
      <c r="B677" s="11">
        <f t="shared" ref="B677:B740" si="140">+ROUNDUP(A677/12,0)</f>
        <v>27</v>
      </c>
      <c r="C677" s="354">
        <f t="shared" si="129"/>
        <v>0</v>
      </c>
      <c r="D677" s="300">
        <f t="shared" si="131"/>
        <v>1.151056494563818E-8</v>
      </c>
      <c r="E677" s="354">
        <f t="shared" ref="E677:E740" si="141">E676</f>
        <v>0.13400000000000001</v>
      </c>
      <c r="F677" s="354">
        <f t="shared" si="130"/>
        <v>0.03</v>
      </c>
      <c r="G677" s="11"/>
      <c r="H677" s="436">
        <f t="shared" si="132"/>
        <v>0</v>
      </c>
      <c r="I677" s="302">
        <f t="shared" si="133"/>
        <v>0</v>
      </c>
      <c r="J677" s="11"/>
      <c r="K677" s="426">
        <f t="shared" ref="K677:K740" si="142">+(H677+N677)+IF($K$6="nem",$E$29,IF(A677&lt;$E$295+1,$E$28,$E$29)+P677)+Q677+$N$27+I677</f>
        <v>2.9176084758041223E-11</v>
      </c>
      <c r="L677" s="10">
        <f t="shared" ref="L677:L740" si="143">K677</f>
        <v>2.9176084758041223E-11</v>
      </c>
      <c r="M677" s="436">
        <f t="shared" ref="M677:M740" si="144">H677+N677</f>
        <v>2.9176084758041223E-11</v>
      </c>
      <c r="N677" s="301">
        <f t="shared" si="134"/>
        <v>2.9176084758041223E-11</v>
      </c>
      <c r="O677" s="302">
        <f t="shared" si="135"/>
        <v>0</v>
      </c>
      <c r="P677" s="436">
        <f t="shared" si="136"/>
        <v>0</v>
      </c>
      <c r="Q677" s="11">
        <f t="shared" ref="Q677:Q740" si="145">IF(A677&gt;$K$5,0,+IF($K$25="havi",$K$23,0)+IF($K$25="negyedéves",$K$23,0)+IF($K$25="féléves",$K$23,0)+IF($K$25="éves",$K$23,0)+IF($E$223="havi",$E$221,0)+IF($E$223="negyedéves",$E$221,0)+IF($E$223="féléves",$E$221,0)+IF($E$223="éves",$E$221,0)+IF($H$223="havi",$H$221,0)+IF($H$223="negyedéves",$H$221,0)+IF($H$223="féléves",$H$221,0)+IF($H$223="éves",$H$221,0)+IF($K$223="havi",$K$221,0)+IF($K$223="negyedéves",$K$221,0)+IF($K$223="féléves",$K$221,0)+IF($K$223="éves",$K$221,0)+IF($N$223="havi",$N$221,0)+IF($N$223="negyedéves",$N$221,0)+IF($N$223="féléves",$N$221,0)+IF($N$223="éves",$N$221,0))</f>
        <v>0</v>
      </c>
      <c r="R677" s="426">
        <f t="shared" ref="R677:R740" si="146">+R676-T677</f>
        <v>0</v>
      </c>
      <c r="S677" s="354">
        <f>+Hirdetmény!$AA$46</f>
        <v>0.13400000000000001</v>
      </c>
      <c r="T677" s="302">
        <f t="shared" si="137"/>
        <v>0</v>
      </c>
      <c r="U677" s="302">
        <f t="shared" ref="U677:U740" si="147">+R676*S677/360*(365/12)</f>
        <v>0</v>
      </c>
      <c r="V677" s="302">
        <f t="shared" ref="V677:V740" si="148">+T677+U677</f>
        <v>0</v>
      </c>
      <c r="W677" s="302">
        <f t="shared" ref="W677:W740" si="149">+V677+IF($K$6="nem",$E$29,IF(A677&lt;$E$295+1,$E$28,$E$29))+IF(A677&lt;=$K$5,$E$25+Q677+$N$27,0)</f>
        <v>0</v>
      </c>
      <c r="AA677" s="10">
        <f t="shared" ref="AA677:AA740" si="150">+AA676-AC677</f>
        <v>0</v>
      </c>
      <c r="AB677" s="354">
        <f>+paraméterek!$B$346</f>
        <v>6.4600000000000005E-2</v>
      </c>
      <c r="AC677" s="302">
        <f t="shared" si="138"/>
        <v>0</v>
      </c>
      <c r="AD677" s="302">
        <f t="shared" si="128"/>
        <v>0</v>
      </c>
      <c r="AE677" s="302">
        <f t="shared" ref="AE677:AE740" si="151">+AC677+AD677</f>
        <v>0</v>
      </c>
      <c r="AF677" s="478">
        <f t="shared" si="139"/>
        <v>0</v>
      </c>
      <c r="AI677" s="543">
        <f t="shared" ref="AI677:AI740" si="152">+V677+IF($K$6="nem",$E$29,IF(A677&lt;$E$295+1,$E$28,$E$29)+P677)+IF(A677&gt;$K$5,0,IF($E$221=0,$E$222,$E$221)+$N$27)+I677</f>
        <v>0</v>
      </c>
      <c r="AJ677" s="543"/>
      <c r="AK677" s="300"/>
      <c r="AL677" s="543"/>
      <c r="AM677" s="10"/>
    </row>
    <row r="678" spans="1:39" s="4" customFormat="1" ht="13.8" hidden="1" x14ac:dyDescent="0.25">
      <c r="A678" s="11">
        <v>323</v>
      </c>
      <c r="B678" s="11">
        <f t="shared" si="140"/>
        <v>27</v>
      </c>
      <c r="C678" s="354">
        <f t="shared" si="129"/>
        <v>0</v>
      </c>
      <c r="D678" s="300">
        <f t="shared" si="131"/>
        <v>1.151056494563818E-8</v>
      </c>
      <c r="E678" s="354">
        <f t="shared" si="141"/>
        <v>0.13400000000000001</v>
      </c>
      <c r="F678" s="354">
        <f t="shared" si="130"/>
        <v>0.03</v>
      </c>
      <c r="G678" s="11"/>
      <c r="H678" s="436">
        <f t="shared" si="132"/>
        <v>0</v>
      </c>
      <c r="I678" s="302">
        <f t="shared" si="133"/>
        <v>0</v>
      </c>
      <c r="J678" s="11"/>
      <c r="K678" s="426">
        <f t="shared" si="142"/>
        <v>2.9176084758041223E-11</v>
      </c>
      <c r="L678" s="10">
        <f t="shared" si="143"/>
        <v>2.9176084758041223E-11</v>
      </c>
      <c r="M678" s="436">
        <f t="shared" si="144"/>
        <v>2.9176084758041223E-11</v>
      </c>
      <c r="N678" s="301">
        <f t="shared" si="134"/>
        <v>2.9176084758041223E-11</v>
      </c>
      <c r="O678" s="302">
        <f t="shared" si="135"/>
        <v>0</v>
      </c>
      <c r="P678" s="436">
        <f t="shared" si="136"/>
        <v>0</v>
      </c>
      <c r="Q678" s="11">
        <f t="shared" si="145"/>
        <v>0</v>
      </c>
      <c r="R678" s="426">
        <f t="shared" si="146"/>
        <v>0</v>
      </c>
      <c r="S678" s="354">
        <f>+Hirdetmény!$AA$46</f>
        <v>0.13400000000000001</v>
      </c>
      <c r="T678" s="302">
        <f t="shared" si="137"/>
        <v>0</v>
      </c>
      <c r="U678" s="302">
        <f t="shared" si="147"/>
        <v>0</v>
      </c>
      <c r="V678" s="302">
        <f t="shared" si="148"/>
        <v>0</v>
      </c>
      <c r="W678" s="302">
        <f t="shared" si="149"/>
        <v>0</v>
      </c>
      <c r="AA678" s="10">
        <f t="shared" si="150"/>
        <v>0</v>
      </c>
      <c r="AB678" s="354">
        <f>+paraméterek!$B$346</f>
        <v>6.4600000000000005E-2</v>
      </c>
      <c r="AC678" s="302">
        <f t="shared" si="138"/>
        <v>0</v>
      </c>
      <c r="AD678" s="302">
        <f t="shared" ref="AD678:AD741" si="153">+AA677*AB678/360*(365/12)</f>
        <v>0</v>
      </c>
      <c r="AE678" s="302">
        <f t="shared" si="151"/>
        <v>0</v>
      </c>
      <c r="AF678" s="478">
        <f t="shared" si="139"/>
        <v>0</v>
      </c>
      <c r="AI678" s="543">
        <f t="shared" si="152"/>
        <v>0</v>
      </c>
      <c r="AJ678" s="543"/>
      <c r="AK678" s="300"/>
      <c r="AL678" s="543"/>
      <c r="AM678" s="10"/>
    </row>
    <row r="679" spans="1:39" s="4" customFormat="1" ht="13.8" hidden="1" x14ac:dyDescent="0.25">
      <c r="A679" s="11">
        <v>324</v>
      </c>
      <c r="B679" s="11">
        <f t="shared" si="140"/>
        <v>27</v>
      </c>
      <c r="C679" s="354">
        <f t="shared" si="129"/>
        <v>0</v>
      </c>
      <c r="D679" s="300">
        <f t="shared" si="131"/>
        <v>1.151056494563818E-8</v>
      </c>
      <c r="E679" s="354">
        <f t="shared" si="141"/>
        <v>0.13400000000000001</v>
      </c>
      <c r="F679" s="354">
        <f t="shared" si="130"/>
        <v>0.03</v>
      </c>
      <c r="G679" s="11"/>
      <c r="H679" s="436">
        <f t="shared" si="132"/>
        <v>0</v>
      </c>
      <c r="I679" s="302">
        <f t="shared" si="133"/>
        <v>0</v>
      </c>
      <c r="J679" s="11"/>
      <c r="K679" s="426">
        <f t="shared" si="142"/>
        <v>2.9176084758041223E-11</v>
      </c>
      <c r="L679" s="10">
        <f t="shared" si="143"/>
        <v>2.9176084758041223E-11</v>
      </c>
      <c r="M679" s="436">
        <f t="shared" si="144"/>
        <v>2.9176084758041223E-11</v>
      </c>
      <c r="N679" s="301">
        <f t="shared" si="134"/>
        <v>2.9176084758041223E-11</v>
      </c>
      <c r="O679" s="302">
        <f t="shared" si="135"/>
        <v>0</v>
      </c>
      <c r="P679" s="436">
        <f t="shared" si="136"/>
        <v>0</v>
      </c>
      <c r="Q679" s="11">
        <f t="shared" si="145"/>
        <v>0</v>
      </c>
      <c r="R679" s="426">
        <f t="shared" si="146"/>
        <v>0</v>
      </c>
      <c r="S679" s="354">
        <f>+Hirdetmény!$AA$46</f>
        <v>0.13400000000000001</v>
      </c>
      <c r="T679" s="302">
        <f t="shared" si="137"/>
        <v>0</v>
      </c>
      <c r="U679" s="302">
        <f t="shared" si="147"/>
        <v>0</v>
      </c>
      <c r="V679" s="302">
        <f t="shared" si="148"/>
        <v>0</v>
      </c>
      <c r="W679" s="302">
        <f t="shared" si="149"/>
        <v>0</v>
      </c>
      <c r="AA679" s="10">
        <f t="shared" si="150"/>
        <v>0</v>
      </c>
      <c r="AB679" s="354">
        <f>+paraméterek!$B$346</f>
        <v>6.4600000000000005E-2</v>
      </c>
      <c r="AC679" s="302">
        <f t="shared" si="138"/>
        <v>0</v>
      </c>
      <c r="AD679" s="302">
        <f t="shared" si="153"/>
        <v>0</v>
      </c>
      <c r="AE679" s="302">
        <f t="shared" si="151"/>
        <v>0</v>
      </c>
      <c r="AF679" s="478">
        <f t="shared" si="139"/>
        <v>0</v>
      </c>
      <c r="AI679" s="543">
        <f t="shared" si="152"/>
        <v>0</v>
      </c>
      <c r="AJ679" s="543"/>
      <c r="AK679" s="300"/>
      <c r="AL679" s="543"/>
      <c r="AM679" s="10"/>
    </row>
    <row r="680" spans="1:39" s="4" customFormat="1" ht="13.8" hidden="1" x14ac:dyDescent="0.25">
      <c r="A680" s="11">
        <v>325</v>
      </c>
      <c r="B680" s="11">
        <f t="shared" si="140"/>
        <v>28</v>
      </c>
      <c r="C680" s="354">
        <f t="shared" si="129"/>
        <v>0</v>
      </c>
      <c r="D680" s="300">
        <f t="shared" si="131"/>
        <v>1.151056494563818E-8</v>
      </c>
      <c r="E680" s="354">
        <f t="shared" si="141"/>
        <v>0.13400000000000001</v>
      </c>
      <c r="F680" s="354">
        <f t="shared" si="130"/>
        <v>0.03</v>
      </c>
      <c r="G680" s="11"/>
      <c r="H680" s="436">
        <f t="shared" si="132"/>
        <v>0</v>
      </c>
      <c r="I680" s="302">
        <f t="shared" si="133"/>
        <v>0</v>
      </c>
      <c r="J680" s="11"/>
      <c r="K680" s="426">
        <f t="shared" si="142"/>
        <v>2.9176084758041223E-11</v>
      </c>
      <c r="L680" s="10">
        <f t="shared" si="143"/>
        <v>2.9176084758041223E-11</v>
      </c>
      <c r="M680" s="436">
        <f t="shared" si="144"/>
        <v>2.9176084758041223E-11</v>
      </c>
      <c r="N680" s="301">
        <f t="shared" si="134"/>
        <v>2.9176084758041223E-11</v>
      </c>
      <c r="O680" s="302">
        <f t="shared" si="135"/>
        <v>0</v>
      </c>
      <c r="P680" s="436">
        <f t="shared" si="136"/>
        <v>0</v>
      </c>
      <c r="Q680" s="11">
        <f t="shared" si="145"/>
        <v>0</v>
      </c>
      <c r="R680" s="426">
        <f t="shared" si="146"/>
        <v>0</v>
      </c>
      <c r="S680" s="354">
        <f>+Hirdetmény!$AA$46</f>
        <v>0.13400000000000001</v>
      </c>
      <c r="T680" s="302">
        <f t="shared" si="137"/>
        <v>0</v>
      </c>
      <c r="U680" s="302">
        <f t="shared" si="147"/>
        <v>0</v>
      </c>
      <c r="V680" s="302">
        <f t="shared" si="148"/>
        <v>0</v>
      </c>
      <c r="W680" s="302">
        <f t="shared" si="149"/>
        <v>0</v>
      </c>
      <c r="AA680" s="10">
        <f t="shared" si="150"/>
        <v>0</v>
      </c>
      <c r="AB680" s="354">
        <f>+paraméterek!$B$346</f>
        <v>6.4600000000000005E-2</v>
      </c>
      <c r="AC680" s="302">
        <f t="shared" si="138"/>
        <v>0</v>
      </c>
      <c r="AD680" s="302">
        <f t="shared" si="153"/>
        <v>0</v>
      </c>
      <c r="AE680" s="302">
        <f t="shared" si="151"/>
        <v>0</v>
      </c>
      <c r="AF680" s="478">
        <f t="shared" si="139"/>
        <v>0</v>
      </c>
      <c r="AI680" s="543">
        <f t="shared" si="152"/>
        <v>0</v>
      </c>
      <c r="AJ680" s="543"/>
      <c r="AK680" s="300"/>
      <c r="AL680" s="543"/>
      <c r="AM680" s="10"/>
    </row>
    <row r="681" spans="1:39" s="4" customFormat="1" ht="13.8" hidden="1" x14ac:dyDescent="0.25">
      <c r="A681" s="11">
        <v>326</v>
      </c>
      <c r="B681" s="11">
        <f t="shared" si="140"/>
        <v>28</v>
      </c>
      <c r="C681" s="354">
        <f t="shared" si="129"/>
        <v>0</v>
      </c>
      <c r="D681" s="300">
        <f t="shared" si="131"/>
        <v>1.151056494563818E-8</v>
      </c>
      <c r="E681" s="354">
        <f t="shared" si="141"/>
        <v>0.13400000000000001</v>
      </c>
      <c r="F681" s="354">
        <f t="shared" si="130"/>
        <v>0.03</v>
      </c>
      <c r="G681" s="11"/>
      <c r="H681" s="436">
        <f t="shared" si="132"/>
        <v>0</v>
      </c>
      <c r="I681" s="302">
        <f t="shared" si="133"/>
        <v>0</v>
      </c>
      <c r="J681" s="11"/>
      <c r="K681" s="426">
        <f t="shared" si="142"/>
        <v>2.9176084758041223E-11</v>
      </c>
      <c r="L681" s="10">
        <f t="shared" si="143"/>
        <v>2.9176084758041223E-11</v>
      </c>
      <c r="M681" s="436">
        <f t="shared" si="144"/>
        <v>2.9176084758041223E-11</v>
      </c>
      <c r="N681" s="301">
        <f t="shared" si="134"/>
        <v>2.9176084758041223E-11</v>
      </c>
      <c r="O681" s="302">
        <f t="shared" si="135"/>
        <v>0</v>
      </c>
      <c r="P681" s="436">
        <f t="shared" si="136"/>
        <v>0</v>
      </c>
      <c r="Q681" s="11">
        <f t="shared" si="145"/>
        <v>0</v>
      </c>
      <c r="R681" s="426">
        <f t="shared" si="146"/>
        <v>0</v>
      </c>
      <c r="S681" s="354">
        <f>+Hirdetmény!$AA$46</f>
        <v>0.13400000000000001</v>
      </c>
      <c r="T681" s="302">
        <f t="shared" si="137"/>
        <v>0</v>
      </c>
      <c r="U681" s="302">
        <f t="shared" si="147"/>
        <v>0</v>
      </c>
      <c r="V681" s="302">
        <f t="shared" si="148"/>
        <v>0</v>
      </c>
      <c r="W681" s="302">
        <f t="shared" si="149"/>
        <v>0</v>
      </c>
      <c r="AA681" s="10">
        <f t="shared" si="150"/>
        <v>0</v>
      </c>
      <c r="AB681" s="354">
        <f>+paraméterek!$B$346</f>
        <v>6.4600000000000005E-2</v>
      </c>
      <c r="AC681" s="302">
        <f t="shared" si="138"/>
        <v>0</v>
      </c>
      <c r="AD681" s="302">
        <f t="shared" si="153"/>
        <v>0</v>
      </c>
      <c r="AE681" s="302">
        <f t="shared" si="151"/>
        <v>0</v>
      </c>
      <c r="AF681" s="478">
        <f t="shared" si="139"/>
        <v>0</v>
      </c>
      <c r="AI681" s="543">
        <f t="shared" si="152"/>
        <v>0</v>
      </c>
      <c r="AJ681" s="543"/>
      <c r="AK681" s="300"/>
      <c r="AL681" s="543"/>
      <c r="AM681" s="10"/>
    </row>
    <row r="682" spans="1:39" s="4" customFormat="1" ht="13.8" hidden="1" x14ac:dyDescent="0.25">
      <c r="A682" s="11">
        <v>327</v>
      </c>
      <c r="B682" s="11">
        <f t="shared" si="140"/>
        <v>28</v>
      </c>
      <c r="C682" s="354">
        <f t="shared" si="129"/>
        <v>0</v>
      </c>
      <c r="D682" s="300">
        <f t="shared" si="131"/>
        <v>1.151056494563818E-8</v>
      </c>
      <c r="E682" s="354">
        <f t="shared" si="141"/>
        <v>0.13400000000000001</v>
      </c>
      <c r="F682" s="354">
        <f t="shared" si="130"/>
        <v>0.03</v>
      </c>
      <c r="G682" s="11"/>
      <c r="H682" s="436">
        <f t="shared" si="132"/>
        <v>0</v>
      </c>
      <c r="I682" s="302">
        <f t="shared" si="133"/>
        <v>0</v>
      </c>
      <c r="J682" s="11"/>
      <c r="K682" s="426">
        <f t="shared" si="142"/>
        <v>2.9176084758041223E-11</v>
      </c>
      <c r="L682" s="10">
        <f t="shared" si="143"/>
        <v>2.9176084758041223E-11</v>
      </c>
      <c r="M682" s="436">
        <f t="shared" si="144"/>
        <v>2.9176084758041223E-11</v>
      </c>
      <c r="N682" s="301">
        <f t="shared" si="134"/>
        <v>2.9176084758041223E-11</v>
      </c>
      <c r="O682" s="302">
        <f t="shared" si="135"/>
        <v>0</v>
      </c>
      <c r="P682" s="436">
        <f t="shared" si="136"/>
        <v>0</v>
      </c>
      <c r="Q682" s="11">
        <f t="shared" si="145"/>
        <v>0</v>
      </c>
      <c r="R682" s="426">
        <f t="shared" si="146"/>
        <v>0</v>
      </c>
      <c r="S682" s="354">
        <f>+Hirdetmény!$AA$46</f>
        <v>0.13400000000000001</v>
      </c>
      <c r="T682" s="302">
        <f t="shared" si="137"/>
        <v>0</v>
      </c>
      <c r="U682" s="302">
        <f t="shared" si="147"/>
        <v>0</v>
      </c>
      <c r="V682" s="302">
        <f t="shared" si="148"/>
        <v>0</v>
      </c>
      <c r="W682" s="302">
        <f t="shared" si="149"/>
        <v>0</v>
      </c>
      <c r="AA682" s="10">
        <f t="shared" si="150"/>
        <v>0</v>
      </c>
      <c r="AB682" s="354">
        <f>+paraméterek!$B$346</f>
        <v>6.4600000000000005E-2</v>
      </c>
      <c r="AC682" s="302">
        <f t="shared" si="138"/>
        <v>0</v>
      </c>
      <c r="AD682" s="302">
        <f t="shared" si="153"/>
        <v>0</v>
      </c>
      <c r="AE682" s="302">
        <f t="shared" si="151"/>
        <v>0</v>
      </c>
      <c r="AF682" s="478">
        <f t="shared" si="139"/>
        <v>0</v>
      </c>
      <c r="AI682" s="543">
        <f t="shared" si="152"/>
        <v>0</v>
      </c>
      <c r="AJ682" s="543"/>
      <c r="AK682" s="300"/>
      <c r="AL682" s="543"/>
      <c r="AM682" s="10"/>
    </row>
    <row r="683" spans="1:39" s="4" customFormat="1" ht="13.8" hidden="1" x14ac:dyDescent="0.25">
      <c r="A683" s="11">
        <v>328</v>
      </c>
      <c r="B683" s="11">
        <f t="shared" si="140"/>
        <v>28</v>
      </c>
      <c r="C683" s="354">
        <f t="shared" si="129"/>
        <v>0</v>
      </c>
      <c r="D683" s="300">
        <f t="shared" si="131"/>
        <v>1.151056494563818E-8</v>
      </c>
      <c r="E683" s="354">
        <f t="shared" si="141"/>
        <v>0.13400000000000001</v>
      </c>
      <c r="F683" s="354">
        <f t="shared" si="130"/>
        <v>0.03</v>
      </c>
      <c r="G683" s="11"/>
      <c r="H683" s="436">
        <f t="shared" si="132"/>
        <v>0</v>
      </c>
      <c r="I683" s="302">
        <f t="shared" si="133"/>
        <v>0</v>
      </c>
      <c r="J683" s="11"/>
      <c r="K683" s="426">
        <f t="shared" si="142"/>
        <v>2.9176084758041223E-11</v>
      </c>
      <c r="L683" s="10">
        <f t="shared" si="143"/>
        <v>2.9176084758041223E-11</v>
      </c>
      <c r="M683" s="436">
        <f t="shared" si="144"/>
        <v>2.9176084758041223E-11</v>
      </c>
      <c r="N683" s="301">
        <f t="shared" si="134"/>
        <v>2.9176084758041223E-11</v>
      </c>
      <c r="O683" s="302">
        <f t="shared" si="135"/>
        <v>0</v>
      </c>
      <c r="P683" s="436">
        <f t="shared" si="136"/>
        <v>0</v>
      </c>
      <c r="Q683" s="11">
        <f t="shared" si="145"/>
        <v>0</v>
      </c>
      <c r="R683" s="426">
        <f t="shared" si="146"/>
        <v>0</v>
      </c>
      <c r="S683" s="354">
        <f>+Hirdetmény!$AA$46</f>
        <v>0.13400000000000001</v>
      </c>
      <c r="T683" s="302">
        <f t="shared" si="137"/>
        <v>0</v>
      </c>
      <c r="U683" s="302">
        <f t="shared" si="147"/>
        <v>0</v>
      </c>
      <c r="V683" s="302">
        <f t="shared" si="148"/>
        <v>0</v>
      </c>
      <c r="W683" s="302">
        <f t="shared" si="149"/>
        <v>0</v>
      </c>
      <c r="AA683" s="10">
        <f t="shared" si="150"/>
        <v>0</v>
      </c>
      <c r="AB683" s="354">
        <f>+paraméterek!$B$346</f>
        <v>6.4600000000000005E-2</v>
      </c>
      <c r="AC683" s="302">
        <f t="shared" si="138"/>
        <v>0</v>
      </c>
      <c r="AD683" s="302">
        <f t="shared" si="153"/>
        <v>0</v>
      </c>
      <c r="AE683" s="302">
        <f t="shared" si="151"/>
        <v>0</v>
      </c>
      <c r="AF683" s="478">
        <f t="shared" si="139"/>
        <v>0</v>
      </c>
      <c r="AI683" s="543">
        <f t="shared" si="152"/>
        <v>0</v>
      </c>
      <c r="AJ683" s="543"/>
      <c r="AK683" s="300"/>
      <c r="AL683" s="543"/>
      <c r="AM683" s="10"/>
    </row>
    <row r="684" spans="1:39" s="4" customFormat="1" ht="13.8" hidden="1" x14ac:dyDescent="0.25">
      <c r="A684" s="11">
        <v>329</v>
      </c>
      <c r="B684" s="11">
        <f t="shared" si="140"/>
        <v>28</v>
      </c>
      <c r="C684" s="354">
        <f t="shared" si="129"/>
        <v>0</v>
      </c>
      <c r="D684" s="300">
        <f t="shared" si="131"/>
        <v>1.151056494563818E-8</v>
      </c>
      <c r="E684" s="354">
        <f t="shared" si="141"/>
        <v>0.13400000000000001</v>
      </c>
      <c r="F684" s="354">
        <f t="shared" si="130"/>
        <v>0.03</v>
      </c>
      <c r="G684" s="11"/>
      <c r="H684" s="436">
        <f t="shared" si="132"/>
        <v>0</v>
      </c>
      <c r="I684" s="302">
        <f t="shared" si="133"/>
        <v>0</v>
      </c>
      <c r="J684" s="11"/>
      <c r="K684" s="426">
        <f t="shared" si="142"/>
        <v>2.9176084758041223E-11</v>
      </c>
      <c r="L684" s="10">
        <f t="shared" si="143"/>
        <v>2.9176084758041223E-11</v>
      </c>
      <c r="M684" s="436">
        <f t="shared" si="144"/>
        <v>2.9176084758041223E-11</v>
      </c>
      <c r="N684" s="301">
        <f t="shared" si="134"/>
        <v>2.9176084758041223E-11</v>
      </c>
      <c r="O684" s="302">
        <f t="shared" si="135"/>
        <v>0</v>
      </c>
      <c r="P684" s="436">
        <f t="shared" si="136"/>
        <v>0</v>
      </c>
      <c r="Q684" s="11">
        <f t="shared" si="145"/>
        <v>0</v>
      </c>
      <c r="R684" s="426">
        <f t="shared" si="146"/>
        <v>0</v>
      </c>
      <c r="S684" s="354">
        <f>+Hirdetmény!$AA$46</f>
        <v>0.13400000000000001</v>
      </c>
      <c r="T684" s="302">
        <f t="shared" si="137"/>
        <v>0</v>
      </c>
      <c r="U684" s="302">
        <f t="shared" si="147"/>
        <v>0</v>
      </c>
      <c r="V684" s="302">
        <f t="shared" si="148"/>
        <v>0</v>
      </c>
      <c r="W684" s="302">
        <f t="shared" si="149"/>
        <v>0</v>
      </c>
      <c r="AA684" s="10">
        <f t="shared" si="150"/>
        <v>0</v>
      </c>
      <c r="AB684" s="354">
        <f>+paraméterek!$B$346</f>
        <v>6.4600000000000005E-2</v>
      </c>
      <c r="AC684" s="302">
        <f t="shared" si="138"/>
        <v>0</v>
      </c>
      <c r="AD684" s="302">
        <f t="shared" si="153"/>
        <v>0</v>
      </c>
      <c r="AE684" s="302">
        <f t="shared" si="151"/>
        <v>0</v>
      </c>
      <c r="AF684" s="478">
        <f t="shared" si="139"/>
        <v>0</v>
      </c>
      <c r="AI684" s="543">
        <f t="shared" si="152"/>
        <v>0</v>
      </c>
      <c r="AJ684" s="543"/>
      <c r="AK684" s="300"/>
      <c r="AL684" s="543"/>
      <c r="AM684" s="10"/>
    </row>
    <row r="685" spans="1:39" s="4" customFormat="1" ht="13.8" hidden="1" x14ac:dyDescent="0.25">
      <c r="A685" s="11">
        <v>330</v>
      </c>
      <c r="B685" s="11">
        <f t="shared" si="140"/>
        <v>28</v>
      </c>
      <c r="C685" s="354">
        <f t="shared" si="129"/>
        <v>0</v>
      </c>
      <c r="D685" s="300">
        <f t="shared" si="131"/>
        <v>1.151056494563818E-8</v>
      </c>
      <c r="E685" s="354">
        <f t="shared" si="141"/>
        <v>0.13400000000000001</v>
      </c>
      <c r="F685" s="354">
        <f t="shared" si="130"/>
        <v>0.03</v>
      </c>
      <c r="G685" s="11"/>
      <c r="H685" s="436">
        <f t="shared" si="132"/>
        <v>0</v>
      </c>
      <c r="I685" s="302">
        <f t="shared" si="133"/>
        <v>0</v>
      </c>
      <c r="J685" s="11"/>
      <c r="K685" s="426">
        <f t="shared" si="142"/>
        <v>2.9176084758041223E-11</v>
      </c>
      <c r="L685" s="10">
        <f t="shared" si="143"/>
        <v>2.9176084758041223E-11</v>
      </c>
      <c r="M685" s="436">
        <f t="shared" si="144"/>
        <v>2.9176084758041223E-11</v>
      </c>
      <c r="N685" s="301">
        <f t="shared" si="134"/>
        <v>2.9176084758041223E-11</v>
      </c>
      <c r="O685" s="302">
        <f t="shared" si="135"/>
        <v>0</v>
      </c>
      <c r="P685" s="436">
        <f t="shared" si="136"/>
        <v>0</v>
      </c>
      <c r="Q685" s="11">
        <f t="shared" si="145"/>
        <v>0</v>
      </c>
      <c r="R685" s="426">
        <f t="shared" si="146"/>
        <v>0</v>
      </c>
      <c r="S685" s="354">
        <f>+Hirdetmény!$AA$46</f>
        <v>0.13400000000000001</v>
      </c>
      <c r="T685" s="302">
        <f t="shared" si="137"/>
        <v>0</v>
      </c>
      <c r="U685" s="302">
        <f t="shared" si="147"/>
        <v>0</v>
      </c>
      <c r="V685" s="302">
        <f t="shared" si="148"/>
        <v>0</v>
      </c>
      <c r="W685" s="302">
        <f t="shared" si="149"/>
        <v>0</v>
      </c>
      <c r="AA685" s="10">
        <f t="shared" si="150"/>
        <v>0</v>
      </c>
      <c r="AB685" s="354">
        <f>+paraméterek!$B$346</f>
        <v>6.4600000000000005E-2</v>
      </c>
      <c r="AC685" s="302">
        <f t="shared" si="138"/>
        <v>0</v>
      </c>
      <c r="AD685" s="302">
        <f t="shared" si="153"/>
        <v>0</v>
      </c>
      <c r="AE685" s="302">
        <f t="shared" si="151"/>
        <v>0</v>
      </c>
      <c r="AF685" s="478">
        <f t="shared" si="139"/>
        <v>0</v>
      </c>
      <c r="AI685" s="543">
        <f t="shared" si="152"/>
        <v>0</v>
      </c>
      <c r="AJ685" s="543"/>
      <c r="AK685" s="300"/>
      <c r="AL685" s="543"/>
      <c r="AM685" s="10"/>
    </row>
    <row r="686" spans="1:39" s="4" customFormat="1" ht="13.8" hidden="1" x14ac:dyDescent="0.25">
      <c r="A686" s="11">
        <v>331</v>
      </c>
      <c r="B686" s="11">
        <f t="shared" si="140"/>
        <v>28</v>
      </c>
      <c r="C686" s="354">
        <f t="shared" si="129"/>
        <v>0</v>
      </c>
      <c r="D686" s="300">
        <f t="shared" si="131"/>
        <v>1.151056494563818E-8</v>
      </c>
      <c r="E686" s="354">
        <f t="shared" si="141"/>
        <v>0.13400000000000001</v>
      </c>
      <c r="F686" s="354">
        <f t="shared" si="130"/>
        <v>0.03</v>
      </c>
      <c r="G686" s="11"/>
      <c r="H686" s="436">
        <f t="shared" si="132"/>
        <v>0</v>
      </c>
      <c r="I686" s="302">
        <f t="shared" si="133"/>
        <v>0</v>
      </c>
      <c r="J686" s="11"/>
      <c r="K686" s="426">
        <f t="shared" si="142"/>
        <v>2.9176084758041223E-11</v>
      </c>
      <c r="L686" s="10">
        <f t="shared" si="143"/>
        <v>2.9176084758041223E-11</v>
      </c>
      <c r="M686" s="436">
        <f t="shared" si="144"/>
        <v>2.9176084758041223E-11</v>
      </c>
      <c r="N686" s="301">
        <f t="shared" si="134"/>
        <v>2.9176084758041223E-11</v>
      </c>
      <c r="O686" s="302">
        <f t="shared" si="135"/>
        <v>0</v>
      </c>
      <c r="P686" s="436">
        <f t="shared" si="136"/>
        <v>0</v>
      </c>
      <c r="Q686" s="11">
        <f t="shared" si="145"/>
        <v>0</v>
      </c>
      <c r="R686" s="426">
        <f t="shared" si="146"/>
        <v>0</v>
      </c>
      <c r="S686" s="354">
        <f>+Hirdetmény!$AA$46</f>
        <v>0.13400000000000001</v>
      </c>
      <c r="T686" s="302">
        <f t="shared" si="137"/>
        <v>0</v>
      </c>
      <c r="U686" s="302">
        <f t="shared" si="147"/>
        <v>0</v>
      </c>
      <c r="V686" s="302">
        <f t="shared" si="148"/>
        <v>0</v>
      </c>
      <c r="W686" s="302">
        <f t="shared" si="149"/>
        <v>0</v>
      </c>
      <c r="AA686" s="10">
        <f t="shared" si="150"/>
        <v>0</v>
      </c>
      <c r="AB686" s="354">
        <f>+paraméterek!$B$346</f>
        <v>6.4600000000000005E-2</v>
      </c>
      <c r="AC686" s="302">
        <f t="shared" si="138"/>
        <v>0</v>
      </c>
      <c r="AD686" s="302">
        <f t="shared" si="153"/>
        <v>0</v>
      </c>
      <c r="AE686" s="302">
        <f t="shared" si="151"/>
        <v>0</v>
      </c>
      <c r="AF686" s="478">
        <f t="shared" si="139"/>
        <v>0</v>
      </c>
      <c r="AI686" s="543">
        <f t="shared" si="152"/>
        <v>0</v>
      </c>
      <c r="AJ686" s="543"/>
      <c r="AK686" s="300"/>
      <c r="AL686" s="543"/>
      <c r="AM686" s="10"/>
    </row>
    <row r="687" spans="1:39" s="4" customFormat="1" ht="13.8" hidden="1" x14ac:dyDescent="0.25">
      <c r="A687" s="11">
        <v>332</v>
      </c>
      <c r="B687" s="11">
        <f t="shared" si="140"/>
        <v>28</v>
      </c>
      <c r="C687" s="354">
        <f t="shared" si="129"/>
        <v>0</v>
      </c>
      <c r="D687" s="300">
        <f t="shared" si="131"/>
        <v>1.151056494563818E-8</v>
      </c>
      <c r="E687" s="354">
        <f t="shared" si="141"/>
        <v>0.13400000000000001</v>
      </c>
      <c r="F687" s="354">
        <f t="shared" si="130"/>
        <v>0.03</v>
      </c>
      <c r="G687" s="11"/>
      <c r="H687" s="436">
        <f t="shared" si="132"/>
        <v>0</v>
      </c>
      <c r="I687" s="302">
        <f t="shared" si="133"/>
        <v>0</v>
      </c>
      <c r="J687" s="11"/>
      <c r="K687" s="426">
        <f t="shared" si="142"/>
        <v>2.9176084758041223E-11</v>
      </c>
      <c r="L687" s="10">
        <f t="shared" si="143"/>
        <v>2.9176084758041223E-11</v>
      </c>
      <c r="M687" s="436">
        <f t="shared" si="144"/>
        <v>2.9176084758041223E-11</v>
      </c>
      <c r="N687" s="301">
        <f t="shared" si="134"/>
        <v>2.9176084758041223E-11</v>
      </c>
      <c r="O687" s="302">
        <f t="shared" si="135"/>
        <v>0</v>
      </c>
      <c r="P687" s="436">
        <f t="shared" si="136"/>
        <v>0</v>
      </c>
      <c r="Q687" s="11">
        <f t="shared" si="145"/>
        <v>0</v>
      </c>
      <c r="R687" s="426">
        <f t="shared" si="146"/>
        <v>0</v>
      </c>
      <c r="S687" s="354">
        <f>+Hirdetmény!$AA$46</f>
        <v>0.13400000000000001</v>
      </c>
      <c r="T687" s="302">
        <f t="shared" si="137"/>
        <v>0</v>
      </c>
      <c r="U687" s="302">
        <f t="shared" si="147"/>
        <v>0</v>
      </c>
      <c r="V687" s="302">
        <f t="shared" si="148"/>
        <v>0</v>
      </c>
      <c r="W687" s="302">
        <f t="shared" si="149"/>
        <v>0</v>
      </c>
      <c r="AA687" s="10">
        <f t="shared" si="150"/>
        <v>0</v>
      </c>
      <c r="AB687" s="354">
        <f>+paraméterek!$B$346</f>
        <v>6.4600000000000005E-2</v>
      </c>
      <c r="AC687" s="302">
        <f t="shared" si="138"/>
        <v>0</v>
      </c>
      <c r="AD687" s="302">
        <f t="shared" si="153"/>
        <v>0</v>
      </c>
      <c r="AE687" s="302">
        <f t="shared" si="151"/>
        <v>0</v>
      </c>
      <c r="AF687" s="478">
        <f t="shared" si="139"/>
        <v>0</v>
      </c>
      <c r="AI687" s="543">
        <f t="shared" si="152"/>
        <v>0</v>
      </c>
      <c r="AJ687" s="543"/>
      <c r="AK687" s="300"/>
      <c r="AL687" s="543"/>
      <c r="AM687" s="10"/>
    </row>
    <row r="688" spans="1:39" s="4" customFormat="1" ht="13.8" hidden="1" x14ac:dyDescent="0.25">
      <c r="A688" s="11">
        <v>333</v>
      </c>
      <c r="B688" s="11">
        <f t="shared" si="140"/>
        <v>28</v>
      </c>
      <c r="C688" s="354">
        <f t="shared" si="129"/>
        <v>0</v>
      </c>
      <c r="D688" s="300">
        <f t="shared" si="131"/>
        <v>1.151056494563818E-8</v>
      </c>
      <c r="E688" s="354">
        <f t="shared" si="141"/>
        <v>0.13400000000000001</v>
      </c>
      <c r="F688" s="354">
        <f t="shared" si="130"/>
        <v>0.03</v>
      </c>
      <c r="G688" s="11"/>
      <c r="H688" s="436">
        <f t="shared" si="132"/>
        <v>0</v>
      </c>
      <c r="I688" s="302">
        <f t="shared" si="133"/>
        <v>0</v>
      </c>
      <c r="J688" s="11"/>
      <c r="K688" s="426">
        <f t="shared" si="142"/>
        <v>2.9176084758041223E-11</v>
      </c>
      <c r="L688" s="10">
        <f t="shared" si="143"/>
        <v>2.9176084758041223E-11</v>
      </c>
      <c r="M688" s="436">
        <f t="shared" si="144"/>
        <v>2.9176084758041223E-11</v>
      </c>
      <c r="N688" s="301">
        <f t="shared" si="134"/>
        <v>2.9176084758041223E-11</v>
      </c>
      <c r="O688" s="302">
        <f t="shared" si="135"/>
        <v>0</v>
      </c>
      <c r="P688" s="436">
        <f t="shared" si="136"/>
        <v>0</v>
      </c>
      <c r="Q688" s="11">
        <f t="shared" si="145"/>
        <v>0</v>
      </c>
      <c r="R688" s="426">
        <f t="shared" si="146"/>
        <v>0</v>
      </c>
      <c r="S688" s="354">
        <f>+Hirdetmény!$AA$46</f>
        <v>0.13400000000000001</v>
      </c>
      <c r="T688" s="302">
        <f t="shared" si="137"/>
        <v>0</v>
      </c>
      <c r="U688" s="302">
        <f t="shared" si="147"/>
        <v>0</v>
      </c>
      <c r="V688" s="302">
        <f t="shared" si="148"/>
        <v>0</v>
      </c>
      <c r="W688" s="302">
        <f t="shared" si="149"/>
        <v>0</v>
      </c>
      <c r="AA688" s="10">
        <f t="shared" si="150"/>
        <v>0</v>
      </c>
      <c r="AB688" s="354">
        <f>+paraméterek!$B$346</f>
        <v>6.4600000000000005E-2</v>
      </c>
      <c r="AC688" s="302">
        <f t="shared" si="138"/>
        <v>0</v>
      </c>
      <c r="AD688" s="302">
        <f t="shared" si="153"/>
        <v>0</v>
      </c>
      <c r="AE688" s="302">
        <f t="shared" si="151"/>
        <v>0</v>
      </c>
      <c r="AF688" s="478">
        <f t="shared" si="139"/>
        <v>0</v>
      </c>
      <c r="AI688" s="543">
        <f t="shared" si="152"/>
        <v>0</v>
      </c>
      <c r="AJ688" s="543"/>
      <c r="AK688" s="300"/>
      <c r="AL688" s="543"/>
      <c r="AM688" s="10"/>
    </row>
    <row r="689" spans="1:39" s="4" customFormat="1" ht="13.8" hidden="1" x14ac:dyDescent="0.25">
      <c r="A689" s="11">
        <v>334</v>
      </c>
      <c r="B689" s="11">
        <f t="shared" si="140"/>
        <v>28</v>
      </c>
      <c r="C689" s="354">
        <f t="shared" si="129"/>
        <v>0</v>
      </c>
      <c r="D689" s="300">
        <f t="shared" si="131"/>
        <v>1.151056494563818E-8</v>
      </c>
      <c r="E689" s="354">
        <f t="shared" si="141"/>
        <v>0.13400000000000001</v>
      </c>
      <c r="F689" s="354">
        <f t="shared" si="130"/>
        <v>0.03</v>
      </c>
      <c r="G689" s="11"/>
      <c r="H689" s="436">
        <f t="shared" si="132"/>
        <v>0</v>
      </c>
      <c r="I689" s="302">
        <f t="shared" si="133"/>
        <v>0</v>
      </c>
      <c r="J689" s="11"/>
      <c r="K689" s="426">
        <f t="shared" si="142"/>
        <v>2.9176084758041223E-11</v>
      </c>
      <c r="L689" s="10">
        <f t="shared" si="143"/>
        <v>2.9176084758041223E-11</v>
      </c>
      <c r="M689" s="436">
        <f t="shared" si="144"/>
        <v>2.9176084758041223E-11</v>
      </c>
      <c r="N689" s="301">
        <f t="shared" si="134"/>
        <v>2.9176084758041223E-11</v>
      </c>
      <c r="O689" s="302">
        <f t="shared" si="135"/>
        <v>0</v>
      </c>
      <c r="P689" s="436">
        <f t="shared" si="136"/>
        <v>0</v>
      </c>
      <c r="Q689" s="11">
        <f t="shared" si="145"/>
        <v>0</v>
      </c>
      <c r="R689" s="426">
        <f t="shared" si="146"/>
        <v>0</v>
      </c>
      <c r="S689" s="354">
        <f>+Hirdetmény!$AA$46</f>
        <v>0.13400000000000001</v>
      </c>
      <c r="T689" s="302">
        <f t="shared" si="137"/>
        <v>0</v>
      </c>
      <c r="U689" s="302">
        <f t="shared" si="147"/>
        <v>0</v>
      </c>
      <c r="V689" s="302">
        <f t="shared" si="148"/>
        <v>0</v>
      </c>
      <c r="W689" s="302">
        <f t="shared" si="149"/>
        <v>0</v>
      </c>
      <c r="AA689" s="10">
        <f t="shared" si="150"/>
        <v>0</v>
      </c>
      <c r="AB689" s="354">
        <f>+paraméterek!$B$346</f>
        <v>6.4600000000000005E-2</v>
      </c>
      <c r="AC689" s="302">
        <f t="shared" si="138"/>
        <v>0</v>
      </c>
      <c r="AD689" s="302">
        <f t="shared" si="153"/>
        <v>0</v>
      </c>
      <c r="AE689" s="302">
        <f t="shared" si="151"/>
        <v>0</v>
      </c>
      <c r="AF689" s="478">
        <f t="shared" si="139"/>
        <v>0</v>
      </c>
      <c r="AI689" s="543">
        <f t="shared" si="152"/>
        <v>0</v>
      </c>
      <c r="AJ689" s="543"/>
      <c r="AK689" s="300"/>
      <c r="AL689" s="543"/>
      <c r="AM689" s="10"/>
    </row>
    <row r="690" spans="1:39" s="4" customFormat="1" ht="13.8" hidden="1" x14ac:dyDescent="0.25">
      <c r="A690" s="11">
        <v>335</v>
      </c>
      <c r="B690" s="11">
        <f t="shared" si="140"/>
        <v>28</v>
      </c>
      <c r="C690" s="354">
        <f t="shared" si="129"/>
        <v>0</v>
      </c>
      <c r="D690" s="300">
        <f t="shared" si="131"/>
        <v>1.151056494563818E-8</v>
      </c>
      <c r="E690" s="354">
        <f t="shared" si="141"/>
        <v>0.13400000000000001</v>
      </c>
      <c r="F690" s="354">
        <f t="shared" si="130"/>
        <v>0.03</v>
      </c>
      <c r="G690" s="11"/>
      <c r="H690" s="436">
        <f t="shared" si="132"/>
        <v>0</v>
      </c>
      <c r="I690" s="302">
        <f t="shared" si="133"/>
        <v>0</v>
      </c>
      <c r="J690" s="11"/>
      <c r="K690" s="426">
        <f t="shared" si="142"/>
        <v>2.9176084758041223E-11</v>
      </c>
      <c r="L690" s="10">
        <f t="shared" si="143"/>
        <v>2.9176084758041223E-11</v>
      </c>
      <c r="M690" s="436">
        <f t="shared" si="144"/>
        <v>2.9176084758041223E-11</v>
      </c>
      <c r="N690" s="301">
        <f t="shared" si="134"/>
        <v>2.9176084758041223E-11</v>
      </c>
      <c r="O690" s="302">
        <f t="shared" si="135"/>
        <v>0</v>
      </c>
      <c r="P690" s="436">
        <f t="shared" si="136"/>
        <v>0</v>
      </c>
      <c r="Q690" s="11">
        <f t="shared" si="145"/>
        <v>0</v>
      </c>
      <c r="R690" s="426">
        <f t="shared" si="146"/>
        <v>0</v>
      </c>
      <c r="S690" s="354">
        <f>+Hirdetmény!$AA$46</f>
        <v>0.13400000000000001</v>
      </c>
      <c r="T690" s="302">
        <f t="shared" si="137"/>
        <v>0</v>
      </c>
      <c r="U690" s="302">
        <f t="shared" si="147"/>
        <v>0</v>
      </c>
      <c r="V690" s="302">
        <f t="shared" si="148"/>
        <v>0</v>
      </c>
      <c r="W690" s="302">
        <f t="shared" si="149"/>
        <v>0</v>
      </c>
      <c r="AA690" s="10">
        <f t="shared" si="150"/>
        <v>0</v>
      </c>
      <c r="AB690" s="354">
        <f>+paraméterek!$B$346</f>
        <v>6.4600000000000005E-2</v>
      </c>
      <c r="AC690" s="302">
        <f t="shared" si="138"/>
        <v>0</v>
      </c>
      <c r="AD690" s="302">
        <f t="shared" si="153"/>
        <v>0</v>
      </c>
      <c r="AE690" s="302">
        <f t="shared" si="151"/>
        <v>0</v>
      </c>
      <c r="AF690" s="478">
        <f t="shared" si="139"/>
        <v>0</v>
      </c>
      <c r="AI690" s="543">
        <f t="shared" si="152"/>
        <v>0</v>
      </c>
      <c r="AJ690" s="543"/>
      <c r="AK690" s="300"/>
      <c r="AL690" s="543"/>
      <c r="AM690" s="10"/>
    </row>
    <row r="691" spans="1:39" s="4" customFormat="1" ht="13.8" hidden="1" x14ac:dyDescent="0.25">
      <c r="A691" s="11">
        <v>336</v>
      </c>
      <c r="B691" s="11">
        <f t="shared" si="140"/>
        <v>28</v>
      </c>
      <c r="C691" s="354">
        <f t="shared" si="129"/>
        <v>0</v>
      </c>
      <c r="D691" s="300">
        <f t="shared" si="131"/>
        <v>1.151056494563818E-8</v>
      </c>
      <c r="E691" s="354">
        <f t="shared" si="141"/>
        <v>0.13400000000000001</v>
      </c>
      <c r="F691" s="354">
        <f t="shared" si="130"/>
        <v>0.03</v>
      </c>
      <c r="G691" s="11"/>
      <c r="H691" s="436">
        <f t="shared" si="132"/>
        <v>0</v>
      </c>
      <c r="I691" s="302">
        <f t="shared" si="133"/>
        <v>0</v>
      </c>
      <c r="J691" s="11"/>
      <c r="K691" s="426">
        <f t="shared" si="142"/>
        <v>2.9176084758041223E-11</v>
      </c>
      <c r="L691" s="10">
        <f t="shared" si="143"/>
        <v>2.9176084758041223E-11</v>
      </c>
      <c r="M691" s="436">
        <f t="shared" si="144"/>
        <v>2.9176084758041223E-11</v>
      </c>
      <c r="N691" s="301">
        <f t="shared" si="134"/>
        <v>2.9176084758041223E-11</v>
      </c>
      <c r="O691" s="302">
        <f t="shared" si="135"/>
        <v>0</v>
      </c>
      <c r="P691" s="436">
        <f t="shared" si="136"/>
        <v>0</v>
      </c>
      <c r="Q691" s="11">
        <f t="shared" si="145"/>
        <v>0</v>
      </c>
      <c r="R691" s="426">
        <f t="shared" si="146"/>
        <v>0</v>
      </c>
      <c r="S691" s="354">
        <f>+Hirdetmény!$AA$46</f>
        <v>0.13400000000000001</v>
      </c>
      <c r="T691" s="302">
        <f t="shared" si="137"/>
        <v>0</v>
      </c>
      <c r="U691" s="302">
        <f t="shared" si="147"/>
        <v>0</v>
      </c>
      <c r="V691" s="302">
        <f t="shared" si="148"/>
        <v>0</v>
      </c>
      <c r="W691" s="302">
        <f t="shared" si="149"/>
        <v>0</v>
      </c>
      <c r="AA691" s="10">
        <f t="shared" si="150"/>
        <v>0</v>
      </c>
      <c r="AB691" s="354">
        <f>+paraméterek!$B$346</f>
        <v>6.4600000000000005E-2</v>
      </c>
      <c r="AC691" s="302">
        <f t="shared" si="138"/>
        <v>0</v>
      </c>
      <c r="AD691" s="302">
        <f t="shared" si="153"/>
        <v>0</v>
      </c>
      <c r="AE691" s="302">
        <f t="shared" si="151"/>
        <v>0</v>
      </c>
      <c r="AF691" s="478">
        <f t="shared" si="139"/>
        <v>0</v>
      </c>
      <c r="AI691" s="543">
        <f t="shared" si="152"/>
        <v>0</v>
      </c>
      <c r="AJ691" s="543"/>
      <c r="AK691" s="300"/>
      <c r="AL691" s="543"/>
      <c r="AM691" s="10"/>
    </row>
    <row r="692" spans="1:39" s="4" customFormat="1" ht="13.8" hidden="1" x14ac:dyDescent="0.25">
      <c r="A692" s="11">
        <v>337</v>
      </c>
      <c r="B692" s="11">
        <f t="shared" si="140"/>
        <v>29</v>
      </c>
      <c r="C692" s="354">
        <f t="shared" si="129"/>
        <v>0</v>
      </c>
      <c r="D692" s="300">
        <f t="shared" si="131"/>
        <v>1.151056494563818E-8</v>
      </c>
      <c r="E692" s="354">
        <f t="shared" si="141"/>
        <v>0.13400000000000001</v>
      </c>
      <c r="F692" s="354">
        <f t="shared" si="130"/>
        <v>0.03</v>
      </c>
      <c r="G692" s="11"/>
      <c r="H692" s="436">
        <f t="shared" si="132"/>
        <v>0</v>
      </c>
      <c r="I692" s="302">
        <f t="shared" si="133"/>
        <v>0</v>
      </c>
      <c r="J692" s="11"/>
      <c r="K692" s="426">
        <f t="shared" si="142"/>
        <v>2.9176084758041223E-11</v>
      </c>
      <c r="L692" s="10">
        <f t="shared" si="143"/>
        <v>2.9176084758041223E-11</v>
      </c>
      <c r="M692" s="436">
        <f t="shared" si="144"/>
        <v>2.9176084758041223E-11</v>
      </c>
      <c r="N692" s="301">
        <f t="shared" si="134"/>
        <v>2.9176084758041223E-11</v>
      </c>
      <c r="O692" s="302">
        <f t="shared" si="135"/>
        <v>0</v>
      </c>
      <c r="P692" s="436">
        <f t="shared" si="136"/>
        <v>0</v>
      </c>
      <c r="Q692" s="11">
        <f t="shared" si="145"/>
        <v>0</v>
      </c>
      <c r="R692" s="426">
        <f t="shared" si="146"/>
        <v>0</v>
      </c>
      <c r="S692" s="354">
        <f>+Hirdetmény!$AA$46</f>
        <v>0.13400000000000001</v>
      </c>
      <c r="T692" s="302">
        <f t="shared" si="137"/>
        <v>0</v>
      </c>
      <c r="U692" s="302">
        <f t="shared" si="147"/>
        <v>0</v>
      </c>
      <c r="V692" s="302">
        <f t="shared" si="148"/>
        <v>0</v>
      </c>
      <c r="W692" s="302">
        <f t="shared" si="149"/>
        <v>0</v>
      </c>
      <c r="AA692" s="10">
        <f t="shared" si="150"/>
        <v>0</v>
      </c>
      <c r="AB692" s="354">
        <f>+paraméterek!$B$346</f>
        <v>6.4600000000000005E-2</v>
      </c>
      <c r="AC692" s="302">
        <f t="shared" si="138"/>
        <v>0</v>
      </c>
      <c r="AD692" s="302">
        <f t="shared" si="153"/>
        <v>0</v>
      </c>
      <c r="AE692" s="302">
        <f t="shared" si="151"/>
        <v>0</v>
      </c>
      <c r="AF692" s="478">
        <f t="shared" si="139"/>
        <v>0</v>
      </c>
      <c r="AI692" s="543">
        <f t="shared" si="152"/>
        <v>0</v>
      </c>
      <c r="AJ692" s="543"/>
      <c r="AK692" s="300"/>
      <c r="AL692" s="543"/>
      <c r="AM692" s="10"/>
    </row>
    <row r="693" spans="1:39" s="4" customFormat="1" ht="13.8" hidden="1" x14ac:dyDescent="0.25">
      <c r="A693" s="11">
        <v>338</v>
      </c>
      <c r="B693" s="11">
        <f t="shared" si="140"/>
        <v>29</v>
      </c>
      <c r="C693" s="354">
        <f t="shared" si="129"/>
        <v>0</v>
      </c>
      <c r="D693" s="300">
        <f t="shared" si="131"/>
        <v>1.151056494563818E-8</v>
      </c>
      <c r="E693" s="354">
        <f t="shared" si="141"/>
        <v>0.13400000000000001</v>
      </c>
      <c r="F693" s="354">
        <f t="shared" si="130"/>
        <v>0.03</v>
      </c>
      <c r="G693" s="11"/>
      <c r="H693" s="436">
        <f t="shared" si="132"/>
        <v>0</v>
      </c>
      <c r="I693" s="302">
        <f t="shared" si="133"/>
        <v>0</v>
      </c>
      <c r="J693" s="11"/>
      <c r="K693" s="426">
        <f t="shared" si="142"/>
        <v>2.9176084758041223E-11</v>
      </c>
      <c r="L693" s="10">
        <f t="shared" si="143"/>
        <v>2.9176084758041223E-11</v>
      </c>
      <c r="M693" s="436">
        <f t="shared" si="144"/>
        <v>2.9176084758041223E-11</v>
      </c>
      <c r="N693" s="301">
        <f t="shared" si="134"/>
        <v>2.9176084758041223E-11</v>
      </c>
      <c r="O693" s="302">
        <f t="shared" si="135"/>
        <v>0</v>
      </c>
      <c r="P693" s="436">
        <f t="shared" si="136"/>
        <v>0</v>
      </c>
      <c r="Q693" s="11">
        <f t="shared" si="145"/>
        <v>0</v>
      </c>
      <c r="R693" s="426">
        <f t="shared" si="146"/>
        <v>0</v>
      </c>
      <c r="S693" s="354">
        <f>+Hirdetmény!$AA$46</f>
        <v>0.13400000000000001</v>
      </c>
      <c r="T693" s="302">
        <f t="shared" si="137"/>
        <v>0</v>
      </c>
      <c r="U693" s="302">
        <f t="shared" si="147"/>
        <v>0</v>
      </c>
      <c r="V693" s="302">
        <f t="shared" si="148"/>
        <v>0</v>
      </c>
      <c r="W693" s="302">
        <f t="shared" si="149"/>
        <v>0</v>
      </c>
      <c r="AA693" s="10">
        <f t="shared" si="150"/>
        <v>0</v>
      </c>
      <c r="AB693" s="354">
        <f>+paraméterek!$B$346</f>
        <v>6.4600000000000005E-2</v>
      </c>
      <c r="AC693" s="302">
        <f t="shared" si="138"/>
        <v>0</v>
      </c>
      <c r="AD693" s="302">
        <f t="shared" si="153"/>
        <v>0</v>
      </c>
      <c r="AE693" s="302">
        <f t="shared" si="151"/>
        <v>0</v>
      </c>
      <c r="AF693" s="478">
        <f t="shared" si="139"/>
        <v>0</v>
      </c>
      <c r="AI693" s="543">
        <f t="shared" si="152"/>
        <v>0</v>
      </c>
      <c r="AJ693" s="543"/>
      <c r="AK693" s="300"/>
      <c r="AL693" s="543"/>
      <c r="AM693" s="10"/>
    </row>
    <row r="694" spans="1:39" s="4" customFormat="1" ht="13.8" hidden="1" x14ac:dyDescent="0.25">
      <c r="A694" s="11">
        <v>339</v>
      </c>
      <c r="B694" s="11">
        <f t="shared" si="140"/>
        <v>29</v>
      </c>
      <c r="C694" s="354">
        <f t="shared" si="129"/>
        <v>0</v>
      </c>
      <c r="D694" s="300">
        <f t="shared" si="131"/>
        <v>1.151056494563818E-8</v>
      </c>
      <c r="E694" s="354">
        <f t="shared" si="141"/>
        <v>0.13400000000000001</v>
      </c>
      <c r="F694" s="354">
        <f t="shared" si="130"/>
        <v>0.03</v>
      </c>
      <c r="G694" s="11"/>
      <c r="H694" s="436">
        <f t="shared" si="132"/>
        <v>0</v>
      </c>
      <c r="I694" s="302">
        <f t="shared" si="133"/>
        <v>0</v>
      </c>
      <c r="J694" s="11"/>
      <c r="K694" s="426">
        <f t="shared" si="142"/>
        <v>2.9176084758041223E-11</v>
      </c>
      <c r="L694" s="10">
        <f t="shared" si="143"/>
        <v>2.9176084758041223E-11</v>
      </c>
      <c r="M694" s="436">
        <f t="shared" si="144"/>
        <v>2.9176084758041223E-11</v>
      </c>
      <c r="N694" s="301">
        <f t="shared" si="134"/>
        <v>2.9176084758041223E-11</v>
      </c>
      <c r="O694" s="302">
        <f t="shared" si="135"/>
        <v>0</v>
      </c>
      <c r="P694" s="436">
        <f t="shared" si="136"/>
        <v>0</v>
      </c>
      <c r="Q694" s="11">
        <f t="shared" si="145"/>
        <v>0</v>
      </c>
      <c r="R694" s="426">
        <f t="shared" si="146"/>
        <v>0</v>
      </c>
      <c r="S694" s="354">
        <f>+Hirdetmény!$AA$46</f>
        <v>0.13400000000000001</v>
      </c>
      <c r="T694" s="302">
        <f t="shared" si="137"/>
        <v>0</v>
      </c>
      <c r="U694" s="302">
        <f t="shared" si="147"/>
        <v>0</v>
      </c>
      <c r="V694" s="302">
        <f t="shared" si="148"/>
        <v>0</v>
      </c>
      <c r="W694" s="302">
        <f t="shared" si="149"/>
        <v>0</v>
      </c>
      <c r="AA694" s="10">
        <f t="shared" si="150"/>
        <v>0</v>
      </c>
      <c r="AB694" s="354">
        <f>+paraméterek!$B$346</f>
        <v>6.4600000000000005E-2</v>
      </c>
      <c r="AC694" s="302">
        <f t="shared" si="138"/>
        <v>0</v>
      </c>
      <c r="AD694" s="302">
        <f t="shared" si="153"/>
        <v>0</v>
      </c>
      <c r="AE694" s="302">
        <f t="shared" si="151"/>
        <v>0</v>
      </c>
      <c r="AF694" s="478">
        <f t="shared" si="139"/>
        <v>0</v>
      </c>
      <c r="AI694" s="543">
        <f t="shared" si="152"/>
        <v>0</v>
      </c>
      <c r="AJ694" s="543"/>
      <c r="AK694" s="300"/>
      <c r="AL694" s="543"/>
      <c r="AM694" s="10"/>
    </row>
    <row r="695" spans="1:39" s="4" customFormat="1" ht="13.8" hidden="1" x14ac:dyDescent="0.25">
      <c r="A695" s="11">
        <v>340</v>
      </c>
      <c r="B695" s="11">
        <f t="shared" si="140"/>
        <v>29</v>
      </c>
      <c r="C695" s="354">
        <f t="shared" si="129"/>
        <v>0</v>
      </c>
      <c r="D695" s="300">
        <f t="shared" si="131"/>
        <v>1.151056494563818E-8</v>
      </c>
      <c r="E695" s="354">
        <f t="shared" si="141"/>
        <v>0.13400000000000001</v>
      </c>
      <c r="F695" s="354">
        <f t="shared" si="130"/>
        <v>0.03</v>
      </c>
      <c r="G695" s="11"/>
      <c r="H695" s="436">
        <f t="shared" si="132"/>
        <v>0</v>
      </c>
      <c r="I695" s="302">
        <f t="shared" si="133"/>
        <v>0</v>
      </c>
      <c r="J695" s="11"/>
      <c r="K695" s="426">
        <f t="shared" si="142"/>
        <v>2.9176084758041223E-11</v>
      </c>
      <c r="L695" s="10">
        <f t="shared" si="143"/>
        <v>2.9176084758041223E-11</v>
      </c>
      <c r="M695" s="436">
        <f t="shared" si="144"/>
        <v>2.9176084758041223E-11</v>
      </c>
      <c r="N695" s="301">
        <f t="shared" si="134"/>
        <v>2.9176084758041223E-11</v>
      </c>
      <c r="O695" s="302">
        <f t="shared" si="135"/>
        <v>0</v>
      </c>
      <c r="P695" s="436">
        <f t="shared" si="136"/>
        <v>0</v>
      </c>
      <c r="Q695" s="11">
        <f t="shared" si="145"/>
        <v>0</v>
      </c>
      <c r="R695" s="426">
        <f t="shared" si="146"/>
        <v>0</v>
      </c>
      <c r="S695" s="354">
        <f>+Hirdetmény!$AA$46</f>
        <v>0.13400000000000001</v>
      </c>
      <c r="T695" s="302">
        <f t="shared" si="137"/>
        <v>0</v>
      </c>
      <c r="U695" s="302">
        <f t="shared" si="147"/>
        <v>0</v>
      </c>
      <c r="V695" s="302">
        <f t="shared" si="148"/>
        <v>0</v>
      </c>
      <c r="W695" s="302">
        <f t="shared" si="149"/>
        <v>0</v>
      </c>
      <c r="AA695" s="10">
        <f t="shared" si="150"/>
        <v>0</v>
      </c>
      <c r="AB695" s="354">
        <f>+paraméterek!$B$346</f>
        <v>6.4600000000000005E-2</v>
      </c>
      <c r="AC695" s="302">
        <f t="shared" si="138"/>
        <v>0</v>
      </c>
      <c r="AD695" s="302">
        <f t="shared" si="153"/>
        <v>0</v>
      </c>
      <c r="AE695" s="302">
        <f t="shared" si="151"/>
        <v>0</v>
      </c>
      <c r="AF695" s="478">
        <f t="shared" si="139"/>
        <v>0</v>
      </c>
      <c r="AI695" s="543">
        <f t="shared" si="152"/>
        <v>0</v>
      </c>
      <c r="AJ695" s="543"/>
      <c r="AK695" s="300"/>
      <c r="AL695" s="543"/>
      <c r="AM695" s="10"/>
    </row>
    <row r="696" spans="1:39" s="4" customFormat="1" ht="13.8" hidden="1" x14ac:dyDescent="0.25">
      <c r="A696" s="11">
        <v>341</v>
      </c>
      <c r="B696" s="11">
        <f t="shared" si="140"/>
        <v>29</v>
      </c>
      <c r="C696" s="354">
        <f t="shared" si="129"/>
        <v>0</v>
      </c>
      <c r="D696" s="300">
        <f t="shared" si="131"/>
        <v>1.151056494563818E-8</v>
      </c>
      <c r="E696" s="354">
        <f t="shared" si="141"/>
        <v>0.13400000000000001</v>
      </c>
      <c r="F696" s="354">
        <f t="shared" si="130"/>
        <v>0.03</v>
      </c>
      <c r="G696" s="11"/>
      <c r="H696" s="436">
        <f t="shared" si="132"/>
        <v>0</v>
      </c>
      <c r="I696" s="302">
        <f t="shared" si="133"/>
        <v>0</v>
      </c>
      <c r="J696" s="11"/>
      <c r="K696" s="426">
        <f t="shared" si="142"/>
        <v>2.9176084758041223E-11</v>
      </c>
      <c r="L696" s="10">
        <f t="shared" si="143"/>
        <v>2.9176084758041223E-11</v>
      </c>
      <c r="M696" s="436">
        <f t="shared" si="144"/>
        <v>2.9176084758041223E-11</v>
      </c>
      <c r="N696" s="301">
        <f t="shared" si="134"/>
        <v>2.9176084758041223E-11</v>
      </c>
      <c r="O696" s="302">
        <f t="shared" si="135"/>
        <v>0</v>
      </c>
      <c r="P696" s="436">
        <f t="shared" si="136"/>
        <v>0</v>
      </c>
      <c r="Q696" s="11">
        <f t="shared" si="145"/>
        <v>0</v>
      </c>
      <c r="R696" s="426">
        <f t="shared" si="146"/>
        <v>0</v>
      </c>
      <c r="S696" s="354">
        <f>+Hirdetmény!$AA$46</f>
        <v>0.13400000000000001</v>
      </c>
      <c r="T696" s="302">
        <f t="shared" si="137"/>
        <v>0</v>
      </c>
      <c r="U696" s="302">
        <f t="shared" si="147"/>
        <v>0</v>
      </c>
      <c r="V696" s="302">
        <f t="shared" si="148"/>
        <v>0</v>
      </c>
      <c r="W696" s="302">
        <f t="shared" si="149"/>
        <v>0</v>
      </c>
      <c r="AA696" s="10">
        <f t="shared" si="150"/>
        <v>0</v>
      </c>
      <c r="AB696" s="354">
        <f>+paraméterek!$B$346</f>
        <v>6.4600000000000005E-2</v>
      </c>
      <c r="AC696" s="302">
        <f t="shared" si="138"/>
        <v>0</v>
      </c>
      <c r="AD696" s="302">
        <f t="shared" si="153"/>
        <v>0</v>
      </c>
      <c r="AE696" s="302">
        <f t="shared" si="151"/>
        <v>0</v>
      </c>
      <c r="AF696" s="478">
        <f t="shared" si="139"/>
        <v>0</v>
      </c>
      <c r="AI696" s="543">
        <f t="shared" si="152"/>
        <v>0</v>
      </c>
      <c r="AJ696" s="543"/>
      <c r="AK696" s="300"/>
      <c r="AL696" s="543"/>
      <c r="AM696" s="10"/>
    </row>
    <row r="697" spans="1:39" s="4" customFormat="1" ht="13.8" hidden="1" x14ac:dyDescent="0.25">
      <c r="A697" s="11">
        <v>342</v>
      </c>
      <c r="B697" s="11">
        <f t="shared" si="140"/>
        <v>29</v>
      </c>
      <c r="C697" s="354">
        <f t="shared" si="129"/>
        <v>0</v>
      </c>
      <c r="D697" s="300">
        <f t="shared" si="131"/>
        <v>1.151056494563818E-8</v>
      </c>
      <c r="E697" s="354">
        <f t="shared" si="141"/>
        <v>0.13400000000000001</v>
      </c>
      <c r="F697" s="354">
        <f t="shared" si="130"/>
        <v>0.03</v>
      </c>
      <c r="G697" s="11"/>
      <c r="H697" s="436">
        <f t="shared" si="132"/>
        <v>0</v>
      </c>
      <c r="I697" s="302">
        <f t="shared" si="133"/>
        <v>0</v>
      </c>
      <c r="J697" s="11"/>
      <c r="K697" s="426">
        <f t="shared" si="142"/>
        <v>2.9176084758041223E-11</v>
      </c>
      <c r="L697" s="10">
        <f t="shared" si="143"/>
        <v>2.9176084758041223E-11</v>
      </c>
      <c r="M697" s="436">
        <f t="shared" si="144"/>
        <v>2.9176084758041223E-11</v>
      </c>
      <c r="N697" s="301">
        <f t="shared" si="134"/>
        <v>2.9176084758041223E-11</v>
      </c>
      <c r="O697" s="302">
        <f t="shared" si="135"/>
        <v>0</v>
      </c>
      <c r="P697" s="436">
        <f t="shared" si="136"/>
        <v>0</v>
      </c>
      <c r="Q697" s="11">
        <f t="shared" si="145"/>
        <v>0</v>
      </c>
      <c r="R697" s="426">
        <f t="shared" si="146"/>
        <v>0</v>
      </c>
      <c r="S697" s="354">
        <f>+Hirdetmény!$AA$46</f>
        <v>0.13400000000000001</v>
      </c>
      <c r="T697" s="302">
        <f t="shared" si="137"/>
        <v>0</v>
      </c>
      <c r="U697" s="302">
        <f t="shared" si="147"/>
        <v>0</v>
      </c>
      <c r="V697" s="302">
        <f t="shared" si="148"/>
        <v>0</v>
      </c>
      <c r="W697" s="302">
        <f t="shared" si="149"/>
        <v>0</v>
      </c>
      <c r="AA697" s="10">
        <f t="shared" si="150"/>
        <v>0</v>
      </c>
      <c r="AB697" s="354">
        <f>+paraméterek!$B$346</f>
        <v>6.4600000000000005E-2</v>
      </c>
      <c r="AC697" s="302">
        <f t="shared" si="138"/>
        <v>0</v>
      </c>
      <c r="AD697" s="302">
        <f t="shared" si="153"/>
        <v>0</v>
      </c>
      <c r="AE697" s="302">
        <f t="shared" si="151"/>
        <v>0</v>
      </c>
      <c r="AF697" s="478">
        <f t="shared" si="139"/>
        <v>0</v>
      </c>
      <c r="AI697" s="543">
        <f t="shared" si="152"/>
        <v>0</v>
      </c>
      <c r="AJ697" s="543"/>
      <c r="AK697" s="300"/>
      <c r="AL697" s="543"/>
      <c r="AM697" s="10"/>
    </row>
    <row r="698" spans="1:39" s="4" customFormat="1" ht="13.8" hidden="1" x14ac:dyDescent="0.25">
      <c r="A698" s="11">
        <v>343</v>
      </c>
      <c r="B698" s="11">
        <f t="shared" si="140"/>
        <v>29</v>
      </c>
      <c r="C698" s="354">
        <f t="shared" si="129"/>
        <v>0</v>
      </c>
      <c r="D698" s="300">
        <f t="shared" si="131"/>
        <v>1.151056494563818E-8</v>
      </c>
      <c r="E698" s="354">
        <f t="shared" si="141"/>
        <v>0.13400000000000001</v>
      </c>
      <c r="F698" s="354">
        <f t="shared" si="130"/>
        <v>0.03</v>
      </c>
      <c r="G698" s="11"/>
      <c r="H698" s="436">
        <f t="shared" si="132"/>
        <v>0</v>
      </c>
      <c r="I698" s="302">
        <f t="shared" si="133"/>
        <v>0</v>
      </c>
      <c r="J698" s="11"/>
      <c r="K698" s="426">
        <f t="shared" si="142"/>
        <v>2.9176084758041223E-11</v>
      </c>
      <c r="L698" s="10">
        <f t="shared" si="143"/>
        <v>2.9176084758041223E-11</v>
      </c>
      <c r="M698" s="436">
        <f t="shared" si="144"/>
        <v>2.9176084758041223E-11</v>
      </c>
      <c r="N698" s="301">
        <f t="shared" si="134"/>
        <v>2.9176084758041223E-11</v>
      </c>
      <c r="O698" s="302">
        <f t="shared" si="135"/>
        <v>0</v>
      </c>
      <c r="P698" s="436">
        <f t="shared" si="136"/>
        <v>0</v>
      </c>
      <c r="Q698" s="11">
        <f t="shared" si="145"/>
        <v>0</v>
      </c>
      <c r="R698" s="426">
        <f t="shared" si="146"/>
        <v>0</v>
      </c>
      <c r="S698" s="354">
        <f>+Hirdetmény!$AA$46</f>
        <v>0.13400000000000001</v>
      </c>
      <c r="T698" s="302">
        <f t="shared" si="137"/>
        <v>0</v>
      </c>
      <c r="U698" s="302">
        <f t="shared" si="147"/>
        <v>0</v>
      </c>
      <c r="V698" s="302">
        <f t="shared" si="148"/>
        <v>0</v>
      </c>
      <c r="W698" s="302">
        <f t="shared" si="149"/>
        <v>0</v>
      </c>
      <c r="AA698" s="10">
        <f t="shared" si="150"/>
        <v>0</v>
      </c>
      <c r="AB698" s="354">
        <f>+paraméterek!$B$346</f>
        <v>6.4600000000000005E-2</v>
      </c>
      <c r="AC698" s="302">
        <f t="shared" si="138"/>
        <v>0</v>
      </c>
      <c r="AD698" s="302">
        <f t="shared" si="153"/>
        <v>0</v>
      </c>
      <c r="AE698" s="302">
        <f t="shared" si="151"/>
        <v>0</v>
      </c>
      <c r="AF698" s="478">
        <f t="shared" si="139"/>
        <v>0</v>
      </c>
      <c r="AI698" s="543">
        <f t="shared" si="152"/>
        <v>0</v>
      </c>
      <c r="AJ698" s="543"/>
      <c r="AK698" s="300"/>
      <c r="AL698" s="543"/>
      <c r="AM698" s="10"/>
    </row>
    <row r="699" spans="1:39" s="4" customFormat="1" ht="13.8" hidden="1" x14ac:dyDescent="0.25">
      <c r="A699" s="11">
        <v>344</v>
      </c>
      <c r="B699" s="11">
        <f t="shared" si="140"/>
        <v>29</v>
      </c>
      <c r="C699" s="354">
        <f t="shared" si="129"/>
        <v>0</v>
      </c>
      <c r="D699" s="300">
        <f t="shared" si="131"/>
        <v>1.151056494563818E-8</v>
      </c>
      <c r="E699" s="354">
        <f t="shared" si="141"/>
        <v>0.13400000000000001</v>
      </c>
      <c r="F699" s="354">
        <f t="shared" si="130"/>
        <v>0.03</v>
      </c>
      <c r="G699" s="11"/>
      <c r="H699" s="436">
        <f t="shared" si="132"/>
        <v>0</v>
      </c>
      <c r="I699" s="302">
        <f t="shared" si="133"/>
        <v>0</v>
      </c>
      <c r="J699" s="11"/>
      <c r="K699" s="426">
        <f t="shared" si="142"/>
        <v>2.9176084758041223E-11</v>
      </c>
      <c r="L699" s="10">
        <f t="shared" si="143"/>
        <v>2.9176084758041223E-11</v>
      </c>
      <c r="M699" s="436">
        <f t="shared" si="144"/>
        <v>2.9176084758041223E-11</v>
      </c>
      <c r="N699" s="301">
        <f t="shared" si="134"/>
        <v>2.9176084758041223E-11</v>
      </c>
      <c r="O699" s="302">
        <f t="shared" si="135"/>
        <v>0</v>
      </c>
      <c r="P699" s="436">
        <f t="shared" si="136"/>
        <v>0</v>
      </c>
      <c r="Q699" s="11">
        <f t="shared" si="145"/>
        <v>0</v>
      </c>
      <c r="R699" s="426">
        <f t="shared" si="146"/>
        <v>0</v>
      </c>
      <c r="S699" s="354">
        <f>+Hirdetmény!$AA$46</f>
        <v>0.13400000000000001</v>
      </c>
      <c r="T699" s="302">
        <f t="shared" si="137"/>
        <v>0</v>
      </c>
      <c r="U699" s="302">
        <f t="shared" si="147"/>
        <v>0</v>
      </c>
      <c r="V699" s="302">
        <f t="shared" si="148"/>
        <v>0</v>
      </c>
      <c r="W699" s="302">
        <f t="shared" si="149"/>
        <v>0</v>
      </c>
      <c r="AA699" s="10">
        <f t="shared" si="150"/>
        <v>0</v>
      </c>
      <c r="AB699" s="354">
        <f>+paraméterek!$B$346</f>
        <v>6.4600000000000005E-2</v>
      </c>
      <c r="AC699" s="302">
        <f t="shared" si="138"/>
        <v>0</v>
      </c>
      <c r="AD699" s="302">
        <f t="shared" si="153"/>
        <v>0</v>
      </c>
      <c r="AE699" s="302">
        <f t="shared" si="151"/>
        <v>0</v>
      </c>
      <c r="AF699" s="478">
        <f t="shared" si="139"/>
        <v>0</v>
      </c>
      <c r="AI699" s="543">
        <f t="shared" si="152"/>
        <v>0</v>
      </c>
      <c r="AJ699" s="543"/>
      <c r="AK699" s="300"/>
      <c r="AL699" s="543"/>
      <c r="AM699" s="10"/>
    </row>
    <row r="700" spans="1:39" s="4" customFormat="1" ht="13.8" hidden="1" x14ac:dyDescent="0.25">
      <c r="A700" s="11">
        <v>345</v>
      </c>
      <c r="B700" s="11">
        <f t="shared" si="140"/>
        <v>29</v>
      </c>
      <c r="C700" s="354">
        <f t="shared" si="129"/>
        <v>0</v>
      </c>
      <c r="D700" s="300">
        <f t="shared" si="131"/>
        <v>1.151056494563818E-8</v>
      </c>
      <c r="E700" s="354">
        <f t="shared" si="141"/>
        <v>0.13400000000000001</v>
      </c>
      <c r="F700" s="354">
        <f t="shared" si="130"/>
        <v>0.03</v>
      </c>
      <c r="G700" s="11"/>
      <c r="H700" s="436">
        <f t="shared" si="132"/>
        <v>0</v>
      </c>
      <c r="I700" s="302">
        <f t="shared" si="133"/>
        <v>0</v>
      </c>
      <c r="J700" s="11"/>
      <c r="K700" s="426">
        <f t="shared" si="142"/>
        <v>2.9176084758041223E-11</v>
      </c>
      <c r="L700" s="10">
        <f t="shared" si="143"/>
        <v>2.9176084758041223E-11</v>
      </c>
      <c r="M700" s="436">
        <f t="shared" si="144"/>
        <v>2.9176084758041223E-11</v>
      </c>
      <c r="N700" s="301">
        <f t="shared" si="134"/>
        <v>2.9176084758041223E-11</v>
      </c>
      <c r="O700" s="302">
        <f t="shared" si="135"/>
        <v>0</v>
      </c>
      <c r="P700" s="436">
        <f t="shared" si="136"/>
        <v>0</v>
      </c>
      <c r="Q700" s="11">
        <f t="shared" si="145"/>
        <v>0</v>
      </c>
      <c r="R700" s="426">
        <f t="shared" si="146"/>
        <v>0</v>
      </c>
      <c r="S700" s="354">
        <f>+Hirdetmény!$AA$46</f>
        <v>0.13400000000000001</v>
      </c>
      <c r="T700" s="302">
        <f t="shared" si="137"/>
        <v>0</v>
      </c>
      <c r="U700" s="302">
        <f t="shared" si="147"/>
        <v>0</v>
      </c>
      <c r="V700" s="302">
        <f t="shared" si="148"/>
        <v>0</v>
      </c>
      <c r="W700" s="302">
        <f t="shared" si="149"/>
        <v>0</v>
      </c>
      <c r="AA700" s="10">
        <f t="shared" si="150"/>
        <v>0</v>
      </c>
      <c r="AB700" s="354">
        <f>+paraméterek!$B$346</f>
        <v>6.4600000000000005E-2</v>
      </c>
      <c r="AC700" s="302">
        <f t="shared" si="138"/>
        <v>0</v>
      </c>
      <c r="AD700" s="302">
        <f t="shared" si="153"/>
        <v>0</v>
      </c>
      <c r="AE700" s="302">
        <f t="shared" si="151"/>
        <v>0</v>
      </c>
      <c r="AF700" s="478">
        <f t="shared" si="139"/>
        <v>0</v>
      </c>
      <c r="AI700" s="543">
        <f t="shared" si="152"/>
        <v>0</v>
      </c>
      <c r="AJ700" s="543"/>
      <c r="AK700" s="300"/>
      <c r="AL700" s="543"/>
      <c r="AM700" s="10"/>
    </row>
    <row r="701" spans="1:39" s="4" customFormat="1" ht="13.8" hidden="1" x14ac:dyDescent="0.25">
      <c r="A701" s="11">
        <v>346</v>
      </c>
      <c r="B701" s="11">
        <f t="shared" si="140"/>
        <v>29</v>
      </c>
      <c r="C701" s="354">
        <f t="shared" si="129"/>
        <v>0</v>
      </c>
      <c r="D701" s="300">
        <f t="shared" si="131"/>
        <v>1.151056494563818E-8</v>
      </c>
      <c r="E701" s="354">
        <f t="shared" si="141"/>
        <v>0.13400000000000001</v>
      </c>
      <c r="F701" s="354">
        <f t="shared" si="130"/>
        <v>0.03</v>
      </c>
      <c r="G701" s="11"/>
      <c r="H701" s="436">
        <f t="shared" si="132"/>
        <v>0</v>
      </c>
      <c r="I701" s="302">
        <f t="shared" si="133"/>
        <v>0</v>
      </c>
      <c r="J701" s="11"/>
      <c r="K701" s="426">
        <f t="shared" si="142"/>
        <v>2.9176084758041223E-11</v>
      </c>
      <c r="L701" s="10">
        <f t="shared" si="143"/>
        <v>2.9176084758041223E-11</v>
      </c>
      <c r="M701" s="436">
        <f t="shared" si="144"/>
        <v>2.9176084758041223E-11</v>
      </c>
      <c r="N701" s="301">
        <f t="shared" si="134"/>
        <v>2.9176084758041223E-11</v>
      </c>
      <c r="O701" s="302">
        <f t="shared" si="135"/>
        <v>0</v>
      </c>
      <c r="P701" s="436">
        <f t="shared" si="136"/>
        <v>0</v>
      </c>
      <c r="Q701" s="11">
        <f t="shared" si="145"/>
        <v>0</v>
      </c>
      <c r="R701" s="426">
        <f t="shared" si="146"/>
        <v>0</v>
      </c>
      <c r="S701" s="354">
        <f>+Hirdetmény!$AA$46</f>
        <v>0.13400000000000001</v>
      </c>
      <c r="T701" s="302">
        <f t="shared" si="137"/>
        <v>0</v>
      </c>
      <c r="U701" s="302">
        <f t="shared" si="147"/>
        <v>0</v>
      </c>
      <c r="V701" s="302">
        <f t="shared" si="148"/>
        <v>0</v>
      </c>
      <c r="W701" s="302">
        <f t="shared" si="149"/>
        <v>0</v>
      </c>
      <c r="AA701" s="10">
        <f t="shared" si="150"/>
        <v>0</v>
      </c>
      <c r="AB701" s="354">
        <f>+paraméterek!$B$346</f>
        <v>6.4600000000000005E-2</v>
      </c>
      <c r="AC701" s="302">
        <f t="shared" si="138"/>
        <v>0</v>
      </c>
      <c r="AD701" s="302">
        <f t="shared" si="153"/>
        <v>0</v>
      </c>
      <c r="AE701" s="302">
        <f t="shared" si="151"/>
        <v>0</v>
      </c>
      <c r="AF701" s="478">
        <f t="shared" si="139"/>
        <v>0</v>
      </c>
      <c r="AI701" s="543">
        <f t="shared" si="152"/>
        <v>0</v>
      </c>
      <c r="AJ701" s="543"/>
      <c r="AK701" s="300"/>
      <c r="AL701" s="543"/>
      <c r="AM701" s="10"/>
    </row>
    <row r="702" spans="1:39" s="4" customFormat="1" ht="13.8" hidden="1" x14ac:dyDescent="0.25">
      <c r="A702" s="11">
        <v>347</v>
      </c>
      <c r="B702" s="11">
        <f t="shared" si="140"/>
        <v>29</v>
      </c>
      <c r="C702" s="354">
        <f t="shared" si="129"/>
        <v>0</v>
      </c>
      <c r="D702" s="300">
        <f t="shared" si="131"/>
        <v>1.151056494563818E-8</v>
      </c>
      <c r="E702" s="354">
        <f t="shared" si="141"/>
        <v>0.13400000000000001</v>
      </c>
      <c r="F702" s="354">
        <f t="shared" si="130"/>
        <v>0.03</v>
      </c>
      <c r="G702" s="11"/>
      <c r="H702" s="436">
        <f t="shared" si="132"/>
        <v>0</v>
      </c>
      <c r="I702" s="302">
        <f t="shared" si="133"/>
        <v>0</v>
      </c>
      <c r="J702" s="11"/>
      <c r="K702" s="426">
        <f t="shared" si="142"/>
        <v>2.9176084758041223E-11</v>
      </c>
      <c r="L702" s="10">
        <f t="shared" si="143"/>
        <v>2.9176084758041223E-11</v>
      </c>
      <c r="M702" s="436">
        <f t="shared" si="144"/>
        <v>2.9176084758041223E-11</v>
      </c>
      <c r="N702" s="301">
        <f t="shared" si="134"/>
        <v>2.9176084758041223E-11</v>
      </c>
      <c r="O702" s="302">
        <f t="shared" si="135"/>
        <v>0</v>
      </c>
      <c r="P702" s="436">
        <f t="shared" si="136"/>
        <v>0</v>
      </c>
      <c r="Q702" s="11">
        <f t="shared" si="145"/>
        <v>0</v>
      </c>
      <c r="R702" s="426">
        <f t="shared" si="146"/>
        <v>0</v>
      </c>
      <c r="S702" s="354">
        <f>+Hirdetmény!$AA$46</f>
        <v>0.13400000000000001</v>
      </c>
      <c r="T702" s="302">
        <f t="shared" si="137"/>
        <v>0</v>
      </c>
      <c r="U702" s="302">
        <f t="shared" si="147"/>
        <v>0</v>
      </c>
      <c r="V702" s="302">
        <f t="shared" si="148"/>
        <v>0</v>
      </c>
      <c r="W702" s="302">
        <f t="shared" si="149"/>
        <v>0</v>
      </c>
      <c r="AA702" s="10">
        <f t="shared" si="150"/>
        <v>0</v>
      </c>
      <c r="AB702" s="354">
        <f>+paraméterek!$B$346</f>
        <v>6.4600000000000005E-2</v>
      </c>
      <c r="AC702" s="302">
        <f t="shared" si="138"/>
        <v>0</v>
      </c>
      <c r="AD702" s="302">
        <f t="shared" si="153"/>
        <v>0</v>
      </c>
      <c r="AE702" s="302">
        <f t="shared" si="151"/>
        <v>0</v>
      </c>
      <c r="AF702" s="478">
        <f t="shared" si="139"/>
        <v>0</v>
      </c>
      <c r="AI702" s="543">
        <f t="shared" si="152"/>
        <v>0</v>
      </c>
      <c r="AJ702" s="543"/>
      <c r="AK702" s="300"/>
      <c r="AL702" s="543"/>
      <c r="AM702" s="10"/>
    </row>
    <row r="703" spans="1:39" s="4" customFormat="1" ht="13.8" hidden="1" x14ac:dyDescent="0.25">
      <c r="A703" s="11">
        <v>348</v>
      </c>
      <c r="B703" s="11">
        <f t="shared" si="140"/>
        <v>29</v>
      </c>
      <c r="C703" s="354">
        <f t="shared" si="129"/>
        <v>0</v>
      </c>
      <c r="D703" s="300">
        <f t="shared" si="131"/>
        <v>1.151056494563818E-8</v>
      </c>
      <c r="E703" s="354">
        <f t="shared" si="141"/>
        <v>0.13400000000000001</v>
      </c>
      <c r="F703" s="354">
        <f t="shared" si="130"/>
        <v>0.03</v>
      </c>
      <c r="G703" s="11"/>
      <c r="H703" s="436">
        <f t="shared" si="132"/>
        <v>0</v>
      </c>
      <c r="I703" s="302">
        <f t="shared" si="133"/>
        <v>0</v>
      </c>
      <c r="J703" s="11"/>
      <c r="K703" s="426">
        <f t="shared" si="142"/>
        <v>2.9176084758041223E-11</v>
      </c>
      <c r="L703" s="10">
        <f t="shared" si="143"/>
        <v>2.9176084758041223E-11</v>
      </c>
      <c r="M703" s="436">
        <f t="shared" si="144"/>
        <v>2.9176084758041223E-11</v>
      </c>
      <c r="N703" s="301">
        <f t="shared" si="134"/>
        <v>2.9176084758041223E-11</v>
      </c>
      <c r="O703" s="302">
        <f t="shared" si="135"/>
        <v>0</v>
      </c>
      <c r="P703" s="436">
        <f t="shared" si="136"/>
        <v>0</v>
      </c>
      <c r="Q703" s="11">
        <f t="shared" si="145"/>
        <v>0</v>
      </c>
      <c r="R703" s="426">
        <f t="shared" si="146"/>
        <v>0</v>
      </c>
      <c r="S703" s="354">
        <f>+Hirdetmény!$AA$46</f>
        <v>0.13400000000000001</v>
      </c>
      <c r="T703" s="302">
        <f t="shared" si="137"/>
        <v>0</v>
      </c>
      <c r="U703" s="302">
        <f t="shared" si="147"/>
        <v>0</v>
      </c>
      <c r="V703" s="302">
        <f t="shared" si="148"/>
        <v>0</v>
      </c>
      <c r="W703" s="302">
        <f t="shared" si="149"/>
        <v>0</v>
      </c>
      <c r="AA703" s="10">
        <f t="shared" si="150"/>
        <v>0</v>
      </c>
      <c r="AB703" s="354">
        <f>+paraméterek!$B$346</f>
        <v>6.4600000000000005E-2</v>
      </c>
      <c r="AC703" s="302">
        <f t="shared" si="138"/>
        <v>0</v>
      </c>
      <c r="AD703" s="302">
        <f t="shared" si="153"/>
        <v>0</v>
      </c>
      <c r="AE703" s="302">
        <f t="shared" si="151"/>
        <v>0</v>
      </c>
      <c r="AF703" s="478">
        <f t="shared" si="139"/>
        <v>0</v>
      </c>
      <c r="AI703" s="543">
        <f t="shared" si="152"/>
        <v>0</v>
      </c>
      <c r="AJ703" s="543"/>
      <c r="AK703" s="300"/>
      <c r="AL703" s="543"/>
      <c r="AM703" s="10"/>
    </row>
    <row r="704" spans="1:39" s="4" customFormat="1" ht="13.8" hidden="1" x14ac:dyDescent="0.25">
      <c r="A704" s="11">
        <v>349</v>
      </c>
      <c r="B704" s="11">
        <f t="shared" si="140"/>
        <v>30</v>
      </c>
      <c r="C704" s="354">
        <f t="shared" si="129"/>
        <v>0</v>
      </c>
      <c r="D704" s="300">
        <f t="shared" si="131"/>
        <v>1.151056494563818E-8</v>
      </c>
      <c r="E704" s="354">
        <f t="shared" si="141"/>
        <v>0.13400000000000001</v>
      </c>
      <c r="F704" s="354">
        <f t="shared" si="130"/>
        <v>0.03</v>
      </c>
      <c r="G704" s="11"/>
      <c r="H704" s="436">
        <f t="shared" si="132"/>
        <v>0</v>
      </c>
      <c r="I704" s="302">
        <f t="shared" si="133"/>
        <v>0</v>
      </c>
      <c r="J704" s="11"/>
      <c r="K704" s="426">
        <f t="shared" si="142"/>
        <v>2.9176084758041223E-11</v>
      </c>
      <c r="L704" s="10">
        <f t="shared" si="143"/>
        <v>2.9176084758041223E-11</v>
      </c>
      <c r="M704" s="436">
        <f t="shared" si="144"/>
        <v>2.9176084758041223E-11</v>
      </c>
      <c r="N704" s="301">
        <f t="shared" si="134"/>
        <v>2.9176084758041223E-11</v>
      </c>
      <c r="O704" s="302">
        <f t="shared" si="135"/>
        <v>0</v>
      </c>
      <c r="P704" s="436">
        <f t="shared" si="136"/>
        <v>0</v>
      </c>
      <c r="Q704" s="11">
        <f t="shared" si="145"/>
        <v>0</v>
      </c>
      <c r="R704" s="426">
        <f t="shared" si="146"/>
        <v>0</v>
      </c>
      <c r="S704" s="354">
        <f>+Hirdetmény!$AA$46</f>
        <v>0.13400000000000001</v>
      </c>
      <c r="T704" s="302">
        <f t="shared" si="137"/>
        <v>0</v>
      </c>
      <c r="U704" s="302">
        <f t="shared" si="147"/>
        <v>0</v>
      </c>
      <c r="V704" s="302">
        <f t="shared" si="148"/>
        <v>0</v>
      </c>
      <c r="W704" s="302">
        <f t="shared" si="149"/>
        <v>0</v>
      </c>
      <c r="AA704" s="10">
        <f t="shared" si="150"/>
        <v>0</v>
      </c>
      <c r="AB704" s="354">
        <f>+paraméterek!$B$346</f>
        <v>6.4600000000000005E-2</v>
      </c>
      <c r="AC704" s="302">
        <f t="shared" si="138"/>
        <v>0</v>
      </c>
      <c r="AD704" s="302">
        <f t="shared" si="153"/>
        <v>0</v>
      </c>
      <c r="AE704" s="302">
        <f t="shared" si="151"/>
        <v>0</v>
      </c>
      <c r="AF704" s="478">
        <f t="shared" si="139"/>
        <v>0</v>
      </c>
      <c r="AI704" s="543">
        <f t="shared" si="152"/>
        <v>0</v>
      </c>
      <c r="AJ704" s="543"/>
      <c r="AK704" s="300"/>
      <c r="AL704" s="543"/>
      <c r="AM704" s="10"/>
    </row>
    <row r="705" spans="1:39" s="4" customFormat="1" ht="13.8" hidden="1" x14ac:dyDescent="0.25">
      <c r="A705" s="11">
        <v>350</v>
      </c>
      <c r="B705" s="11">
        <f t="shared" si="140"/>
        <v>30</v>
      </c>
      <c r="C705" s="354">
        <f t="shared" si="129"/>
        <v>0</v>
      </c>
      <c r="D705" s="300">
        <f t="shared" si="131"/>
        <v>1.151056494563818E-8</v>
      </c>
      <c r="E705" s="354">
        <f t="shared" si="141"/>
        <v>0.13400000000000001</v>
      </c>
      <c r="F705" s="354">
        <f t="shared" si="130"/>
        <v>0.03</v>
      </c>
      <c r="G705" s="11"/>
      <c r="H705" s="436">
        <f t="shared" si="132"/>
        <v>0</v>
      </c>
      <c r="I705" s="302">
        <f t="shared" si="133"/>
        <v>0</v>
      </c>
      <c r="J705" s="11"/>
      <c r="K705" s="426">
        <f t="shared" si="142"/>
        <v>2.9176084758041223E-11</v>
      </c>
      <c r="L705" s="10">
        <f t="shared" si="143"/>
        <v>2.9176084758041223E-11</v>
      </c>
      <c r="M705" s="436">
        <f t="shared" si="144"/>
        <v>2.9176084758041223E-11</v>
      </c>
      <c r="N705" s="301">
        <f t="shared" si="134"/>
        <v>2.9176084758041223E-11</v>
      </c>
      <c r="O705" s="302">
        <f t="shared" si="135"/>
        <v>0</v>
      </c>
      <c r="P705" s="436">
        <f t="shared" si="136"/>
        <v>0</v>
      </c>
      <c r="Q705" s="11">
        <f t="shared" si="145"/>
        <v>0</v>
      </c>
      <c r="R705" s="426">
        <f t="shared" si="146"/>
        <v>0</v>
      </c>
      <c r="S705" s="354">
        <f>+Hirdetmény!$AA$46</f>
        <v>0.13400000000000001</v>
      </c>
      <c r="T705" s="302">
        <f t="shared" si="137"/>
        <v>0</v>
      </c>
      <c r="U705" s="302">
        <f t="shared" si="147"/>
        <v>0</v>
      </c>
      <c r="V705" s="302">
        <f t="shared" si="148"/>
        <v>0</v>
      </c>
      <c r="W705" s="302">
        <f t="shared" si="149"/>
        <v>0</v>
      </c>
      <c r="AA705" s="10">
        <f t="shared" si="150"/>
        <v>0</v>
      </c>
      <c r="AB705" s="354">
        <f>+paraméterek!$B$346</f>
        <v>6.4600000000000005E-2</v>
      </c>
      <c r="AC705" s="302">
        <f t="shared" si="138"/>
        <v>0</v>
      </c>
      <c r="AD705" s="302">
        <f t="shared" si="153"/>
        <v>0</v>
      </c>
      <c r="AE705" s="302">
        <f t="shared" si="151"/>
        <v>0</v>
      </c>
      <c r="AF705" s="478">
        <f t="shared" si="139"/>
        <v>0</v>
      </c>
      <c r="AI705" s="543">
        <f t="shared" si="152"/>
        <v>0</v>
      </c>
      <c r="AJ705" s="543"/>
      <c r="AK705" s="300"/>
      <c r="AL705" s="543"/>
      <c r="AM705" s="10"/>
    </row>
    <row r="706" spans="1:39" s="4" customFormat="1" ht="13.8" hidden="1" x14ac:dyDescent="0.25">
      <c r="A706" s="11">
        <v>351</v>
      </c>
      <c r="B706" s="11">
        <f t="shared" si="140"/>
        <v>30</v>
      </c>
      <c r="C706" s="354">
        <f t="shared" si="129"/>
        <v>0</v>
      </c>
      <c r="D706" s="300">
        <f t="shared" si="131"/>
        <v>1.151056494563818E-8</v>
      </c>
      <c r="E706" s="354">
        <f t="shared" si="141"/>
        <v>0.13400000000000001</v>
      </c>
      <c r="F706" s="354">
        <f t="shared" si="130"/>
        <v>0.03</v>
      </c>
      <c r="G706" s="11"/>
      <c r="H706" s="436">
        <f t="shared" si="132"/>
        <v>0</v>
      </c>
      <c r="I706" s="302">
        <f t="shared" si="133"/>
        <v>0</v>
      </c>
      <c r="J706" s="11"/>
      <c r="K706" s="426">
        <f t="shared" si="142"/>
        <v>2.9176084758041223E-11</v>
      </c>
      <c r="L706" s="10">
        <f t="shared" si="143"/>
        <v>2.9176084758041223E-11</v>
      </c>
      <c r="M706" s="436">
        <f t="shared" si="144"/>
        <v>2.9176084758041223E-11</v>
      </c>
      <c r="N706" s="301">
        <f t="shared" si="134"/>
        <v>2.9176084758041223E-11</v>
      </c>
      <c r="O706" s="302">
        <f t="shared" si="135"/>
        <v>0</v>
      </c>
      <c r="P706" s="436">
        <f t="shared" si="136"/>
        <v>0</v>
      </c>
      <c r="Q706" s="11">
        <f t="shared" si="145"/>
        <v>0</v>
      </c>
      <c r="R706" s="426">
        <f t="shared" si="146"/>
        <v>0</v>
      </c>
      <c r="S706" s="354">
        <f>+Hirdetmény!$AA$46</f>
        <v>0.13400000000000001</v>
      </c>
      <c r="T706" s="302">
        <f t="shared" si="137"/>
        <v>0</v>
      </c>
      <c r="U706" s="302">
        <f t="shared" si="147"/>
        <v>0</v>
      </c>
      <c r="V706" s="302">
        <f t="shared" si="148"/>
        <v>0</v>
      </c>
      <c r="W706" s="302">
        <f t="shared" si="149"/>
        <v>0</v>
      </c>
      <c r="AA706" s="10">
        <f t="shared" si="150"/>
        <v>0</v>
      </c>
      <c r="AB706" s="354">
        <f>+paraméterek!$B$346</f>
        <v>6.4600000000000005E-2</v>
      </c>
      <c r="AC706" s="302">
        <f t="shared" si="138"/>
        <v>0</v>
      </c>
      <c r="AD706" s="302">
        <f t="shared" si="153"/>
        <v>0</v>
      </c>
      <c r="AE706" s="302">
        <f t="shared" si="151"/>
        <v>0</v>
      </c>
      <c r="AF706" s="478">
        <f t="shared" si="139"/>
        <v>0</v>
      </c>
      <c r="AI706" s="543">
        <f t="shared" si="152"/>
        <v>0</v>
      </c>
      <c r="AJ706" s="543"/>
      <c r="AK706" s="300"/>
      <c r="AL706" s="543"/>
      <c r="AM706" s="10"/>
    </row>
    <row r="707" spans="1:39" s="4" customFormat="1" ht="13.8" hidden="1" x14ac:dyDescent="0.25">
      <c r="A707" s="11">
        <v>352</v>
      </c>
      <c r="B707" s="11">
        <f t="shared" si="140"/>
        <v>30</v>
      </c>
      <c r="C707" s="354">
        <f t="shared" si="129"/>
        <v>0</v>
      </c>
      <c r="D707" s="300">
        <f t="shared" si="131"/>
        <v>1.151056494563818E-8</v>
      </c>
      <c r="E707" s="354">
        <f t="shared" si="141"/>
        <v>0.13400000000000001</v>
      </c>
      <c r="F707" s="354">
        <f t="shared" si="130"/>
        <v>0.03</v>
      </c>
      <c r="G707" s="11"/>
      <c r="H707" s="436">
        <f t="shared" si="132"/>
        <v>0</v>
      </c>
      <c r="I707" s="302">
        <f t="shared" si="133"/>
        <v>0</v>
      </c>
      <c r="J707" s="11"/>
      <c r="K707" s="426">
        <f t="shared" si="142"/>
        <v>2.9176084758041223E-11</v>
      </c>
      <c r="L707" s="10">
        <f t="shared" si="143"/>
        <v>2.9176084758041223E-11</v>
      </c>
      <c r="M707" s="436">
        <f t="shared" si="144"/>
        <v>2.9176084758041223E-11</v>
      </c>
      <c r="N707" s="301">
        <f t="shared" si="134"/>
        <v>2.9176084758041223E-11</v>
      </c>
      <c r="O707" s="302">
        <f t="shared" si="135"/>
        <v>0</v>
      </c>
      <c r="P707" s="436">
        <f t="shared" si="136"/>
        <v>0</v>
      </c>
      <c r="Q707" s="11">
        <f t="shared" si="145"/>
        <v>0</v>
      </c>
      <c r="R707" s="426">
        <f t="shared" si="146"/>
        <v>0</v>
      </c>
      <c r="S707" s="354">
        <f>+Hirdetmény!$AA$46</f>
        <v>0.13400000000000001</v>
      </c>
      <c r="T707" s="302">
        <f t="shared" si="137"/>
        <v>0</v>
      </c>
      <c r="U707" s="302">
        <f t="shared" si="147"/>
        <v>0</v>
      </c>
      <c r="V707" s="302">
        <f t="shared" si="148"/>
        <v>0</v>
      </c>
      <c r="W707" s="302">
        <f t="shared" si="149"/>
        <v>0</v>
      </c>
      <c r="AA707" s="10">
        <f t="shared" si="150"/>
        <v>0</v>
      </c>
      <c r="AB707" s="354">
        <f>+paraméterek!$B$346</f>
        <v>6.4600000000000005E-2</v>
      </c>
      <c r="AC707" s="302">
        <f t="shared" si="138"/>
        <v>0</v>
      </c>
      <c r="AD707" s="302">
        <f t="shared" si="153"/>
        <v>0</v>
      </c>
      <c r="AE707" s="302">
        <f t="shared" si="151"/>
        <v>0</v>
      </c>
      <c r="AF707" s="478">
        <f t="shared" si="139"/>
        <v>0</v>
      </c>
      <c r="AI707" s="543">
        <f t="shared" si="152"/>
        <v>0</v>
      </c>
      <c r="AJ707" s="543"/>
      <c r="AK707" s="300"/>
      <c r="AL707" s="543"/>
      <c r="AM707" s="10"/>
    </row>
    <row r="708" spans="1:39" s="4" customFormat="1" ht="13.8" hidden="1" x14ac:dyDescent="0.25">
      <c r="A708" s="11">
        <v>353</v>
      </c>
      <c r="B708" s="11">
        <f t="shared" si="140"/>
        <v>30</v>
      </c>
      <c r="C708" s="354">
        <f t="shared" si="129"/>
        <v>0</v>
      </c>
      <c r="D708" s="300">
        <f t="shared" si="131"/>
        <v>1.151056494563818E-8</v>
      </c>
      <c r="E708" s="354">
        <f t="shared" si="141"/>
        <v>0.13400000000000001</v>
      </c>
      <c r="F708" s="354">
        <f t="shared" si="130"/>
        <v>0.03</v>
      </c>
      <c r="G708" s="11"/>
      <c r="H708" s="436">
        <f t="shared" si="132"/>
        <v>0</v>
      </c>
      <c r="I708" s="302">
        <f t="shared" si="133"/>
        <v>0</v>
      </c>
      <c r="J708" s="11"/>
      <c r="K708" s="426">
        <f t="shared" si="142"/>
        <v>2.9176084758041223E-11</v>
      </c>
      <c r="L708" s="10">
        <f t="shared" si="143"/>
        <v>2.9176084758041223E-11</v>
      </c>
      <c r="M708" s="436">
        <f t="shared" si="144"/>
        <v>2.9176084758041223E-11</v>
      </c>
      <c r="N708" s="301">
        <f t="shared" si="134"/>
        <v>2.9176084758041223E-11</v>
      </c>
      <c r="O708" s="302">
        <f t="shared" si="135"/>
        <v>0</v>
      </c>
      <c r="P708" s="436">
        <f t="shared" si="136"/>
        <v>0</v>
      </c>
      <c r="Q708" s="11">
        <f t="shared" si="145"/>
        <v>0</v>
      </c>
      <c r="R708" s="426">
        <f t="shared" si="146"/>
        <v>0</v>
      </c>
      <c r="S708" s="354">
        <f>+Hirdetmény!$AA$46</f>
        <v>0.13400000000000001</v>
      </c>
      <c r="T708" s="302">
        <f t="shared" si="137"/>
        <v>0</v>
      </c>
      <c r="U708" s="302">
        <f t="shared" si="147"/>
        <v>0</v>
      </c>
      <c r="V708" s="302">
        <f t="shared" si="148"/>
        <v>0</v>
      </c>
      <c r="W708" s="302">
        <f t="shared" si="149"/>
        <v>0</v>
      </c>
      <c r="AA708" s="10">
        <f t="shared" si="150"/>
        <v>0</v>
      </c>
      <c r="AB708" s="354">
        <f>+paraméterek!$B$346</f>
        <v>6.4600000000000005E-2</v>
      </c>
      <c r="AC708" s="302">
        <f t="shared" si="138"/>
        <v>0</v>
      </c>
      <c r="AD708" s="302">
        <f t="shared" si="153"/>
        <v>0</v>
      </c>
      <c r="AE708" s="302">
        <f t="shared" si="151"/>
        <v>0</v>
      </c>
      <c r="AF708" s="478">
        <f t="shared" si="139"/>
        <v>0</v>
      </c>
      <c r="AI708" s="543">
        <f t="shared" si="152"/>
        <v>0</v>
      </c>
      <c r="AJ708" s="543"/>
      <c r="AK708" s="300"/>
      <c r="AL708" s="543"/>
      <c r="AM708" s="10"/>
    </row>
    <row r="709" spans="1:39" s="4" customFormat="1" ht="13.8" hidden="1" x14ac:dyDescent="0.25">
      <c r="A709" s="11">
        <v>354</v>
      </c>
      <c r="B709" s="11">
        <f t="shared" si="140"/>
        <v>30</v>
      </c>
      <c r="C709" s="354">
        <f t="shared" si="129"/>
        <v>0</v>
      </c>
      <c r="D709" s="300">
        <f t="shared" si="131"/>
        <v>1.151056494563818E-8</v>
      </c>
      <c r="E709" s="354">
        <f t="shared" si="141"/>
        <v>0.13400000000000001</v>
      </c>
      <c r="F709" s="354">
        <f t="shared" si="130"/>
        <v>0.03</v>
      </c>
      <c r="G709" s="11"/>
      <c r="H709" s="436">
        <f t="shared" si="132"/>
        <v>0</v>
      </c>
      <c r="I709" s="302">
        <f t="shared" si="133"/>
        <v>0</v>
      </c>
      <c r="J709" s="11"/>
      <c r="K709" s="426">
        <f t="shared" si="142"/>
        <v>2.9176084758041223E-11</v>
      </c>
      <c r="L709" s="10">
        <f t="shared" si="143"/>
        <v>2.9176084758041223E-11</v>
      </c>
      <c r="M709" s="436">
        <f t="shared" si="144"/>
        <v>2.9176084758041223E-11</v>
      </c>
      <c r="N709" s="301">
        <f t="shared" si="134"/>
        <v>2.9176084758041223E-11</v>
      </c>
      <c r="O709" s="302">
        <f t="shared" si="135"/>
        <v>0</v>
      </c>
      <c r="P709" s="436">
        <f t="shared" si="136"/>
        <v>0</v>
      </c>
      <c r="Q709" s="11">
        <f t="shared" si="145"/>
        <v>0</v>
      </c>
      <c r="R709" s="426">
        <f t="shared" si="146"/>
        <v>0</v>
      </c>
      <c r="S709" s="354">
        <f>+Hirdetmény!$AA$46</f>
        <v>0.13400000000000001</v>
      </c>
      <c r="T709" s="302">
        <f t="shared" si="137"/>
        <v>0</v>
      </c>
      <c r="U709" s="302">
        <f t="shared" si="147"/>
        <v>0</v>
      </c>
      <c r="V709" s="302">
        <f t="shared" si="148"/>
        <v>0</v>
      </c>
      <c r="W709" s="302">
        <f t="shared" si="149"/>
        <v>0</v>
      </c>
      <c r="AA709" s="10">
        <f t="shared" si="150"/>
        <v>0</v>
      </c>
      <c r="AB709" s="354">
        <f>+paraméterek!$B$346</f>
        <v>6.4600000000000005E-2</v>
      </c>
      <c r="AC709" s="302">
        <f t="shared" si="138"/>
        <v>0</v>
      </c>
      <c r="AD709" s="302">
        <f t="shared" si="153"/>
        <v>0</v>
      </c>
      <c r="AE709" s="302">
        <f t="shared" si="151"/>
        <v>0</v>
      </c>
      <c r="AF709" s="478">
        <f t="shared" si="139"/>
        <v>0</v>
      </c>
      <c r="AI709" s="543">
        <f t="shared" si="152"/>
        <v>0</v>
      </c>
      <c r="AJ709" s="543"/>
      <c r="AK709" s="300"/>
      <c r="AL709" s="543"/>
      <c r="AM709" s="10"/>
    </row>
    <row r="710" spans="1:39" s="4" customFormat="1" ht="13.8" hidden="1" x14ac:dyDescent="0.25">
      <c r="A710" s="11">
        <v>355</v>
      </c>
      <c r="B710" s="11">
        <f t="shared" si="140"/>
        <v>30</v>
      </c>
      <c r="C710" s="354">
        <f t="shared" si="129"/>
        <v>0</v>
      </c>
      <c r="D710" s="300">
        <f t="shared" si="131"/>
        <v>1.151056494563818E-8</v>
      </c>
      <c r="E710" s="354">
        <f t="shared" si="141"/>
        <v>0.13400000000000001</v>
      </c>
      <c r="F710" s="354">
        <f t="shared" si="130"/>
        <v>0.03</v>
      </c>
      <c r="G710" s="11"/>
      <c r="H710" s="436">
        <f t="shared" si="132"/>
        <v>0</v>
      </c>
      <c r="I710" s="302">
        <f t="shared" si="133"/>
        <v>0</v>
      </c>
      <c r="J710" s="11"/>
      <c r="K710" s="426">
        <f t="shared" si="142"/>
        <v>2.9176084758041223E-11</v>
      </c>
      <c r="L710" s="10">
        <f t="shared" si="143"/>
        <v>2.9176084758041223E-11</v>
      </c>
      <c r="M710" s="436">
        <f t="shared" si="144"/>
        <v>2.9176084758041223E-11</v>
      </c>
      <c r="N710" s="301">
        <f t="shared" si="134"/>
        <v>2.9176084758041223E-11</v>
      </c>
      <c r="O710" s="302">
        <f t="shared" si="135"/>
        <v>0</v>
      </c>
      <c r="P710" s="436">
        <f t="shared" si="136"/>
        <v>0</v>
      </c>
      <c r="Q710" s="11">
        <f t="shared" si="145"/>
        <v>0</v>
      </c>
      <c r="R710" s="426">
        <f t="shared" si="146"/>
        <v>0</v>
      </c>
      <c r="S710" s="354">
        <f>+Hirdetmény!$AA$46</f>
        <v>0.13400000000000001</v>
      </c>
      <c r="T710" s="302">
        <f t="shared" si="137"/>
        <v>0</v>
      </c>
      <c r="U710" s="302">
        <f t="shared" si="147"/>
        <v>0</v>
      </c>
      <c r="V710" s="302">
        <f t="shared" si="148"/>
        <v>0</v>
      </c>
      <c r="W710" s="302">
        <f t="shared" si="149"/>
        <v>0</v>
      </c>
      <c r="AA710" s="10">
        <f t="shared" si="150"/>
        <v>0</v>
      </c>
      <c r="AB710" s="354">
        <f>+paraméterek!$B$346</f>
        <v>6.4600000000000005E-2</v>
      </c>
      <c r="AC710" s="302">
        <f t="shared" si="138"/>
        <v>0</v>
      </c>
      <c r="AD710" s="302">
        <f t="shared" si="153"/>
        <v>0</v>
      </c>
      <c r="AE710" s="302">
        <f t="shared" si="151"/>
        <v>0</v>
      </c>
      <c r="AF710" s="478">
        <f t="shared" si="139"/>
        <v>0</v>
      </c>
      <c r="AI710" s="543">
        <f t="shared" si="152"/>
        <v>0</v>
      </c>
      <c r="AJ710" s="543"/>
      <c r="AK710" s="300"/>
      <c r="AL710" s="543"/>
      <c r="AM710" s="10"/>
    </row>
    <row r="711" spans="1:39" s="4" customFormat="1" ht="13.8" hidden="1" x14ac:dyDescent="0.25">
      <c r="A711" s="11">
        <v>356</v>
      </c>
      <c r="B711" s="11">
        <f t="shared" si="140"/>
        <v>30</v>
      </c>
      <c r="C711" s="354">
        <f t="shared" si="129"/>
        <v>0</v>
      </c>
      <c r="D711" s="300">
        <f t="shared" si="131"/>
        <v>1.151056494563818E-8</v>
      </c>
      <c r="E711" s="354">
        <f t="shared" si="141"/>
        <v>0.13400000000000001</v>
      </c>
      <c r="F711" s="354">
        <f t="shared" si="130"/>
        <v>0.03</v>
      </c>
      <c r="G711" s="11"/>
      <c r="H711" s="436">
        <f t="shared" si="132"/>
        <v>0</v>
      </c>
      <c r="I711" s="302">
        <f t="shared" si="133"/>
        <v>0</v>
      </c>
      <c r="J711" s="11"/>
      <c r="K711" s="426">
        <f t="shared" si="142"/>
        <v>2.9176084758041223E-11</v>
      </c>
      <c r="L711" s="10">
        <f t="shared" si="143"/>
        <v>2.9176084758041223E-11</v>
      </c>
      <c r="M711" s="436">
        <f t="shared" si="144"/>
        <v>2.9176084758041223E-11</v>
      </c>
      <c r="N711" s="301">
        <f t="shared" si="134"/>
        <v>2.9176084758041223E-11</v>
      </c>
      <c r="O711" s="302">
        <f t="shared" si="135"/>
        <v>0</v>
      </c>
      <c r="P711" s="436">
        <f t="shared" si="136"/>
        <v>0</v>
      </c>
      <c r="Q711" s="11">
        <f t="shared" si="145"/>
        <v>0</v>
      </c>
      <c r="R711" s="426">
        <f t="shared" si="146"/>
        <v>0</v>
      </c>
      <c r="S711" s="354">
        <f>+Hirdetmény!$AA$46</f>
        <v>0.13400000000000001</v>
      </c>
      <c r="T711" s="302">
        <f t="shared" si="137"/>
        <v>0</v>
      </c>
      <c r="U711" s="302">
        <f t="shared" si="147"/>
        <v>0</v>
      </c>
      <c r="V711" s="302">
        <f t="shared" si="148"/>
        <v>0</v>
      </c>
      <c r="W711" s="302">
        <f t="shared" si="149"/>
        <v>0</v>
      </c>
      <c r="AA711" s="10">
        <f t="shared" si="150"/>
        <v>0</v>
      </c>
      <c r="AB711" s="354">
        <f>+paraméterek!$B$346</f>
        <v>6.4600000000000005E-2</v>
      </c>
      <c r="AC711" s="302">
        <f t="shared" si="138"/>
        <v>0</v>
      </c>
      <c r="AD711" s="302">
        <f t="shared" si="153"/>
        <v>0</v>
      </c>
      <c r="AE711" s="302">
        <f t="shared" si="151"/>
        <v>0</v>
      </c>
      <c r="AF711" s="478">
        <f t="shared" si="139"/>
        <v>0</v>
      </c>
      <c r="AI711" s="543">
        <f t="shared" si="152"/>
        <v>0</v>
      </c>
      <c r="AJ711" s="543"/>
      <c r="AK711" s="300"/>
      <c r="AL711" s="543"/>
      <c r="AM711" s="10"/>
    </row>
    <row r="712" spans="1:39" s="4" customFormat="1" ht="13.8" hidden="1" x14ac:dyDescent="0.25">
      <c r="A712" s="11">
        <v>357</v>
      </c>
      <c r="B712" s="11">
        <f t="shared" si="140"/>
        <v>30</v>
      </c>
      <c r="C712" s="354">
        <f t="shared" si="129"/>
        <v>0</v>
      </c>
      <c r="D712" s="300">
        <f t="shared" si="131"/>
        <v>1.151056494563818E-8</v>
      </c>
      <c r="E712" s="354">
        <f t="shared" si="141"/>
        <v>0.13400000000000001</v>
      </c>
      <c r="F712" s="354">
        <f t="shared" si="130"/>
        <v>0.03</v>
      </c>
      <c r="G712" s="11"/>
      <c r="H712" s="436">
        <f t="shared" si="132"/>
        <v>0</v>
      </c>
      <c r="I712" s="302">
        <f t="shared" si="133"/>
        <v>0</v>
      </c>
      <c r="J712" s="11"/>
      <c r="K712" s="426">
        <f t="shared" si="142"/>
        <v>2.9176084758041223E-11</v>
      </c>
      <c r="L712" s="10">
        <f t="shared" si="143"/>
        <v>2.9176084758041223E-11</v>
      </c>
      <c r="M712" s="436">
        <f t="shared" si="144"/>
        <v>2.9176084758041223E-11</v>
      </c>
      <c r="N712" s="301">
        <f t="shared" si="134"/>
        <v>2.9176084758041223E-11</v>
      </c>
      <c r="O712" s="302">
        <f t="shared" si="135"/>
        <v>0</v>
      </c>
      <c r="P712" s="436">
        <f t="shared" si="136"/>
        <v>0</v>
      </c>
      <c r="Q712" s="11">
        <f t="shared" si="145"/>
        <v>0</v>
      </c>
      <c r="R712" s="426">
        <f t="shared" si="146"/>
        <v>0</v>
      </c>
      <c r="S712" s="354">
        <f>+Hirdetmény!$AA$46</f>
        <v>0.13400000000000001</v>
      </c>
      <c r="T712" s="302">
        <f t="shared" si="137"/>
        <v>0</v>
      </c>
      <c r="U712" s="302">
        <f t="shared" si="147"/>
        <v>0</v>
      </c>
      <c r="V712" s="302">
        <f t="shared" si="148"/>
        <v>0</v>
      </c>
      <c r="W712" s="302">
        <f t="shared" si="149"/>
        <v>0</v>
      </c>
      <c r="AA712" s="10">
        <f t="shared" si="150"/>
        <v>0</v>
      </c>
      <c r="AB712" s="354">
        <f>+paraméterek!$B$346</f>
        <v>6.4600000000000005E-2</v>
      </c>
      <c r="AC712" s="302">
        <f t="shared" si="138"/>
        <v>0</v>
      </c>
      <c r="AD712" s="302">
        <f t="shared" si="153"/>
        <v>0</v>
      </c>
      <c r="AE712" s="302">
        <f t="shared" si="151"/>
        <v>0</v>
      </c>
      <c r="AF712" s="478">
        <f t="shared" si="139"/>
        <v>0</v>
      </c>
      <c r="AI712" s="543">
        <f t="shared" si="152"/>
        <v>0</v>
      </c>
      <c r="AJ712" s="543"/>
      <c r="AK712" s="300"/>
      <c r="AL712" s="543"/>
      <c r="AM712" s="10"/>
    </row>
    <row r="713" spans="1:39" s="4" customFormat="1" ht="13.8" hidden="1" x14ac:dyDescent="0.25">
      <c r="A713" s="11">
        <v>358</v>
      </c>
      <c r="B713" s="11">
        <f t="shared" si="140"/>
        <v>30</v>
      </c>
      <c r="C713" s="354">
        <f t="shared" si="129"/>
        <v>0</v>
      </c>
      <c r="D713" s="300">
        <f t="shared" si="131"/>
        <v>1.151056494563818E-8</v>
      </c>
      <c r="E713" s="354">
        <f t="shared" si="141"/>
        <v>0.13400000000000001</v>
      </c>
      <c r="F713" s="354">
        <f t="shared" si="130"/>
        <v>0.03</v>
      </c>
      <c r="G713" s="11"/>
      <c r="H713" s="436">
        <f t="shared" si="132"/>
        <v>0</v>
      </c>
      <c r="I713" s="302">
        <f t="shared" si="133"/>
        <v>0</v>
      </c>
      <c r="J713" s="11"/>
      <c r="K713" s="426">
        <f t="shared" si="142"/>
        <v>2.9176084758041223E-11</v>
      </c>
      <c r="L713" s="10">
        <f t="shared" si="143"/>
        <v>2.9176084758041223E-11</v>
      </c>
      <c r="M713" s="436">
        <f t="shared" si="144"/>
        <v>2.9176084758041223E-11</v>
      </c>
      <c r="N713" s="301">
        <f t="shared" si="134"/>
        <v>2.9176084758041223E-11</v>
      </c>
      <c r="O713" s="302">
        <f t="shared" si="135"/>
        <v>0</v>
      </c>
      <c r="P713" s="436">
        <f t="shared" si="136"/>
        <v>0</v>
      </c>
      <c r="Q713" s="11">
        <f t="shared" si="145"/>
        <v>0</v>
      </c>
      <c r="R713" s="426">
        <f t="shared" si="146"/>
        <v>0</v>
      </c>
      <c r="S713" s="354">
        <f>+Hirdetmény!$AA$46</f>
        <v>0.13400000000000001</v>
      </c>
      <c r="T713" s="302">
        <f t="shared" si="137"/>
        <v>0</v>
      </c>
      <c r="U713" s="302">
        <f t="shared" si="147"/>
        <v>0</v>
      </c>
      <c r="V713" s="302">
        <f t="shared" si="148"/>
        <v>0</v>
      </c>
      <c r="W713" s="302">
        <f t="shared" si="149"/>
        <v>0</v>
      </c>
      <c r="AA713" s="10">
        <f t="shared" si="150"/>
        <v>0</v>
      </c>
      <c r="AB713" s="354">
        <f>+paraméterek!$B$346</f>
        <v>6.4600000000000005E-2</v>
      </c>
      <c r="AC713" s="302">
        <f t="shared" si="138"/>
        <v>0</v>
      </c>
      <c r="AD713" s="302">
        <f t="shared" si="153"/>
        <v>0</v>
      </c>
      <c r="AE713" s="302">
        <f t="shared" si="151"/>
        <v>0</v>
      </c>
      <c r="AF713" s="478">
        <f t="shared" si="139"/>
        <v>0</v>
      </c>
      <c r="AI713" s="543">
        <f t="shared" si="152"/>
        <v>0</v>
      </c>
      <c r="AJ713" s="543"/>
      <c r="AK713" s="300"/>
      <c r="AL713" s="543"/>
      <c r="AM713" s="10"/>
    </row>
    <row r="714" spans="1:39" s="4" customFormat="1" ht="13.8" hidden="1" x14ac:dyDescent="0.25">
      <c r="A714" s="11">
        <v>359</v>
      </c>
      <c r="B714" s="11">
        <f t="shared" si="140"/>
        <v>30</v>
      </c>
      <c r="C714" s="354">
        <f t="shared" si="129"/>
        <v>0</v>
      </c>
      <c r="D714" s="300">
        <f t="shared" si="131"/>
        <v>1.151056494563818E-8</v>
      </c>
      <c r="E714" s="354">
        <f t="shared" si="141"/>
        <v>0.13400000000000001</v>
      </c>
      <c r="F714" s="354">
        <f t="shared" si="130"/>
        <v>0.03</v>
      </c>
      <c r="G714" s="11"/>
      <c r="H714" s="436">
        <f t="shared" si="132"/>
        <v>0</v>
      </c>
      <c r="I714" s="302">
        <f t="shared" si="133"/>
        <v>0</v>
      </c>
      <c r="J714" s="11"/>
      <c r="K714" s="426">
        <f t="shared" si="142"/>
        <v>2.9176084758041223E-11</v>
      </c>
      <c r="L714" s="10">
        <f t="shared" si="143"/>
        <v>2.9176084758041223E-11</v>
      </c>
      <c r="M714" s="436">
        <f t="shared" si="144"/>
        <v>2.9176084758041223E-11</v>
      </c>
      <c r="N714" s="301">
        <f t="shared" si="134"/>
        <v>2.9176084758041223E-11</v>
      </c>
      <c r="O714" s="302">
        <f t="shared" si="135"/>
        <v>0</v>
      </c>
      <c r="P714" s="436">
        <f t="shared" si="136"/>
        <v>0</v>
      </c>
      <c r="Q714" s="11">
        <f t="shared" si="145"/>
        <v>0</v>
      </c>
      <c r="R714" s="426">
        <f t="shared" si="146"/>
        <v>0</v>
      </c>
      <c r="S714" s="354">
        <f>+Hirdetmény!$AA$46</f>
        <v>0.13400000000000001</v>
      </c>
      <c r="T714" s="302">
        <f t="shared" si="137"/>
        <v>0</v>
      </c>
      <c r="U714" s="302">
        <f t="shared" si="147"/>
        <v>0</v>
      </c>
      <c r="V714" s="302">
        <f t="shared" si="148"/>
        <v>0</v>
      </c>
      <c r="W714" s="302">
        <f t="shared" si="149"/>
        <v>0</v>
      </c>
      <c r="AA714" s="10">
        <f t="shared" si="150"/>
        <v>0</v>
      </c>
      <c r="AB714" s="354">
        <f>+paraméterek!$B$346</f>
        <v>6.4600000000000005E-2</v>
      </c>
      <c r="AC714" s="302">
        <f t="shared" si="138"/>
        <v>0</v>
      </c>
      <c r="AD714" s="302">
        <f t="shared" si="153"/>
        <v>0</v>
      </c>
      <c r="AE714" s="302">
        <f t="shared" si="151"/>
        <v>0</v>
      </c>
      <c r="AF714" s="478">
        <f t="shared" si="139"/>
        <v>0</v>
      </c>
      <c r="AI714" s="543">
        <f t="shared" si="152"/>
        <v>0</v>
      </c>
      <c r="AJ714" s="543"/>
      <c r="AK714" s="300"/>
      <c r="AL714" s="543"/>
      <c r="AM714" s="10"/>
    </row>
    <row r="715" spans="1:39" s="4" customFormat="1" ht="13.8" hidden="1" x14ac:dyDescent="0.25">
      <c r="A715" s="11">
        <v>360</v>
      </c>
      <c r="B715" s="11">
        <f t="shared" si="140"/>
        <v>30</v>
      </c>
      <c r="C715" s="354">
        <f t="shared" si="129"/>
        <v>0</v>
      </c>
      <c r="D715" s="300">
        <f t="shared" si="131"/>
        <v>1.151056494563818E-8</v>
      </c>
      <c r="E715" s="354">
        <f t="shared" si="141"/>
        <v>0.13400000000000001</v>
      </c>
      <c r="F715" s="354">
        <f t="shared" si="130"/>
        <v>0.03</v>
      </c>
      <c r="G715" s="11"/>
      <c r="H715" s="436">
        <f t="shared" si="132"/>
        <v>0</v>
      </c>
      <c r="I715" s="302">
        <f t="shared" si="133"/>
        <v>0</v>
      </c>
      <c r="J715" s="11"/>
      <c r="K715" s="426">
        <f t="shared" si="142"/>
        <v>2.9176084758041223E-11</v>
      </c>
      <c r="L715" s="10">
        <f t="shared" si="143"/>
        <v>2.9176084758041223E-11</v>
      </c>
      <c r="M715" s="436">
        <f t="shared" si="144"/>
        <v>2.9176084758041223E-11</v>
      </c>
      <c r="N715" s="301">
        <f t="shared" si="134"/>
        <v>2.9176084758041223E-11</v>
      </c>
      <c r="O715" s="302">
        <f t="shared" si="135"/>
        <v>0</v>
      </c>
      <c r="P715" s="436">
        <f t="shared" si="136"/>
        <v>0</v>
      </c>
      <c r="Q715" s="11">
        <f t="shared" si="145"/>
        <v>0</v>
      </c>
      <c r="R715" s="426">
        <f t="shared" si="146"/>
        <v>0</v>
      </c>
      <c r="S715" s="354">
        <f>+Hirdetmény!$AA$46</f>
        <v>0.13400000000000001</v>
      </c>
      <c r="T715" s="302">
        <f t="shared" si="137"/>
        <v>0</v>
      </c>
      <c r="U715" s="302">
        <f t="shared" si="147"/>
        <v>0</v>
      </c>
      <c r="V715" s="302">
        <f t="shared" si="148"/>
        <v>0</v>
      </c>
      <c r="W715" s="302">
        <f t="shared" si="149"/>
        <v>0</v>
      </c>
      <c r="AA715" s="10">
        <f t="shared" si="150"/>
        <v>0</v>
      </c>
      <c r="AB715" s="354">
        <f>+paraméterek!$B$346</f>
        <v>6.4600000000000005E-2</v>
      </c>
      <c r="AC715" s="302">
        <f t="shared" si="138"/>
        <v>0</v>
      </c>
      <c r="AD715" s="302">
        <f t="shared" si="153"/>
        <v>0</v>
      </c>
      <c r="AE715" s="302">
        <f t="shared" si="151"/>
        <v>0</v>
      </c>
      <c r="AF715" s="478">
        <f t="shared" si="139"/>
        <v>0</v>
      </c>
      <c r="AI715" s="543">
        <f t="shared" si="152"/>
        <v>0</v>
      </c>
      <c r="AJ715" s="543"/>
      <c r="AK715" s="300"/>
      <c r="AL715" s="543"/>
      <c r="AM715" s="10"/>
    </row>
    <row r="716" spans="1:39" s="4" customFormat="1" ht="13.8" hidden="1" x14ac:dyDescent="0.25">
      <c r="A716" s="11">
        <v>361</v>
      </c>
      <c r="B716" s="11">
        <f t="shared" si="140"/>
        <v>31</v>
      </c>
      <c r="C716" s="354">
        <f t="shared" si="129"/>
        <v>0</v>
      </c>
      <c r="D716" s="300">
        <f t="shared" si="131"/>
        <v>1.151056494563818E-8</v>
      </c>
      <c r="E716" s="354">
        <f t="shared" si="141"/>
        <v>0.13400000000000001</v>
      </c>
      <c r="F716" s="354">
        <f t="shared" si="130"/>
        <v>0.03</v>
      </c>
      <c r="G716" s="11"/>
      <c r="H716" s="436">
        <f t="shared" si="132"/>
        <v>0</v>
      </c>
      <c r="I716" s="302">
        <f t="shared" si="133"/>
        <v>0</v>
      </c>
      <c r="J716" s="11"/>
      <c r="K716" s="426">
        <f t="shared" si="142"/>
        <v>2.9176084758041223E-11</v>
      </c>
      <c r="L716" s="10">
        <f t="shared" si="143"/>
        <v>2.9176084758041223E-11</v>
      </c>
      <c r="M716" s="436">
        <f t="shared" si="144"/>
        <v>2.9176084758041223E-11</v>
      </c>
      <c r="N716" s="301">
        <f t="shared" si="134"/>
        <v>2.9176084758041223E-11</v>
      </c>
      <c r="O716" s="302">
        <f t="shared" si="135"/>
        <v>0</v>
      </c>
      <c r="P716" s="436">
        <f t="shared" si="136"/>
        <v>0</v>
      </c>
      <c r="Q716" s="11">
        <f t="shared" si="145"/>
        <v>0</v>
      </c>
      <c r="R716" s="426">
        <f t="shared" si="146"/>
        <v>0</v>
      </c>
      <c r="S716" s="354">
        <f>+Hirdetmény!$AA$46</f>
        <v>0.13400000000000001</v>
      </c>
      <c r="T716" s="302">
        <f t="shared" si="137"/>
        <v>0</v>
      </c>
      <c r="U716" s="302">
        <f t="shared" si="147"/>
        <v>0</v>
      </c>
      <c r="V716" s="302">
        <f t="shared" si="148"/>
        <v>0</v>
      </c>
      <c r="W716" s="302">
        <f t="shared" si="149"/>
        <v>0</v>
      </c>
      <c r="AA716" s="10">
        <f t="shared" si="150"/>
        <v>0</v>
      </c>
      <c r="AB716" s="354">
        <f>+paraméterek!$B$346</f>
        <v>6.4600000000000005E-2</v>
      </c>
      <c r="AC716" s="302">
        <f t="shared" si="138"/>
        <v>0</v>
      </c>
      <c r="AD716" s="302">
        <f t="shared" si="153"/>
        <v>0</v>
      </c>
      <c r="AE716" s="302">
        <f t="shared" si="151"/>
        <v>0</v>
      </c>
      <c r="AF716" s="478">
        <f t="shared" si="139"/>
        <v>0</v>
      </c>
      <c r="AI716" s="543">
        <f t="shared" si="152"/>
        <v>0</v>
      </c>
      <c r="AJ716" s="543"/>
      <c r="AK716" s="300"/>
      <c r="AL716" s="543"/>
      <c r="AM716" s="10"/>
    </row>
    <row r="717" spans="1:39" s="4" customFormat="1" ht="13.8" hidden="1" x14ac:dyDescent="0.25">
      <c r="A717" s="11">
        <v>362</v>
      </c>
      <c r="B717" s="11">
        <f t="shared" si="140"/>
        <v>31</v>
      </c>
      <c r="C717" s="354">
        <f t="shared" si="129"/>
        <v>0</v>
      </c>
      <c r="D717" s="300">
        <f t="shared" si="131"/>
        <v>1.151056494563818E-8</v>
      </c>
      <c r="E717" s="354">
        <f t="shared" si="141"/>
        <v>0.13400000000000001</v>
      </c>
      <c r="F717" s="354">
        <f t="shared" si="130"/>
        <v>0.03</v>
      </c>
      <c r="G717" s="11"/>
      <c r="H717" s="436">
        <f t="shared" si="132"/>
        <v>0</v>
      </c>
      <c r="I717" s="302">
        <f t="shared" si="133"/>
        <v>0</v>
      </c>
      <c r="J717" s="11"/>
      <c r="K717" s="426">
        <f t="shared" si="142"/>
        <v>2.9176084758041223E-11</v>
      </c>
      <c r="L717" s="10">
        <f t="shared" si="143"/>
        <v>2.9176084758041223E-11</v>
      </c>
      <c r="M717" s="436">
        <f t="shared" si="144"/>
        <v>2.9176084758041223E-11</v>
      </c>
      <c r="N717" s="301">
        <f t="shared" si="134"/>
        <v>2.9176084758041223E-11</v>
      </c>
      <c r="O717" s="302">
        <f t="shared" si="135"/>
        <v>0</v>
      </c>
      <c r="P717" s="436">
        <f t="shared" si="136"/>
        <v>0</v>
      </c>
      <c r="Q717" s="11">
        <f t="shared" si="145"/>
        <v>0</v>
      </c>
      <c r="R717" s="426">
        <f t="shared" si="146"/>
        <v>0</v>
      </c>
      <c r="S717" s="354">
        <f>+Hirdetmény!$AA$46</f>
        <v>0.13400000000000001</v>
      </c>
      <c r="T717" s="302">
        <f t="shared" si="137"/>
        <v>0</v>
      </c>
      <c r="U717" s="302">
        <f t="shared" si="147"/>
        <v>0</v>
      </c>
      <c r="V717" s="302">
        <f t="shared" si="148"/>
        <v>0</v>
      </c>
      <c r="W717" s="302">
        <f t="shared" si="149"/>
        <v>0</v>
      </c>
      <c r="AA717" s="10">
        <f t="shared" si="150"/>
        <v>0</v>
      </c>
      <c r="AB717" s="354">
        <f>+paraméterek!$B$346</f>
        <v>6.4600000000000005E-2</v>
      </c>
      <c r="AC717" s="302">
        <f t="shared" si="138"/>
        <v>0</v>
      </c>
      <c r="AD717" s="302">
        <f t="shared" si="153"/>
        <v>0</v>
      </c>
      <c r="AE717" s="302">
        <f t="shared" si="151"/>
        <v>0</v>
      </c>
      <c r="AF717" s="478">
        <f t="shared" si="139"/>
        <v>0</v>
      </c>
      <c r="AI717" s="543">
        <f t="shared" si="152"/>
        <v>0</v>
      </c>
      <c r="AJ717" s="543"/>
      <c r="AK717" s="300"/>
      <c r="AL717" s="543"/>
      <c r="AM717" s="10"/>
    </row>
    <row r="718" spans="1:39" s="4" customFormat="1" ht="13.8" hidden="1" x14ac:dyDescent="0.25">
      <c r="A718" s="11">
        <v>363</v>
      </c>
      <c r="B718" s="11">
        <f t="shared" si="140"/>
        <v>31</v>
      </c>
      <c r="C718" s="354">
        <f t="shared" si="129"/>
        <v>0</v>
      </c>
      <c r="D718" s="300">
        <f t="shared" si="131"/>
        <v>1.151056494563818E-8</v>
      </c>
      <c r="E718" s="354">
        <f t="shared" si="141"/>
        <v>0.13400000000000001</v>
      </c>
      <c r="F718" s="354">
        <f t="shared" si="130"/>
        <v>0.03</v>
      </c>
      <c r="G718" s="11"/>
      <c r="H718" s="436">
        <f t="shared" si="132"/>
        <v>0</v>
      </c>
      <c r="I718" s="302">
        <f t="shared" si="133"/>
        <v>0</v>
      </c>
      <c r="J718" s="11"/>
      <c r="K718" s="426">
        <f t="shared" si="142"/>
        <v>2.9176084758041223E-11</v>
      </c>
      <c r="L718" s="10">
        <f t="shared" si="143"/>
        <v>2.9176084758041223E-11</v>
      </c>
      <c r="M718" s="436">
        <f t="shared" si="144"/>
        <v>2.9176084758041223E-11</v>
      </c>
      <c r="N718" s="301">
        <f t="shared" si="134"/>
        <v>2.9176084758041223E-11</v>
      </c>
      <c r="O718" s="302">
        <f t="shared" si="135"/>
        <v>0</v>
      </c>
      <c r="P718" s="436">
        <f t="shared" si="136"/>
        <v>0</v>
      </c>
      <c r="Q718" s="11">
        <f t="shared" si="145"/>
        <v>0</v>
      </c>
      <c r="R718" s="426">
        <f t="shared" si="146"/>
        <v>0</v>
      </c>
      <c r="S718" s="354">
        <f>+Hirdetmény!$AA$46</f>
        <v>0.13400000000000001</v>
      </c>
      <c r="T718" s="302">
        <f t="shared" si="137"/>
        <v>0</v>
      </c>
      <c r="U718" s="302">
        <f t="shared" si="147"/>
        <v>0</v>
      </c>
      <c r="V718" s="302">
        <f t="shared" si="148"/>
        <v>0</v>
      </c>
      <c r="W718" s="302">
        <f t="shared" si="149"/>
        <v>0</v>
      </c>
      <c r="AA718" s="10">
        <f t="shared" si="150"/>
        <v>0</v>
      </c>
      <c r="AB718" s="354">
        <f>+paraméterek!$B$346</f>
        <v>6.4600000000000005E-2</v>
      </c>
      <c r="AC718" s="302">
        <f t="shared" si="138"/>
        <v>0</v>
      </c>
      <c r="AD718" s="302">
        <f t="shared" si="153"/>
        <v>0</v>
      </c>
      <c r="AE718" s="302">
        <f t="shared" si="151"/>
        <v>0</v>
      </c>
      <c r="AF718" s="478">
        <f t="shared" si="139"/>
        <v>0</v>
      </c>
      <c r="AI718" s="543">
        <f t="shared" si="152"/>
        <v>0</v>
      </c>
      <c r="AJ718" s="543"/>
      <c r="AK718" s="300"/>
      <c r="AL718" s="543"/>
      <c r="AM718" s="10"/>
    </row>
    <row r="719" spans="1:39" s="4" customFormat="1" ht="13.8" hidden="1" x14ac:dyDescent="0.25">
      <c r="A719" s="11">
        <v>364</v>
      </c>
      <c r="B719" s="11">
        <f t="shared" si="140"/>
        <v>31</v>
      </c>
      <c r="C719" s="354">
        <f t="shared" si="129"/>
        <v>0</v>
      </c>
      <c r="D719" s="300">
        <f t="shared" si="131"/>
        <v>1.151056494563818E-8</v>
      </c>
      <c r="E719" s="354">
        <f t="shared" si="141"/>
        <v>0.13400000000000001</v>
      </c>
      <c r="F719" s="354">
        <f t="shared" si="130"/>
        <v>0.03</v>
      </c>
      <c r="G719" s="11"/>
      <c r="H719" s="436">
        <f t="shared" si="132"/>
        <v>0</v>
      </c>
      <c r="I719" s="302">
        <f t="shared" si="133"/>
        <v>0</v>
      </c>
      <c r="J719" s="11"/>
      <c r="K719" s="426">
        <f t="shared" si="142"/>
        <v>2.9176084758041223E-11</v>
      </c>
      <c r="L719" s="10">
        <f t="shared" si="143"/>
        <v>2.9176084758041223E-11</v>
      </c>
      <c r="M719" s="436">
        <f t="shared" si="144"/>
        <v>2.9176084758041223E-11</v>
      </c>
      <c r="N719" s="301">
        <f t="shared" si="134"/>
        <v>2.9176084758041223E-11</v>
      </c>
      <c r="O719" s="302">
        <f t="shared" si="135"/>
        <v>0</v>
      </c>
      <c r="P719" s="436">
        <f t="shared" si="136"/>
        <v>0</v>
      </c>
      <c r="Q719" s="11">
        <f t="shared" si="145"/>
        <v>0</v>
      </c>
      <c r="R719" s="426">
        <f t="shared" si="146"/>
        <v>0</v>
      </c>
      <c r="S719" s="354">
        <f>+Hirdetmény!$AA$46</f>
        <v>0.13400000000000001</v>
      </c>
      <c r="T719" s="302">
        <f t="shared" si="137"/>
        <v>0</v>
      </c>
      <c r="U719" s="302">
        <f t="shared" si="147"/>
        <v>0</v>
      </c>
      <c r="V719" s="302">
        <f t="shared" si="148"/>
        <v>0</v>
      </c>
      <c r="W719" s="302">
        <f t="shared" si="149"/>
        <v>0</v>
      </c>
      <c r="AA719" s="10">
        <f t="shared" si="150"/>
        <v>0</v>
      </c>
      <c r="AB719" s="354">
        <f>+paraméterek!$B$346</f>
        <v>6.4600000000000005E-2</v>
      </c>
      <c r="AC719" s="302">
        <f t="shared" si="138"/>
        <v>0</v>
      </c>
      <c r="AD719" s="302">
        <f t="shared" si="153"/>
        <v>0</v>
      </c>
      <c r="AE719" s="302">
        <f t="shared" si="151"/>
        <v>0</v>
      </c>
      <c r="AF719" s="478">
        <f t="shared" si="139"/>
        <v>0</v>
      </c>
      <c r="AI719" s="543">
        <f t="shared" si="152"/>
        <v>0</v>
      </c>
      <c r="AJ719" s="543"/>
      <c r="AK719" s="300"/>
      <c r="AL719" s="543"/>
      <c r="AM719" s="10"/>
    </row>
    <row r="720" spans="1:39" s="4" customFormat="1" ht="13.8" hidden="1" x14ac:dyDescent="0.25">
      <c r="A720" s="11">
        <v>365</v>
      </c>
      <c r="B720" s="11">
        <f t="shared" si="140"/>
        <v>31</v>
      </c>
      <c r="C720" s="354">
        <f t="shared" si="129"/>
        <v>0</v>
      </c>
      <c r="D720" s="300">
        <f t="shared" si="131"/>
        <v>1.151056494563818E-8</v>
      </c>
      <c r="E720" s="354">
        <f t="shared" si="141"/>
        <v>0.13400000000000001</v>
      </c>
      <c r="F720" s="354">
        <f t="shared" si="130"/>
        <v>0.03</v>
      </c>
      <c r="G720" s="11"/>
      <c r="H720" s="436">
        <f t="shared" si="132"/>
        <v>0</v>
      </c>
      <c r="I720" s="302">
        <f t="shared" si="133"/>
        <v>0</v>
      </c>
      <c r="J720" s="11"/>
      <c r="K720" s="426">
        <f t="shared" si="142"/>
        <v>2.9176084758041223E-11</v>
      </c>
      <c r="L720" s="10">
        <f t="shared" si="143"/>
        <v>2.9176084758041223E-11</v>
      </c>
      <c r="M720" s="436">
        <f t="shared" si="144"/>
        <v>2.9176084758041223E-11</v>
      </c>
      <c r="N720" s="301">
        <f t="shared" si="134"/>
        <v>2.9176084758041223E-11</v>
      </c>
      <c r="O720" s="302">
        <f t="shared" si="135"/>
        <v>0</v>
      </c>
      <c r="P720" s="436">
        <f t="shared" si="136"/>
        <v>0</v>
      </c>
      <c r="Q720" s="11">
        <f t="shared" si="145"/>
        <v>0</v>
      </c>
      <c r="R720" s="426">
        <f t="shared" si="146"/>
        <v>0</v>
      </c>
      <c r="S720" s="354">
        <f>+Hirdetmény!$AA$46</f>
        <v>0.13400000000000001</v>
      </c>
      <c r="T720" s="302">
        <f t="shared" si="137"/>
        <v>0</v>
      </c>
      <c r="U720" s="302">
        <f t="shared" si="147"/>
        <v>0</v>
      </c>
      <c r="V720" s="302">
        <f t="shared" si="148"/>
        <v>0</v>
      </c>
      <c r="W720" s="302">
        <f t="shared" si="149"/>
        <v>0</v>
      </c>
      <c r="AA720" s="10">
        <f t="shared" si="150"/>
        <v>0</v>
      </c>
      <c r="AB720" s="354">
        <f>+paraméterek!$B$346</f>
        <v>6.4600000000000005E-2</v>
      </c>
      <c r="AC720" s="302">
        <f t="shared" si="138"/>
        <v>0</v>
      </c>
      <c r="AD720" s="302">
        <f t="shared" si="153"/>
        <v>0</v>
      </c>
      <c r="AE720" s="302">
        <f t="shared" si="151"/>
        <v>0</v>
      </c>
      <c r="AF720" s="478">
        <f t="shared" si="139"/>
        <v>0</v>
      </c>
      <c r="AI720" s="543">
        <f t="shared" si="152"/>
        <v>0</v>
      </c>
      <c r="AJ720" s="543"/>
      <c r="AK720" s="300"/>
      <c r="AL720" s="543"/>
      <c r="AM720" s="10"/>
    </row>
    <row r="721" spans="1:39" s="4" customFormat="1" ht="13.8" hidden="1" x14ac:dyDescent="0.25">
      <c r="A721" s="11">
        <v>366</v>
      </c>
      <c r="B721" s="11">
        <f t="shared" si="140"/>
        <v>31</v>
      </c>
      <c r="C721" s="354">
        <f t="shared" si="129"/>
        <v>0</v>
      </c>
      <c r="D721" s="300">
        <f t="shared" si="131"/>
        <v>1.151056494563818E-8</v>
      </c>
      <c r="E721" s="354">
        <f t="shared" si="141"/>
        <v>0.13400000000000001</v>
      </c>
      <c r="F721" s="354">
        <f t="shared" si="130"/>
        <v>0.03</v>
      </c>
      <c r="G721" s="11"/>
      <c r="H721" s="436">
        <f t="shared" si="132"/>
        <v>0</v>
      </c>
      <c r="I721" s="302">
        <f t="shared" si="133"/>
        <v>0</v>
      </c>
      <c r="J721" s="11"/>
      <c r="K721" s="426">
        <f t="shared" si="142"/>
        <v>2.9176084758041223E-11</v>
      </c>
      <c r="L721" s="10">
        <f t="shared" si="143"/>
        <v>2.9176084758041223E-11</v>
      </c>
      <c r="M721" s="436">
        <f t="shared" si="144"/>
        <v>2.9176084758041223E-11</v>
      </c>
      <c r="N721" s="301">
        <f t="shared" si="134"/>
        <v>2.9176084758041223E-11</v>
      </c>
      <c r="O721" s="302">
        <f t="shared" si="135"/>
        <v>0</v>
      </c>
      <c r="P721" s="436">
        <f t="shared" si="136"/>
        <v>0</v>
      </c>
      <c r="Q721" s="11">
        <f t="shared" si="145"/>
        <v>0</v>
      </c>
      <c r="R721" s="426">
        <f t="shared" si="146"/>
        <v>0</v>
      </c>
      <c r="S721" s="354">
        <f>+Hirdetmény!$AA$46</f>
        <v>0.13400000000000001</v>
      </c>
      <c r="T721" s="302">
        <f t="shared" si="137"/>
        <v>0</v>
      </c>
      <c r="U721" s="302">
        <f t="shared" si="147"/>
        <v>0</v>
      </c>
      <c r="V721" s="302">
        <f t="shared" si="148"/>
        <v>0</v>
      </c>
      <c r="W721" s="302">
        <f t="shared" si="149"/>
        <v>0</v>
      </c>
      <c r="AA721" s="10">
        <f t="shared" si="150"/>
        <v>0</v>
      </c>
      <c r="AB721" s="354">
        <f>+paraméterek!$B$346</f>
        <v>6.4600000000000005E-2</v>
      </c>
      <c r="AC721" s="302">
        <f t="shared" si="138"/>
        <v>0</v>
      </c>
      <c r="AD721" s="302">
        <f t="shared" si="153"/>
        <v>0</v>
      </c>
      <c r="AE721" s="302">
        <f t="shared" si="151"/>
        <v>0</v>
      </c>
      <c r="AF721" s="478">
        <f t="shared" si="139"/>
        <v>0</v>
      </c>
      <c r="AI721" s="543">
        <f t="shared" si="152"/>
        <v>0</v>
      </c>
      <c r="AJ721" s="543"/>
      <c r="AK721" s="300"/>
      <c r="AL721" s="543"/>
      <c r="AM721" s="10"/>
    </row>
    <row r="722" spans="1:39" s="4" customFormat="1" ht="13.8" hidden="1" x14ac:dyDescent="0.25">
      <c r="A722" s="11">
        <v>367</v>
      </c>
      <c r="B722" s="11">
        <f t="shared" si="140"/>
        <v>31</v>
      </c>
      <c r="C722" s="354">
        <f t="shared" si="129"/>
        <v>0</v>
      </c>
      <c r="D722" s="300">
        <f t="shared" si="131"/>
        <v>1.151056494563818E-8</v>
      </c>
      <c r="E722" s="354">
        <f t="shared" si="141"/>
        <v>0.13400000000000001</v>
      </c>
      <c r="F722" s="354">
        <f t="shared" si="130"/>
        <v>0.03</v>
      </c>
      <c r="G722" s="11"/>
      <c r="H722" s="436">
        <f t="shared" si="132"/>
        <v>0</v>
      </c>
      <c r="I722" s="302">
        <f t="shared" si="133"/>
        <v>0</v>
      </c>
      <c r="J722" s="11"/>
      <c r="K722" s="426">
        <f t="shared" si="142"/>
        <v>2.9176084758041223E-11</v>
      </c>
      <c r="L722" s="10">
        <f t="shared" si="143"/>
        <v>2.9176084758041223E-11</v>
      </c>
      <c r="M722" s="436">
        <f t="shared" si="144"/>
        <v>2.9176084758041223E-11</v>
      </c>
      <c r="N722" s="301">
        <f t="shared" si="134"/>
        <v>2.9176084758041223E-11</v>
      </c>
      <c r="O722" s="302">
        <f t="shared" si="135"/>
        <v>0</v>
      </c>
      <c r="P722" s="436">
        <f t="shared" si="136"/>
        <v>0</v>
      </c>
      <c r="Q722" s="11">
        <f t="shared" si="145"/>
        <v>0</v>
      </c>
      <c r="R722" s="426">
        <f t="shared" si="146"/>
        <v>0</v>
      </c>
      <c r="S722" s="354">
        <f>+Hirdetmény!$AA$46</f>
        <v>0.13400000000000001</v>
      </c>
      <c r="T722" s="302">
        <f t="shared" si="137"/>
        <v>0</v>
      </c>
      <c r="U722" s="302">
        <f t="shared" si="147"/>
        <v>0</v>
      </c>
      <c r="V722" s="302">
        <f t="shared" si="148"/>
        <v>0</v>
      </c>
      <c r="W722" s="302">
        <f t="shared" si="149"/>
        <v>0</v>
      </c>
      <c r="AA722" s="10">
        <f t="shared" si="150"/>
        <v>0</v>
      </c>
      <c r="AB722" s="354">
        <f>+paraméterek!$B$346</f>
        <v>6.4600000000000005E-2</v>
      </c>
      <c r="AC722" s="302">
        <f t="shared" si="138"/>
        <v>0</v>
      </c>
      <c r="AD722" s="302">
        <f t="shared" si="153"/>
        <v>0</v>
      </c>
      <c r="AE722" s="302">
        <f t="shared" si="151"/>
        <v>0</v>
      </c>
      <c r="AF722" s="478">
        <f t="shared" si="139"/>
        <v>0</v>
      </c>
      <c r="AI722" s="543">
        <f t="shared" si="152"/>
        <v>0</v>
      </c>
      <c r="AJ722" s="543"/>
      <c r="AK722" s="300"/>
      <c r="AL722" s="543"/>
      <c r="AM722" s="10"/>
    </row>
    <row r="723" spans="1:39" s="4" customFormat="1" ht="13.8" hidden="1" x14ac:dyDescent="0.25">
      <c r="A723" s="11">
        <v>368</v>
      </c>
      <c r="B723" s="11">
        <f t="shared" si="140"/>
        <v>31</v>
      </c>
      <c r="C723" s="354">
        <f t="shared" si="129"/>
        <v>0</v>
      </c>
      <c r="D723" s="300">
        <f t="shared" si="131"/>
        <v>1.151056494563818E-8</v>
      </c>
      <c r="E723" s="354">
        <f t="shared" si="141"/>
        <v>0.13400000000000001</v>
      </c>
      <c r="F723" s="354">
        <f t="shared" si="130"/>
        <v>0.03</v>
      </c>
      <c r="G723" s="11"/>
      <c r="H723" s="436">
        <f t="shared" si="132"/>
        <v>0</v>
      </c>
      <c r="I723" s="302">
        <f t="shared" si="133"/>
        <v>0</v>
      </c>
      <c r="J723" s="11"/>
      <c r="K723" s="426">
        <f t="shared" si="142"/>
        <v>2.9176084758041223E-11</v>
      </c>
      <c r="L723" s="10">
        <f t="shared" si="143"/>
        <v>2.9176084758041223E-11</v>
      </c>
      <c r="M723" s="436">
        <f t="shared" si="144"/>
        <v>2.9176084758041223E-11</v>
      </c>
      <c r="N723" s="301">
        <f t="shared" si="134"/>
        <v>2.9176084758041223E-11</v>
      </c>
      <c r="O723" s="302">
        <f t="shared" si="135"/>
        <v>0</v>
      </c>
      <c r="P723" s="436">
        <f t="shared" si="136"/>
        <v>0</v>
      </c>
      <c r="Q723" s="11">
        <f t="shared" si="145"/>
        <v>0</v>
      </c>
      <c r="R723" s="426">
        <f t="shared" si="146"/>
        <v>0</v>
      </c>
      <c r="S723" s="354">
        <f>+Hirdetmény!$AA$46</f>
        <v>0.13400000000000001</v>
      </c>
      <c r="T723" s="302">
        <f t="shared" si="137"/>
        <v>0</v>
      </c>
      <c r="U723" s="302">
        <f t="shared" si="147"/>
        <v>0</v>
      </c>
      <c r="V723" s="302">
        <f t="shared" si="148"/>
        <v>0</v>
      </c>
      <c r="W723" s="302">
        <f t="shared" si="149"/>
        <v>0</v>
      </c>
      <c r="AA723" s="10">
        <f t="shared" si="150"/>
        <v>0</v>
      </c>
      <c r="AB723" s="354">
        <f>+paraméterek!$B$346</f>
        <v>6.4600000000000005E-2</v>
      </c>
      <c r="AC723" s="302">
        <f t="shared" si="138"/>
        <v>0</v>
      </c>
      <c r="AD723" s="302">
        <f t="shared" si="153"/>
        <v>0</v>
      </c>
      <c r="AE723" s="302">
        <f t="shared" si="151"/>
        <v>0</v>
      </c>
      <c r="AF723" s="478">
        <f t="shared" si="139"/>
        <v>0</v>
      </c>
      <c r="AI723" s="543">
        <f t="shared" si="152"/>
        <v>0</v>
      </c>
      <c r="AJ723" s="543"/>
      <c r="AK723" s="300"/>
      <c r="AL723" s="543"/>
      <c r="AM723" s="10"/>
    </row>
    <row r="724" spans="1:39" s="4" customFormat="1" ht="13.8" hidden="1" x14ac:dyDescent="0.25">
      <c r="A724" s="11">
        <v>369</v>
      </c>
      <c r="B724" s="11">
        <f t="shared" si="140"/>
        <v>31</v>
      </c>
      <c r="C724" s="354">
        <f t="shared" si="129"/>
        <v>0</v>
      </c>
      <c r="D724" s="300">
        <f t="shared" si="131"/>
        <v>1.151056494563818E-8</v>
      </c>
      <c r="E724" s="354">
        <f t="shared" si="141"/>
        <v>0.13400000000000001</v>
      </c>
      <c r="F724" s="354">
        <f t="shared" si="130"/>
        <v>0.03</v>
      </c>
      <c r="G724" s="11"/>
      <c r="H724" s="436">
        <f t="shared" si="132"/>
        <v>0</v>
      </c>
      <c r="I724" s="302">
        <f t="shared" si="133"/>
        <v>0</v>
      </c>
      <c r="J724" s="11"/>
      <c r="K724" s="426">
        <f t="shared" si="142"/>
        <v>2.9176084758041223E-11</v>
      </c>
      <c r="L724" s="10">
        <f t="shared" si="143"/>
        <v>2.9176084758041223E-11</v>
      </c>
      <c r="M724" s="436">
        <f t="shared" si="144"/>
        <v>2.9176084758041223E-11</v>
      </c>
      <c r="N724" s="301">
        <f t="shared" si="134"/>
        <v>2.9176084758041223E-11</v>
      </c>
      <c r="O724" s="302">
        <f t="shared" si="135"/>
        <v>0</v>
      </c>
      <c r="P724" s="436">
        <f t="shared" si="136"/>
        <v>0</v>
      </c>
      <c r="Q724" s="11">
        <f t="shared" si="145"/>
        <v>0</v>
      </c>
      <c r="R724" s="426">
        <f t="shared" si="146"/>
        <v>0</v>
      </c>
      <c r="S724" s="354">
        <f>+Hirdetmény!$AA$46</f>
        <v>0.13400000000000001</v>
      </c>
      <c r="T724" s="302">
        <f t="shared" si="137"/>
        <v>0</v>
      </c>
      <c r="U724" s="302">
        <f t="shared" si="147"/>
        <v>0</v>
      </c>
      <c r="V724" s="302">
        <f t="shared" si="148"/>
        <v>0</v>
      </c>
      <c r="W724" s="302">
        <f t="shared" si="149"/>
        <v>0</v>
      </c>
      <c r="AA724" s="10">
        <f t="shared" si="150"/>
        <v>0</v>
      </c>
      <c r="AB724" s="354">
        <f>+paraméterek!$B$346</f>
        <v>6.4600000000000005E-2</v>
      </c>
      <c r="AC724" s="302">
        <f t="shared" si="138"/>
        <v>0</v>
      </c>
      <c r="AD724" s="302">
        <f t="shared" si="153"/>
        <v>0</v>
      </c>
      <c r="AE724" s="302">
        <f t="shared" si="151"/>
        <v>0</v>
      </c>
      <c r="AF724" s="478">
        <f t="shared" si="139"/>
        <v>0</v>
      </c>
      <c r="AI724" s="543">
        <f t="shared" si="152"/>
        <v>0</v>
      </c>
      <c r="AJ724" s="543"/>
      <c r="AK724" s="300"/>
      <c r="AL724" s="543"/>
      <c r="AM724" s="10"/>
    </row>
    <row r="725" spans="1:39" s="4" customFormat="1" ht="13.8" hidden="1" x14ac:dyDescent="0.25">
      <c r="A725" s="11">
        <v>370</v>
      </c>
      <c r="B725" s="11">
        <f t="shared" si="140"/>
        <v>31</v>
      </c>
      <c r="C725" s="354">
        <f t="shared" si="129"/>
        <v>0</v>
      </c>
      <c r="D725" s="300">
        <f t="shared" si="131"/>
        <v>1.151056494563818E-8</v>
      </c>
      <c r="E725" s="354">
        <f t="shared" si="141"/>
        <v>0.13400000000000001</v>
      </c>
      <c r="F725" s="354">
        <f t="shared" si="130"/>
        <v>0.03</v>
      </c>
      <c r="G725" s="11"/>
      <c r="H725" s="436">
        <f t="shared" si="132"/>
        <v>0</v>
      </c>
      <c r="I725" s="302">
        <f t="shared" si="133"/>
        <v>0</v>
      </c>
      <c r="J725" s="11"/>
      <c r="K725" s="426">
        <f t="shared" si="142"/>
        <v>2.9176084758041223E-11</v>
      </c>
      <c r="L725" s="10">
        <f t="shared" si="143"/>
        <v>2.9176084758041223E-11</v>
      </c>
      <c r="M725" s="436">
        <f t="shared" si="144"/>
        <v>2.9176084758041223E-11</v>
      </c>
      <c r="N725" s="301">
        <f t="shared" si="134"/>
        <v>2.9176084758041223E-11</v>
      </c>
      <c r="O725" s="302">
        <f t="shared" si="135"/>
        <v>0</v>
      </c>
      <c r="P725" s="436">
        <f t="shared" si="136"/>
        <v>0</v>
      </c>
      <c r="Q725" s="11">
        <f t="shared" si="145"/>
        <v>0</v>
      </c>
      <c r="R725" s="426">
        <f t="shared" si="146"/>
        <v>0</v>
      </c>
      <c r="S725" s="354">
        <f>+Hirdetmény!$AA$46</f>
        <v>0.13400000000000001</v>
      </c>
      <c r="T725" s="302">
        <f t="shared" si="137"/>
        <v>0</v>
      </c>
      <c r="U725" s="302">
        <f t="shared" si="147"/>
        <v>0</v>
      </c>
      <c r="V725" s="302">
        <f t="shared" si="148"/>
        <v>0</v>
      </c>
      <c r="W725" s="302">
        <f t="shared" si="149"/>
        <v>0</v>
      </c>
      <c r="AA725" s="10">
        <f t="shared" si="150"/>
        <v>0</v>
      </c>
      <c r="AB725" s="354">
        <f>+paraméterek!$B$346</f>
        <v>6.4600000000000005E-2</v>
      </c>
      <c r="AC725" s="302">
        <f t="shared" si="138"/>
        <v>0</v>
      </c>
      <c r="AD725" s="302">
        <f t="shared" si="153"/>
        <v>0</v>
      </c>
      <c r="AE725" s="302">
        <f t="shared" si="151"/>
        <v>0</v>
      </c>
      <c r="AF725" s="478">
        <f t="shared" si="139"/>
        <v>0</v>
      </c>
      <c r="AI725" s="543">
        <f t="shared" si="152"/>
        <v>0</v>
      </c>
      <c r="AJ725" s="543"/>
      <c r="AK725" s="300"/>
      <c r="AL725" s="543"/>
      <c r="AM725" s="10"/>
    </row>
    <row r="726" spans="1:39" s="4" customFormat="1" ht="13.8" hidden="1" x14ac:dyDescent="0.25">
      <c r="A726" s="11">
        <v>371</v>
      </c>
      <c r="B726" s="11">
        <f t="shared" si="140"/>
        <v>31</v>
      </c>
      <c r="C726" s="354">
        <f t="shared" si="129"/>
        <v>0</v>
      </c>
      <c r="D726" s="300">
        <f t="shared" si="131"/>
        <v>1.151056494563818E-8</v>
      </c>
      <c r="E726" s="354">
        <f t="shared" si="141"/>
        <v>0.13400000000000001</v>
      </c>
      <c r="F726" s="354">
        <f t="shared" si="130"/>
        <v>0.03</v>
      </c>
      <c r="G726" s="11"/>
      <c r="H726" s="436">
        <f t="shared" si="132"/>
        <v>0</v>
      </c>
      <c r="I726" s="302">
        <f t="shared" si="133"/>
        <v>0</v>
      </c>
      <c r="J726" s="11"/>
      <c r="K726" s="426">
        <f t="shared" si="142"/>
        <v>2.9176084758041223E-11</v>
      </c>
      <c r="L726" s="10">
        <f t="shared" si="143"/>
        <v>2.9176084758041223E-11</v>
      </c>
      <c r="M726" s="436">
        <f t="shared" si="144"/>
        <v>2.9176084758041223E-11</v>
      </c>
      <c r="N726" s="301">
        <f t="shared" si="134"/>
        <v>2.9176084758041223E-11</v>
      </c>
      <c r="O726" s="302">
        <f t="shared" si="135"/>
        <v>0</v>
      </c>
      <c r="P726" s="436">
        <f t="shared" si="136"/>
        <v>0</v>
      </c>
      <c r="Q726" s="11">
        <f t="shared" si="145"/>
        <v>0</v>
      </c>
      <c r="R726" s="426">
        <f t="shared" si="146"/>
        <v>0</v>
      </c>
      <c r="S726" s="354">
        <f>+Hirdetmény!$AA$46</f>
        <v>0.13400000000000001</v>
      </c>
      <c r="T726" s="302">
        <f t="shared" si="137"/>
        <v>0</v>
      </c>
      <c r="U726" s="302">
        <f t="shared" si="147"/>
        <v>0</v>
      </c>
      <c r="V726" s="302">
        <f t="shared" si="148"/>
        <v>0</v>
      </c>
      <c r="W726" s="302">
        <f t="shared" si="149"/>
        <v>0</v>
      </c>
      <c r="AA726" s="10">
        <f t="shared" si="150"/>
        <v>0</v>
      </c>
      <c r="AB726" s="354">
        <f>+paraméterek!$B$346</f>
        <v>6.4600000000000005E-2</v>
      </c>
      <c r="AC726" s="302">
        <f t="shared" si="138"/>
        <v>0</v>
      </c>
      <c r="AD726" s="302">
        <f t="shared" si="153"/>
        <v>0</v>
      </c>
      <c r="AE726" s="302">
        <f t="shared" si="151"/>
        <v>0</v>
      </c>
      <c r="AF726" s="478">
        <f t="shared" si="139"/>
        <v>0</v>
      </c>
      <c r="AI726" s="543">
        <f t="shared" si="152"/>
        <v>0</v>
      </c>
      <c r="AJ726" s="543"/>
      <c r="AK726" s="300"/>
      <c r="AL726" s="543"/>
      <c r="AM726" s="10"/>
    </row>
    <row r="727" spans="1:39" s="4" customFormat="1" ht="13.8" hidden="1" x14ac:dyDescent="0.25">
      <c r="A727" s="11">
        <v>372</v>
      </c>
      <c r="B727" s="11">
        <f t="shared" si="140"/>
        <v>31</v>
      </c>
      <c r="C727" s="354">
        <f t="shared" si="129"/>
        <v>0</v>
      </c>
      <c r="D727" s="300">
        <f t="shared" si="131"/>
        <v>1.151056494563818E-8</v>
      </c>
      <c r="E727" s="354">
        <f t="shared" si="141"/>
        <v>0.13400000000000001</v>
      </c>
      <c r="F727" s="354">
        <f t="shared" si="130"/>
        <v>0.03</v>
      </c>
      <c r="G727" s="11"/>
      <c r="H727" s="436">
        <f t="shared" si="132"/>
        <v>0</v>
      </c>
      <c r="I727" s="302">
        <f t="shared" si="133"/>
        <v>0</v>
      </c>
      <c r="J727" s="11"/>
      <c r="K727" s="426">
        <f t="shared" si="142"/>
        <v>2.9176084758041223E-11</v>
      </c>
      <c r="L727" s="10">
        <f t="shared" si="143"/>
        <v>2.9176084758041223E-11</v>
      </c>
      <c r="M727" s="436">
        <f t="shared" si="144"/>
        <v>2.9176084758041223E-11</v>
      </c>
      <c r="N727" s="301">
        <f t="shared" si="134"/>
        <v>2.9176084758041223E-11</v>
      </c>
      <c r="O727" s="302">
        <f t="shared" si="135"/>
        <v>0</v>
      </c>
      <c r="P727" s="436">
        <f t="shared" si="136"/>
        <v>0</v>
      </c>
      <c r="Q727" s="11">
        <f t="shared" si="145"/>
        <v>0</v>
      </c>
      <c r="R727" s="426">
        <f t="shared" si="146"/>
        <v>0</v>
      </c>
      <c r="S727" s="354">
        <f>+Hirdetmény!$AA$46</f>
        <v>0.13400000000000001</v>
      </c>
      <c r="T727" s="302">
        <f t="shared" si="137"/>
        <v>0</v>
      </c>
      <c r="U727" s="302">
        <f t="shared" si="147"/>
        <v>0</v>
      </c>
      <c r="V727" s="302">
        <f t="shared" si="148"/>
        <v>0</v>
      </c>
      <c r="W727" s="302">
        <f t="shared" si="149"/>
        <v>0</v>
      </c>
      <c r="AA727" s="10">
        <f t="shared" si="150"/>
        <v>0</v>
      </c>
      <c r="AB727" s="354">
        <f>+paraméterek!$B$346</f>
        <v>6.4600000000000005E-2</v>
      </c>
      <c r="AC727" s="302">
        <f t="shared" si="138"/>
        <v>0</v>
      </c>
      <c r="AD727" s="302">
        <f t="shared" si="153"/>
        <v>0</v>
      </c>
      <c r="AE727" s="302">
        <f t="shared" si="151"/>
        <v>0</v>
      </c>
      <c r="AF727" s="478">
        <f t="shared" si="139"/>
        <v>0</v>
      </c>
      <c r="AI727" s="543">
        <f t="shared" si="152"/>
        <v>0</v>
      </c>
      <c r="AJ727" s="543"/>
      <c r="AK727" s="300"/>
      <c r="AL727" s="543"/>
      <c r="AM727" s="10"/>
    </row>
    <row r="728" spans="1:39" s="4" customFormat="1" ht="13.8" hidden="1" x14ac:dyDescent="0.25">
      <c r="A728" s="11">
        <v>373</v>
      </c>
      <c r="B728" s="11">
        <f t="shared" si="140"/>
        <v>32</v>
      </c>
      <c r="C728" s="354">
        <f t="shared" si="129"/>
        <v>0</v>
      </c>
      <c r="D728" s="300">
        <f t="shared" si="131"/>
        <v>1.151056494563818E-8</v>
      </c>
      <c r="E728" s="354">
        <f t="shared" si="141"/>
        <v>0.13400000000000001</v>
      </c>
      <c r="F728" s="354">
        <f t="shared" si="130"/>
        <v>0.03</v>
      </c>
      <c r="G728" s="11"/>
      <c r="H728" s="436">
        <f t="shared" si="132"/>
        <v>0</v>
      </c>
      <c r="I728" s="302">
        <f t="shared" si="133"/>
        <v>0</v>
      </c>
      <c r="J728" s="11"/>
      <c r="K728" s="426">
        <f t="shared" si="142"/>
        <v>2.9176084758041223E-11</v>
      </c>
      <c r="L728" s="10">
        <f t="shared" si="143"/>
        <v>2.9176084758041223E-11</v>
      </c>
      <c r="M728" s="436">
        <f t="shared" si="144"/>
        <v>2.9176084758041223E-11</v>
      </c>
      <c r="N728" s="301">
        <f t="shared" si="134"/>
        <v>2.9176084758041223E-11</v>
      </c>
      <c r="O728" s="302">
        <f t="shared" si="135"/>
        <v>0</v>
      </c>
      <c r="P728" s="436">
        <f t="shared" si="136"/>
        <v>0</v>
      </c>
      <c r="Q728" s="11">
        <f t="shared" si="145"/>
        <v>0</v>
      </c>
      <c r="R728" s="426">
        <f t="shared" si="146"/>
        <v>0</v>
      </c>
      <c r="S728" s="354">
        <f>+Hirdetmény!$AA$46</f>
        <v>0.13400000000000001</v>
      </c>
      <c r="T728" s="302">
        <f t="shared" si="137"/>
        <v>0</v>
      </c>
      <c r="U728" s="302">
        <f t="shared" si="147"/>
        <v>0</v>
      </c>
      <c r="V728" s="302">
        <f t="shared" si="148"/>
        <v>0</v>
      </c>
      <c r="W728" s="302">
        <f t="shared" si="149"/>
        <v>0</v>
      </c>
      <c r="AA728" s="10">
        <f t="shared" si="150"/>
        <v>0</v>
      </c>
      <c r="AB728" s="354">
        <f>+paraméterek!$B$346</f>
        <v>6.4600000000000005E-2</v>
      </c>
      <c r="AC728" s="302">
        <f t="shared" si="138"/>
        <v>0</v>
      </c>
      <c r="AD728" s="302">
        <f t="shared" si="153"/>
        <v>0</v>
      </c>
      <c r="AE728" s="302">
        <f t="shared" si="151"/>
        <v>0</v>
      </c>
      <c r="AF728" s="478">
        <f t="shared" si="139"/>
        <v>0</v>
      </c>
      <c r="AI728" s="543">
        <f t="shared" si="152"/>
        <v>0</v>
      </c>
      <c r="AJ728" s="543"/>
      <c r="AK728" s="300"/>
      <c r="AL728" s="543"/>
      <c r="AM728" s="10"/>
    </row>
    <row r="729" spans="1:39" s="4" customFormat="1" ht="13.8" hidden="1" x14ac:dyDescent="0.25">
      <c r="A729" s="11">
        <v>374</v>
      </c>
      <c r="B729" s="11">
        <f t="shared" si="140"/>
        <v>32</v>
      </c>
      <c r="C729" s="354">
        <f t="shared" si="129"/>
        <v>0</v>
      </c>
      <c r="D729" s="300">
        <f t="shared" si="131"/>
        <v>1.151056494563818E-8</v>
      </c>
      <c r="E729" s="354">
        <f t="shared" si="141"/>
        <v>0.13400000000000001</v>
      </c>
      <c r="F729" s="354">
        <f t="shared" si="130"/>
        <v>0.03</v>
      </c>
      <c r="G729" s="11"/>
      <c r="H729" s="436">
        <f t="shared" si="132"/>
        <v>0</v>
      </c>
      <c r="I729" s="302">
        <f t="shared" si="133"/>
        <v>0</v>
      </c>
      <c r="J729" s="11"/>
      <c r="K729" s="426">
        <f t="shared" si="142"/>
        <v>2.9176084758041223E-11</v>
      </c>
      <c r="L729" s="10">
        <f t="shared" si="143"/>
        <v>2.9176084758041223E-11</v>
      </c>
      <c r="M729" s="436">
        <f t="shared" si="144"/>
        <v>2.9176084758041223E-11</v>
      </c>
      <c r="N729" s="301">
        <f t="shared" si="134"/>
        <v>2.9176084758041223E-11</v>
      </c>
      <c r="O729" s="302">
        <f t="shared" si="135"/>
        <v>0</v>
      </c>
      <c r="P729" s="436">
        <f t="shared" si="136"/>
        <v>0</v>
      </c>
      <c r="Q729" s="11">
        <f t="shared" si="145"/>
        <v>0</v>
      </c>
      <c r="R729" s="426">
        <f t="shared" si="146"/>
        <v>0</v>
      </c>
      <c r="S729" s="354">
        <f>+Hirdetmény!$AA$46</f>
        <v>0.13400000000000001</v>
      </c>
      <c r="T729" s="302">
        <f t="shared" si="137"/>
        <v>0</v>
      </c>
      <c r="U729" s="302">
        <f t="shared" si="147"/>
        <v>0</v>
      </c>
      <c r="V729" s="302">
        <f t="shared" si="148"/>
        <v>0</v>
      </c>
      <c r="W729" s="302">
        <f t="shared" si="149"/>
        <v>0</v>
      </c>
      <c r="AA729" s="10">
        <f t="shared" si="150"/>
        <v>0</v>
      </c>
      <c r="AB729" s="354">
        <f>+paraméterek!$B$346</f>
        <v>6.4600000000000005E-2</v>
      </c>
      <c r="AC729" s="302">
        <f t="shared" si="138"/>
        <v>0</v>
      </c>
      <c r="AD729" s="302">
        <f t="shared" si="153"/>
        <v>0</v>
      </c>
      <c r="AE729" s="302">
        <f t="shared" si="151"/>
        <v>0</v>
      </c>
      <c r="AF729" s="478">
        <f t="shared" si="139"/>
        <v>0</v>
      </c>
      <c r="AI729" s="543">
        <f t="shared" si="152"/>
        <v>0</v>
      </c>
      <c r="AJ729" s="543"/>
      <c r="AK729" s="300"/>
      <c r="AL729" s="543"/>
      <c r="AM729" s="10"/>
    </row>
    <row r="730" spans="1:39" s="4" customFormat="1" ht="13.8" hidden="1" x14ac:dyDescent="0.25">
      <c r="A730" s="11">
        <v>375</v>
      </c>
      <c r="B730" s="11">
        <f t="shared" si="140"/>
        <v>32</v>
      </c>
      <c r="C730" s="354">
        <f t="shared" si="129"/>
        <v>0</v>
      </c>
      <c r="D730" s="300">
        <f t="shared" si="131"/>
        <v>1.151056494563818E-8</v>
      </c>
      <c r="E730" s="354">
        <f t="shared" si="141"/>
        <v>0.13400000000000001</v>
      </c>
      <c r="F730" s="354">
        <f t="shared" si="130"/>
        <v>0.03</v>
      </c>
      <c r="G730" s="11"/>
      <c r="H730" s="436">
        <f t="shared" si="132"/>
        <v>0</v>
      </c>
      <c r="I730" s="302">
        <f t="shared" si="133"/>
        <v>0</v>
      </c>
      <c r="J730" s="11"/>
      <c r="K730" s="426">
        <f t="shared" si="142"/>
        <v>2.9176084758041223E-11</v>
      </c>
      <c r="L730" s="10">
        <f t="shared" si="143"/>
        <v>2.9176084758041223E-11</v>
      </c>
      <c r="M730" s="436">
        <f t="shared" si="144"/>
        <v>2.9176084758041223E-11</v>
      </c>
      <c r="N730" s="301">
        <f t="shared" si="134"/>
        <v>2.9176084758041223E-11</v>
      </c>
      <c r="O730" s="302">
        <f t="shared" si="135"/>
        <v>0</v>
      </c>
      <c r="P730" s="436">
        <f t="shared" si="136"/>
        <v>0</v>
      </c>
      <c r="Q730" s="11">
        <f t="shared" si="145"/>
        <v>0</v>
      </c>
      <c r="R730" s="426">
        <f t="shared" si="146"/>
        <v>0</v>
      </c>
      <c r="S730" s="354">
        <f>+Hirdetmény!$AA$46</f>
        <v>0.13400000000000001</v>
      </c>
      <c r="T730" s="302">
        <f t="shared" si="137"/>
        <v>0</v>
      </c>
      <c r="U730" s="302">
        <f t="shared" si="147"/>
        <v>0</v>
      </c>
      <c r="V730" s="302">
        <f t="shared" si="148"/>
        <v>0</v>
      </c>
      <c r="W730" s="302">
        <f t="shared" si="149"/>
        <v>0</v>
      </c>
      <c r="AA730" s="10">
        <f t="shared" si="150"/>
        <v>0</v>
      </c>
      <c r="AB730" s="354">
        <f>+paraméterek!$B$346</f>
        <v>6.4600000000000005E-2</v>
      </c>
      <c r="AC730" s="302">
        <f t="shared" si="138"/>
        <v>0</v>
      </c>
      <c r="AD730" s="302">
        <f t="shared" si="153"/>
        <v>0</v>
      </c>
      <c r="AE730" s="302">
        <f t="shared" si="151"/>
        <v>0</v>
      </c>
      <c r="AF730" s="478">
        <f t="shared" si="139"/>
        <v>0</v>
      </c>
      <c r="AI730" s="543">
        <f t="shared" si="152"/>
        <v>0</v>
      </c>
      <c r="AJ730" s="543"/>
      <c r="AK730" s="300"/>
      <c r="AL730" s="543"/>
      <c r="AM730" s="10"/>
    </row>
    <row r="731" spans="1:39" s="4" customFormat="1" ht="13.8" hidden="1" x14ac:dyDescent="0.25">
      <c r="A731" s="11">
        <v>376</v>
      </c>
      <c r="B731" s="11">
        <f t="shared" si="140"/>
        <v>32</v>
      </c>
      <c r="C731" s="354">
        <f t="shared" si="129"/>
        <v>0</v>
      </c>
      <c r="D731" s="300">
        <f t="shared" si="131"/>
        <v>1.151056494563818E-8</v>
      </c>
      <c r="E731" s="354">
        <f t="shared" si="141"/>
        <v>0.13400000000000001</v>
      </c>
      <c r="F731" s="354">
        <f t="shared" si="130"/>
        <v>0.03</v>
      </c>
      <c r="G731" s="11"/>
      <c r="H731" s="436">
        <f t="shared" si="132"/>
        <v>0</v>
      </c>
      <c r="I731" s="302">
        <f t="shared" si="133"/>
        <v>0</v>
      </c>
      <c r="J731" s="11"/>
      <c r="K731" s="426">
        <f t="shared" si="142"/>
        <v>2.9176084758041223E-11</v>
      </c>
      <c r="L731" s="10">
        <f t="shared" si="143"/>
        <v>2.9176084758041223E-11</v>
      </c>
      <c r="M731" s="436">
        <f t="shared" si="144"/>
        <v>2.9176084758041223E-11</v>
      </c>
      <c r="N731" s="301">
        <f t="shared" si="134"/>
        <v>2.9176084758041223E-11</v>
      </c>
      <c r="O731" s="302">
        <f t="shared" si="135"/>
        <v>0</v>
      </c>
      <c r="P731" s="436">
        <f t="shared" si="136"/>
        <v>0</v>
      </c>
      <c r="Q731" s="11">
        <f t="shared" si="145"/>
        <v>0</v>
      </c>
      <c r="R731" s="426">
        <f t="shared" si="146"/>
        <v>0</v>
      </c>
      <c r="S731" s="354">
        <f>+Hirdetmény!$AA$46</f>
        <v>0.13400000000000001</v>
      </c>
      <c r="T731" s="302">
        <f t="shared" si="137"/>
        <v>0</v>
      </c>
      <c r="U731" s="302">
        <f t="shared" si="147"/>
        <v>0</v>
      </c>
      <c r="V731" s="302">
        <f t="shared" si="148"/>
        <v>0</v>
      </c>
      <c r="W731" s="302">
        <f t="shared" si="149"/>
        <v>0</v>
      </c>
      <c r="AA731" s="10">
        <f t="shared" si="150"/>
        <v>0</v>
      </c>
      <c r="AB731" s="354">
        <f>+paraméterek!$B$346</f>
        <v>6.4600000000000005E-2</v>
      </c>
      <c r="AC731" s="302">
        <f t="shared" si="138"/>
        <v>0</v>
      </c>
      <c r="AD731" s="302">
        <f t="shared" si="153"/>
        <v>0</v>
      </c>
      <c r="AE731" s="302">
        <f t="shared" si="151"/>
        <v>0</v>
      </c>
      <c r="AF731" s="478">
        <f t="shared" si="139"/>
        <v>0</v>
      </c>
      <c r="AI731" s="543">
        <f t="shared" si="152"/>
        <v>0</v>
      </c>
      <c r="AJ731" s="543"/>
      <c r="AK731" s="300"/>
      <c r="AL731" s="543"/>
      <c r="AM731" s="10"/>
    </row>
    <row r="732" spans="1:39" s="4" customFormat="1" ht="13.8" hidden="1" x14ac:dyDescent="0.25">
      <c r="A732" s="11">
        <v>377</v>
      </c>
      <c r="B732" s="11">
        <f t="shared" si="140"/>
        <v>32</v>
      </c>
      <c r="C732" s="354">
        <f t="shared" si="129"/>
        <v>0</v>
      </c>
      <c r="D732" s="300">
        <f t="shared" si="131"/>
        <v>1.151056494563818E-8</v>
      </c>
      <c r="E732" s="354">
        <f t="shared" si="141"/>
        <v>0.13400000000000001</v>
      </c>
      <c r="F732" s="354">
        <f t="shared" si="130"/>
        <v>0.03</v>
      </c>
      <c r="G732" s="11"/>
      <c r="H732" s="436">
        <f t="shared" si="132"/>
        <v>0</v>
      </c>
      <c r="I732" s="302">
        <f t="shared" si="133"/>
        <v>0</v>
      </c>
      <c r="J732" s="11"/>
      <c r="K732" s="426">
        <f t="shared" si="142"/>
        <v>2.9176084758041223E-11</v>
      </c>
      <c r="L732" s="10">
        <f t="shared" si="143"/>
        <v>2.9176084758041223E-11</v>
      </c>
      <c r="M732" s="436">
        <f t="shared" si="144"/>
        <v>2.9176084758041223E-11</v>
      </c>
      <c r="N732" s="301">
        <f t="shared" si="134"/>
        <v>2.9176084758041223E-11</v>
      </c>
      <c r="O732" s="302">
        <f t="shared" si="135"/>
        <v>0</v>
      </c>
      <c r="P732" s="436">
        <f t="shared" si="136"/>
        <v>0</v>
      </c>
      <c r="Q732" s="11">
        <f t="shared" si="145"/>
        <v>0</v>
      </c>
      <c r="R732" s="426">
        <f t="shared" si="146"/>
        <v>0</v>
      </c>
      <c r="S732" s="354">
        <f>+Hirdetmény!$AA$46</f>
        <v>0.13400000000000001</v>
      </c>
      <c r="T732" s="302">
        <f t="shared" si="137"/>
        <v>0</v>
      </c>
      <c r="U732" s="302">
        <f t="shared" si="147"/>
        <v>0</v>
      </c>
      <c r="V732" s="302">
        <f t="shared" si="148"/>
        <v>0</v>
      </c>
      <c r="W732" s="302">
        <f t="shared" si="149"/>
        <v>0</v>
      </c>
      <c r="AA732" s="10">
        <f t="shared" si="150"/>
        <v>0</v>
      </c>
      <c r="AB732" s="354">
        <f>+paraméterek!$B$346</f>
        <v>6.4600000000000005E-2</v>
      </c>
      <c r="AC732" s="302">
        <f t="shared" si="138"/>
        <v>0</v>
      </c>
      <c r="AD732" s="302">
        <f t="shared" si="153"/>
        <v>0</v>
      </c>
      <c r="AE732" s="302">
        <f t="shared" si="151"/>
        <v>0</v>
      </c>
      <c r="AF732" s="478">
        <f t="shared" si="139"/>
        <v>0</v>
      </c>
      <c r="AI732" s="543">
        <f t="shared" si="152"/>
        <v>0</v>
      </c>
      <c r="AJ732" s="543"/>
      <c r="AK732" s="300"/>
      <c r="AL732" s="543"/>
      <c r="AM732" s="10"/>
    </row>
    <row r="733" spans="1:39" s="4" customFormat="1" ht="13.8" hidden="1" x14ac:dyDescent="0.25">
      <c r="A733" s="11">
        <v>378</v>
      </c>
      <c r="B733" s="11">
        <f t="shared" si="140"/>
        <v>32</v>
      </c>
      <c r="C733" s="354">
        <f t="shared" si="129"/>
        <v>0</v>
      </c>
      <c r="D733" s="300">
        <f t="shared" si="131"/>
        <v>1.151056494563818E-8</v>
      </c>
      <c r="E733" s="354">
        <f t="shared" si="141"/>
        <v>0.13400000000000001</v>
      </c>
      <c r="F733" s="354">
        <f t="shared" si="130"/>
        <v>0.03</v>
      </c>
      <c r="G733" s="11"/>
      <c r="H733" s="436">
        <f t="shared" si="132"/>
        <v>0</v>
      </c>
      <c r="I733" s="302">
        <f t="shared" si="133"/>
        <v>0</v>
      </c>
      <c r="J733" s="11"/>
      <c r="K733" s="426">
        <f t="shared" si="142"/>
        <v>2.9176084758041223E-11</v>
      </c>
      <c r="L733" s="10">
        <f t="shared" si="143"/>
        <v>2.9176084758041223E-11</v>
      </c>
      <c r="M733" s="436">
        <f t="shared" si="144"/>
        <v>2.9176084758041223E-11</v>
      </c>
      <c r="N733" s="301">
        <f t="shared" si="134"/>
        <v>2.9176084758041223E-11</v>
      </c>
      <c r="O733" s="302">
        <f t="shared" si="135"/>
        <v>0</v>
      </c>
      <c r="P733" s="436">
        <f t="shared" si="136"/>
        <v>0</v>
      </c>
      <c r="Q733" s="11">
        <f t="shared" si="145"/>
        <v>0</v>
      </c>
      <c r="R733" s="426">
        <f t="shared" si="146"/>
        <v>0</v>
      </c>
      <c r="S733" s="354">
        <f>+Hirdetmény!$AA$46</f>
        <v>0.13400000000000001</v>
      </c>
      <c r="T733" s="302">
        <f t="shared" si="137"/>
        <v>0</v>
      </c>
      <c r="U733" s="302">
        <f t="shared" si="147"/>
        <v>0</v>
      </c>
      <c r="V733" s="302">
        <f t="shared" si="148"/>
        <v>0</v>
      </c>
      <c r="W733" s="302">
        <f t="shared" si="149"/>
        <v>0</v>
      </c>
      <c r="AA733" s="10">
        <f t="shared" si="150"/>
        <v>0</v>
      </c>
      <c r="AB733" s="354">
        <f>+paraméterek!$B$346</f>
        <v>6.4600000000000005E-2</v>
      </c>
      <c r="AC733" s="302">
        <f t="shared" si="138"/>
        <v>0</v>
      </c>
      <c r="AD733" s="302">
        <f t="shared" si="153"/>
        <v>0</v>
      </c>
      <c r="AE733" s="302">
        <f t="shared" si="151"/>
        <v>0</v>
      </c>
      <c r="AF733" s="478">
        <f t="shared" si="139"/>
        <v>0</v>
      </c>
      <c r="AI733" s="543">
        <f t="shared" si="152"/>
        <v>0</v>
      </c>
      <c r="AJ733" s="543"/>
      <c r="AK733" s="300"/>
      <c r="AL733" s="543"/>
      <c r="AM733" s="10"/>
    </row>
    <row r="734" spans="1:39" s="4" customFormat="1" ht="13.8" hidden="1" x14ac:dyDescent="0.25">
      <c r="A734" s="11">
        <v>379</v>
      </c>
      <c r="B734" s="11">
        <f t="shared" si="140"/>
        <v>32</v>
      </c>
      <c r="C734" s="354">
        <f t="shared" si="129"/>
        <v>0</v>
      </c>
      <c r="D734" s="300">
        <f t="shared" si="131"/>
        <v>1.151056494563818E-8</v>
      </c>
      <c r="E734" s="354">
        <f t="shared" si="141"/>
        <v>0.13400000000000001</v>
      </c>
      <c r="F734" s="354">
        <f t="shared" si="130"/>
        <v>0.03</v>
      </c>
      <c r="G734" s="11"/>
      <c r="H734" s="436">
        <f t="shared" si="132"/>
        <v>0</v>
      </c>
      <c r="I734" s="302">
        <f t="shared" si="133"/>
        <v>0</v>
      </c>
      <c r="J734" s="11"/>
      <c r="K734" s="426">
        <f t="shared" si="142"/>
        <v>2.9176084758041223E-11</v>
      </c>
      <c r="L734" s="10">
        <f t="shared" si="143"/>
        <v>2.9176084758041223E-11</v>
      </c>
      <c r="M734" s="436">
        <f t="shared" si="144"/>
        <v>2.9176084758041223E-11</v>
      </c>
      <c r="N734" s="301">
        <f t="shared" si="134"/>
        <v>2.9176084758041223E-11</v>
      </c>
      <c r="O734" s="302">
        <f t="shared" si="135"/>
        <v>0</v>
      </c>
      <c r="P734" s="436">
        <f t="shared" si="136"/>
        <v>0</v>
      </c>
      <c r="Q734" s="11">
        <f t="shared" si="145"/>
        <v>0</v>
      </c>
      <c r="R734" s="426">
        <f t="shared" si="146"/>
        <v>0</v>
      </c>
      <c r="S734" s="354">
        <f>+Hirdetmény!$AA$46</f>
        <v>0.13400000000000001</v>
      </c>
      <c r="T734" s="302">
        <f t="shared" si="137"/>
        <v>0</v>
      </c>
      <c r="U734" s="302">
        <f t="shared" si="147"/>
        <v>0</v>
      </c>
      <c r="V734" s="302">
        <f t="shared" si="148"/>
        <v>0</v>
      </c>
      <c r="W734" s="302">
        <f t="shared" si="149"/>
        <v>0</v>
      </c>
      <c r="AA734" s="10">
        <f t="shared" si="150"/>
        <v>0</v>
      </c>
      <c r="AB734" s="354">
        <f>+paraméterek!$B$346</f>
        <v>6.4600000000000005E-2</v>
      </c>
      <c r="AC734" s="302">
        <f t="shared" si="138"/>
        <v>0</v>
      </c>
      <c r="AD734" s="302">
        <f t="shared" si="153"/>
        <v>0</v>
      </c>
      <c r="AE734" s="302">
        <f t="shared" si="151"/>
        <v>0</v>
      </c>
      <c r="AF734" s="478">
        <f t="shared" si="139"/>
        <v>0</v>
      </c>
      <c r="AI734" s="543">
        <f t="shared" si="152"/>
        <v>0</v>
      </c>
      <c r="AJ734" s="543"/>
      <c r="AK734" s="300"/>
      <c r="AL734" s="543"/>
      <c r="AM734" s="10"/>
    </row>
    <row r="735" spans="1:39" s="4" customFormat="1" ht="13.8" hidden="1" x14ac:dyDescent="0.25">
      <c r="A735" s="11">
        <v>380</v>
      </c>
      <c r="B735" s="11">
        <f t="shared" si="140"/>
        <v>32</v>
      </c>
      <c r="C735" s="354">
        <f t="shared" si="129"/>
        <v>0</v>
      </c>
      <c r="D735" s="300">
        <f t="shared" si="131"/>
        <v>1.151056494563818E-8</v>
      </c>
      <c r="E735" s="354">
        <f t="shared" si="141"/>
        <v>0.13400000000000001</v>
      </c>
      <c r="F735" s="354">
        <f t="shared" si="130"/>
        <v>0.03</v>
      </c>
      <c r="G735" s="11"/>
      <c r="H735" s="436">
        <f t="shared" si="132"/>
        <v>0</v>
      </c>
      <c r="I735" s="302">
        <f t="shared" si="133"/>
        <v>0</v>
      </c>
      <c r="J735" s="11"/>
      <c r="K735" s="426">
        <f t="shared" si="142"/>
        <v>2.9176084758041223E-11</v>
      </c>
      <c r="L735" s="10">
        <f t="shared" si="143"/>
        <v>2.9176084758041223E-11</v>
      </c>
      <c r="M735" s="436">
        <f t="shared" si="144"/>
        <v>2.9176084758041223E-11</v>
      </c>
      <c r="N735" s="301">
        <f t="shared" si="134"/>
        <v>2.9176084758041223E-11</v>
      </c>
      <c r="O735" s="302">
        <f t="shared" si="135"/>
        <v>0</v>
      </c>
      <c r="P735" s="436">
        <f t="shared" si="136"/>
        <v>0</v>
      </c>
      <c r="Q735" s="11">
        <f t="shared" si="145"/>
        <v>0</v>
      </c>
      <c r="R735" s="426">
        <f t="shared" si="146"/>
        <v>0</v>
      </c>
      <c r="S735" s="354">
        <f>+Hirdetmény!$AA$46</f>
        <v>0.13400000000000001</v>
      </c>
      <c r="T735" s="302">
        <f t="shared" si="137"/>
        <v>0</v>
      </c>
      <c r="U735" s="302">
        <f t="shared" si="147"/>
        <v>0</v>
      </c>
      <c r="V735" s="302">
        <f t="shared" si="148"/>
        <v>0</v>
      </c>
      <c r="W735" s="302">
        <f t="shared" si="149"/>
        <v>0</v>
      </c>
      <c r="AA735" s="10">
        <f t="shared" si="150"/>
        <v>0</v>
      </c>
      <c r="AB735" s="354">
        <f>+paraméterek!$B$346</f>
        <v>6.4600000000000005E-2</v>
      </c>
      <c r="AC735" s="302">
        <f t="shared" si="138"/>
        <v>0</v>
      </c>
      <c r="AD735" s="302">
        <f t="shared" si="153"/>
        <v>0</v>
      </c>
      <c r="AE735" s="302">
        <f t="shared" si="151"/>
        <v>0</v>
      </c>
      <c r="AF735" s="478">
        <f t="shared" si="139"/>
        <v>0</v>
      </c>
      <c r="AI735" s="543">
        <f t="shared" si="152"/>
        <v>0</v>
      </c>
      <c r="AJ735" s="543"/>
      <c r="AK735" s="300"/>
      <c r="AL735" s="543"/>
      <c r="AM735" s="10"/>
    </row>
    <row r="736" spans="1:39" s="4" customFormat="1" ht="13.8" hidden="1" x14ac:dyDescent="0.25">
      <c r="A736" s="11">
        <v>381</v>
      </c>
      <c r="B736" s="11">
        <f t="shared" si="140"/>
        <v>32</v>
      </c>
      <c r="C736" s="354">
        <f t="shared" si="129"/>
        <v>0</v>
      </c>
      <c r="D736" s="300">
        <f t="shared" si="131"/>
        <v>1.151056494563818E-8</v>
      </c>
      <c r="E736" s="354">
        <f t="shared" si="141"/>
        <v>0.13400000000000001</v>
      </c>
      <c r="F736" s="354">
        <f t="shared" si="130"/>
        <v>0.03</v>
      </c>
      <c r="G736" s="11"/>
      <c r="H736" s="436">
        <f t="shared" si="132"/>
        <v>0</v>
      </c>
      <c r="I736" s="302">
        <f t="shared" si="133"/>
        <v>0</v>
      </c>
      <c r="J736" s="11"/>
      <c r="K736" s="426">
        <f t="shared" si="142"/>
        <v>2.9176084758041223E-11</v>
      </c>
      <c r="L736" s="10">
        <f t="shared" si="143"/>
        <v>2.9176084758041223E-11</v>
      </c>
      <c r="M736" s="436">
        <f t="shared" si="144"/>
        <v>2.9176084758041223E-11</v>
      </c>
      <c r="N736" s="301">
        <f t="shared" si="134"/>
        <v>2.9176084758041223E-11</v>
      </c>
      <c r="O736" s="302">
        <f t="shared" si="135"/>
        <v>0</v>
      </c>
      <c r="P736" s="436">
        <f t="shared" si="136"/>
        <v>0</v>
      </c>
      <c r="Q736" s="11">
        <f t="shared" si="145"/>
        <v>0</v>
      </c>
      <c r="R736" s="426">
        <f t="shared" si="146"/>
        <v>0</v>
      </c>
      <c r="S736" s="354">
        <f>+Hirdetmény!$AA$46</f>
        <v>0.13400000000000001</v>
      </c>
      <c r="T736" s="302">
        <f t="shared" si="137"/>
        <v>0</v>
      </c>
      <c r="U736" s="302">
        <f t="shared" si="147"/>
        <v>0</v>
      </c>
      <c r="V736" s="302">
        <f t="shared" si="148"/>
        <v>0</v>
      </c>
      <c r="W736" s="302">
        <f t="shared" si="149"/>
        <v>0</v>
      </c>
      <c r="AA736" s="10">
        <f t="shared" si="150"/>
        <v>0</v>
      </c>
      <c r="AB736" s="354">
        <f>+paraméterek!$B$346</f>
        <v>6.4600000000000005E-2</v>
      </c>
      <c r="AC736" s="302">
        <f t="shared" si="138"/>
        <v>0</v>
      </c>
      <c r="AD736" s="302">
        <f t="shared" si="153"/>
        <v>0</v>
      </c>
      <c r="AE736" s="302">
        <f t="shared" si="151"/>
        <v>0</v>
      </c>
      <c r="AF736" s="478">
        <f t="shared" si="139"/>
        <v>0</v>
      </c>
      <c r="AI736" s="543">
        <f t="shared" si="152"/>
        <v>0</v>
      </c>
      <c r="AJ736" s="543"/>
      <c r="AK736" s="300"/>
      <c r="AL736" s="543"/>
      <c r="AM736" s="10"/>
    </row>
    <row r="737" spans="1:39" s="4" customFormat="1" ht="13.8" hidden="1" x14ac:dyDescent="0.25">
      <c r="A737" s="11">
        <v>382</v>
      </c>
      <c r="B737" s="11">
        <f t="shared" si="140"/>
        <v>32</v>
      </c>
      <c r="C737" s="354">
        <f t="shared" si="129"/>
        <v>0</v>
      </c>
      <c r="D737" s="300">
        <f t="shared" si="131"/>
        <v>1.151056494563818E-8</v>
      </c>
      <c r="E737" s="354">
        <f t="shared" si="141"/>
        <v>0.13400000000000001</v>
      </c>
      <c r="F737" s="354">
        <f t="shared" si="130"/>
        <v>0.03</v>
      </c>
      <c r="G737" s="11"/>
      <c r="H737" s="436">
        <f t="shared" si="132"/>
        <v>0</v>
      </c>
      <c r="I737" s="302">
        <f t="shared" si="133"/>
        <v>0</v>
      </c>
      <c r="J737" s="11"/>
      <c r="K737" s="426">
        <f t="shared" si="142"/>
        <v>2.9176084758041223E-11</v>
      </c>
      <c r="L737" s="10">
        <f t="shared" si="143"/>
        <v>2.9176084758041223E-11</v>
      </c>
      <c r="M737" s="436">
        <f t="shared" si="144"/>
        <v>2.9176084758041223E-11</v>
      </c>
      <c r="N737" s="301">
        <f t="shared" si="134"/>
        <v>2.9176084758041223E-11</v>
      </c>
      <c r="O737" s="302">
        <f t="shared" si="135"/>
        <v>0</v>
      </c>
      <c r="P737" s="436">
        <f t="shared" si="136"/>
        <v>0</v>
      </c>
      <c r="Q737" s="11">
        <f t="shared" si="145"/>
        <v>0</v>
      </c>
      <c r="R737" s="426">
        <f t="shared" si="146"/>
        <v>0</v>
      </c>
      <c r="S737" s="354">
        <f>+Hirdetmény!$AA$46</f>
        <v>0.13400000000000001</v>
      </c>
      <c r="T737" s="302">
        <f t="shared" si="137"/>
        <v>0</v>
      </c>
      <c r="U737" s="302">
        <f t="shared" si="147"/>
        <v>0</v>
      </c>
      <c r="V737" s="302">
        <f t="shared" si="148"/>
        <v>0</v>
      </c>
      <c r="W737" s="302">
        <f t="shared" si="149"/>
        <v>0</v>
      </c>
      <c r="AA737" s="10">
        <f t="shared" si="150"/>
        <v>0</v>
      </c>
      <c r="AB737" s="354">
        <f>+paraméterek!$B$346</f>
        <v>6.4600000000000005E-2</v>
      </c>
      <c r="AC737" s="302">
        <f t="shared" si="138"/>
        <v>0</v>
      </c>
      <c r="AD737" s="302">
        <f t="shared" si="153"/>
        <v>0</v>
      </c>
      <c r="AE737" s="302">
        <f t="shared" si="151"/>
        <v>0</v>
      </c>
      <c r="AF737" s="478">
        <f t="shared" si="139"/>
        <v>0</v>
      </c>
      <c r="AI737" s="543">
        <f t="shared" si="152"/>
        <v>0</v>
      </c>
      <c r="AJ737" s="543"/>
      <c r="AK737" s="300"/>
      <c r="AL737" s="543"/>
      <c r="AM737" s="10"/>
    </row>
    <row r="738" spans="1:39" s="4" customFormat="1" ht="13.8" hidden="1" x14ac:dyDescent="0.25">
      <c r="A738" s="11">
        <v>383</v>
      </c>
      <c r="B738" s="11">
        <f t="shared" si="140"/>
        <v>32</v>
      </c>
      <c r="C738" s="354">
        <f t="shared" si="129"/>
        <v>0</v>
      </c>
      <c r="D738" s="300">
        <f t="shared" si="131"/>
        <v>1.151056494563818E-8</v>
      </c>
      <c r="E738" s="354">
        <f t="shared" si="141"/>
        <v>0.13400000000000001</v>
      </c>
      <c r="F738" s="354">
        <f t="shared" si="130"/>
        <v>0.03</v>
      </c>
      <c r="G738" s="11"/>
      <c r="H738" s="436">
        <f t="shared" si="132"/>
        <v>0</v>
      </c>
      <c r="I738" s="302">
        <f t="shared" si="133"/>
        <v>0</v>
      </c>
      <c r="J738" s="11"/>
      <c r="K738" s="426">
        <f t="shared" si="142"/>
        <v>2.9176084758041223E-11</v>
      </c>
      <c r="L738" s="10">
        <f t="shared" si="143"/>
        <v>2.9176084758041223E-11</v>
      </c>
      <c r="M738" s="436">
        <f t="shared" si="144"/>
        <v>2.9176084758041223E-11</v>
      </c>
      <c r="N738" s="301">
        <f t="shared" si="134"/>
        <v>2.9176084758041223E-11</v>
      </c>
      <c r="O738" s="302">
        <f t="shared" si="135"/>
        <v>0</v>
      </c>
      <c r="P738" s="436">
        <f t="shared" si="136"/>
        <v>0</v>
      </c>
      <c r="Q738" s="11">
        <f t="shared" si="145"/>
        <v>0</v>
      </c>
      <c r="R738" s="426">
        <f t="shared" si="146"/>
        <v>0</v>
      </c>
      <c r="S738" s="354">
        <f>+Hirdetmény!$AA$46</f>
        <v>0.13400000000000001</v>
      </c>
      <c r="T738" s="302">
        <f t="shared" si="137"/>
        <v>0</v>
      </c>
      <c r="U738" s="302">
        <f t="shared" si="147"/>
        <v>0</v>
      </c>
      <c r="V738" s="302">
        <f t="shared" si="148"/>
        <v>0</v>
      </c>
      <c r="W738" s="302">
        <f t="shared" si="149"/>
        <v>0</v>
      </c>
      <c r="AA738" s="10">
        <f t="shared" si="150"/>
        <v>0</v>
      </c>
      <c r="AB738" s="354">
        <f>+paraméterek!$B$346</f>
        <v>6.4600000000000005E-2</v>
      </c>
      <c r="AC738" s="302">
        <f t="shared" si="138"/>
        <v>0</v>
      </c>
      <c r="AD738" s="302">
        <f t="shared" si="153"/>
        <v>0</v>
      </c>
      <c r="AE738" s="302">
        <f t="shared" si="151"/>
        <v>0</v>
      </c>
      <c r="AF738" s="478">
        <f t="shared" si="139"/>
        <v>0</v>
      </c>
      <c r="AI738" s="543">
        <f t="shared" si="152"/>
        <v>0</v>
      </c>
      <c r="AJ738" s="543"/>
      <c r="AK738" s="300"/>
      <c r="AL738" s="543"/>
      <c r="AM738" s="10"/>
    </row>
    <row r="739" spans="1:39" s="4" customFormat="1" ht="13.8" hidden="1" x14ac:dyDescent="0.25">
      <c r="A739" s="11">
        <v>384</v>
      </c>
      <c r="B739" s="11">
        <f t="shared" si="140"/>
        <v>32</v>
      </c>
      <c r="C739" s="354">
        <f t="shared" ref="C739:C775" si="154">aktualisbubor</f>
        <v>0</v>
      </c>
      <c r="D739" s="300">
        <f t="shared" si="131"/>
        <v>1.151056494563818E-8</v>
      </c>
      <c r="E739" s="354">
        <f t="shared" si="141"/>
        <v>0.13400000000000001</v>
      </c>
      <c r="F739" s="354">
        <f t="shared" ref="F739:F775" si="155">$N$292</f>
        <v>0.03</v>
      </c>
      <c r="G739" s="11"/>
      <c r="H739" s="436">
        <f t="shared" si="132"/>
        <v>0</v>
      </c>
      <c r="I739" s="302">
        <f t="shared" si="133"/>
        <v>0</v>
      </c>
      <c r="J739" s="11"/>
      <c r="K739" s="426">
        <f t="shared" si="142"/>
        <v>2.9176084758041223E-11</v>
      </c>
      <c r="L739" s="10">
        <f t="shared" si="143"/>
        <v>2.9176084758041223E-11</v>
      </c>
      <c r="M739" s="436">
        <f t="shared" si="144"/>
        <v>2.9176084758041223E-11</v>
      </c>
      <c r="N739" s="301">
        <f t="shared" si="134"/>
        <v>2.9176084758041223E-11</v>
      </c>
      <c r="O739" s="302">
        <f t="shared" si="135"/>
        <v>0</v>
      </c>
      <c r="P739" s="436">
        <f t="shared" si="136"/>
        <v>0</v>
      </c>
      <c r="Q739" s="11">
        <f t="shared" si="145"/>
        <v>0</v>
      </c>
      <c r="R739" s="426">
        <f t="shared" si="146"/>
        <v>0</v>
      </c>
      <c r="S739" s="354">
        <f>+Hirdetmény!$AA$46</f>
        <v>0.13400000000000001</v>
      </c>
      <c r="T739" s="302">
        <f t="shared" si="137"/>
        <v>0</v>
      </c>
      <c r="U739" s="302">
        <f t="shared" si="147"/>
        <v>0</v>
      </c>
      <c r="V739" s="302">
        <f t="shared" si="148"/>
        <v>0</v>
      </c>
      <c r="W739" s="302">
        <f t="shared" si="149"/>
        <v>0</v>
      </c>
      <c r="AA739" s="10">
        <f t="shared" si="150"/>
        <v>0</v>
      </c>
      <c r="AB739" s="354">
        <f>+paraméterek!$B$346</f>
        <v>6.4600000000000005E-2</v>
      </c>
      <c r="AC739" s="302">
        <f t="shared" si="138"/>
        <v>0</v>
      </c>
      <c r="AD739" s="302">
        <f t="shared" si="153"/>
        <v>0</v>
      </c>
      <c r="AE739" s="302">
        <f t="shared" si="151"/>
        <v>0</v>
      </c>
      <c r="AF739" s="478">
        <f t="shared" si="139"/>
        <v>0</v>
      </c>
      <c r="AI739" s="543">
        <f t="shared" si="152"/>
        <v>0</v>
      </c>
      <c r="AJ739" s="543"/>
      <c r="AK739" s="300"/>
      <c r="AL739" s="543"/>
      <c r="AM739" s="10"/>
    </row>
    <row r="740" spans="1:39" s="4" customFormat="1" ht="13.8" hidden="1" x14ac:dyDescent="0.25">
      <c r="A740" s="11">
        <v>385</v>
      </c>
      <c r="B740" s="11">
        <f t="shared" si="140"/>
        <v>33</v>
      </c>
      <c r="C740" s="354">
        <f t="shared" si="154"/>
        <v>0</v>
      </c>
      <c r="D740" s="300">
        <f t="shared" ref="D740:D775" si="156">+D739-H740-I740</f>
        <v>1.151056494563818E-8</v>
      </c>
      <c r="E740" s="354">
        <f t="shared" si="141"/>
        <v>0.13400000000000001</v>
      </c>
      <c r="F740" s="354">
        <f t="shared" si="155"/>
        <v>0.03</v>
      </c>
      <c r="G740" s="11"/>
      <c r="H740" s="436">
        <f t="shared" ref="H740:H775" si="157">IF(A740&lt;=$E$295,0,IF(A740&lt;=$K$5,PPMT(F740/360*(365/12),A740-$E$295,$K$5-$E$295,-$D$355),0))</f>
        <v>0</v>
      </c>
      <c r="I740" s="302">
        <f t="shared" ref="I740:I775" si="158">+IF(A740=$K$5,$K$11,0)</f>
        <v>0</v>
      </c>
      <c r="J740" s="11"/>
      <c r="K740" s="426">
        <f t="shared" si="142"/>
        <v>2.9176084758041223E-11</v>
      </c>
      <c r="L740" s="10">
        <f t="shared" si="143"/>
        <v>2.9176084758041223E-11</v>
      </c>
      <c r="M740" s="436">
        <f t="shared" si="144"/>
        <v>2.9176084758041223E-11</v>
      </c>
      <c r="N740" s="301">
        <f t="shared" ref="N740:N775" si="159">+D739*F740/360*(365/12)</f>
        <v>2.9176084758041223E-11</v>
      </c>
      <c r="O740" s="302">
        <f t="shared" ref="O740:O775" si="160">IF(A740&lt;=$K$5,PMT($N$292*365/360/12,$K$5,-$N$18)+P740+Q740+$N$27)+IF($K$6="nem",$E$29,IF(A739&lt;$E$295+1,$E$28,$E$29))</f>
        <v>0</v>
      </c>
      <c r="P740" s="436">
        <f t="shared" si="136"/>
        <v>0</v>
      </c>
      <c r="Q740" s="11">
        <f t="shared" si="145"/>
        <v>0</v>
      </c>
      <c r="R740" s="426">
        <f t="shared" si="146"/>
        <v>0</v>
      </c>
      <c r="S740" s="354">
        <f>+Hirdetmény!$AA$46</f>
        <v>0.13400000000000001</v>
      </c>
      <c r="T740" s="302">
        <f t="shared" ref="T740:T775" si="161">IF(A740&lt;=$K$5,IF(A740&gt;$E$295,PPMT(S740/360*(365/12),1,$K$5-A739,R739,$K$11*-1),0)*-1,0)</f>
        <v>0</v>
      </c>
      <c r="U740" s="302">
        <f t="shared" si="147"/>
        <v>0</v>
      </c>
      <c r="V740" s="302">
        <f t="shared" si="148"/>
        <v>0</v>
      </c>
      <c r="W740" s="302">
        <f t="shared" si="149"/>
        <v>0</v>
      </c>
      <c r="AA740" s="10">
        <f t="shared" si="150"/>
        <v>0</v>
      </c>
      <c r="AB740" s="354">
        <f>+paraméterek!$B$346</f>
        <v>6.4600000000000005E-2</v>
      </c>
      <c r="AC740" s="302">
        <f t="shared" ref="AC740:AC775" si="162">IF(A740&lt;=$K$5,IF(A740&gt;$E$295,PPMT(AB740/360*(365/12),1,$K$5-A739,AA739,$K$11*-1),0)*-1,0)</f>
        <v>0</v>
      </c>
      <c r="AD740" s="302">
        <f t="shared" si="153"/>
        <v>0</v>
      </c>
      <c r="AE740" s="302">
        <f t="shared" si="151"/>
        <v>0</v>
      </c>
      <c r="AF740" s="478">
        <f t="shared" ref="AF740:AF775" si="163">+AE740+IF($K$6="nem",$E$29,IF(A740&lt;$E$295+1,$E$28,$E$29)+IF(A740&lt;=$K$5,$E$25+Q740+$N$27,0))</f>
        <v>0</v>
      </c>
      <c r="AI740" s="543">
        <f t="shared" si="152"/>
        <v>0</v>
      </c>
      <c r="AJ740" s="543"/>
      <c r="AK740" s="300"/>
      <c r="AL740" s="543"/>
      <c r="AM740" s="10"/>
    </row>
    <row r="741" spans="1:39" s="4" customFormat="1" ht="13.8" hidden="1" x14ac:dyDescent="0.25">
      <c r="A741" s="11">
        <v>386</v>
      </c>
      <c r="B741" s="11">
        <f t="shared" ref="B741:B775" si="164">+ROUNDUP(A741/12,0)</f>
        <v>33</v>
      </c>
      <c r="C741" s="354">
        <f t="shared" si="154"/>
        <v>0</v>
      </c>
      <c r="D741" s="300">
        <f t="shared" si="156"/>
        <v>1.151056494563818E-8</v>
      </c>
      <c r="E741" s="354">
        <f t="shared" ref="E741:E775" si="165">E740</f>
        <v>0.13400000000000001</v>
      </c>
      <c r="F741" s="354">
        <f t="shared" si="155"/>
        <v>0.03</v>
      </c>
      <c r="G741" s="11"/>
      <c r="H741" s="436">
        <f t="shared" si="157"/>
        <v>0</v>
      </c>
      <c r="I741" s="302">
        <f t="shared" si="158"/>
        <v>0</v>
      </c>
      <c r="J741" s="11"/>
      <c r="K741" s="426">
        <f t="shared" ref="K741:K775" si="166">+(H741+N741)+IF($K$6="nem",$E$29,IF(A741&lt;$E$295+1,$E$28,$E$29)+P741)+Q741+$N$27+I741</f>
        <v>2.9176084758041223E-11</v>
      </c>
      <c r="L741" s="10">
        <f t="shared" ref="L741:L775" si="167">K741</f>
        <v>2.9176084758041223E-11</v>
      </c>
      <c r="M741" s="436">
        <f t="shared" ref="M741:M775" si="168">H741+N741</f>
        <v>2.9176084758041223E-11</v>
      </c>
      <c r="N741" s="301">
        <f t="shared" si="159"/>
        <v>2.9176084758041223E-11</v>
      </c>
      <c r="O741" s="302">
        <f t="shared" si="160"/>
        <v>0</v>
      </c>
      <c r="P741" s="436">
        <f t="shared" ref="P741:P775" si="169">IF(A741&lt;=$K$5,$E$25,0)</f>
        <v>0</v>
      </c>
      <c r="Q741" s="11">
        <f t="shared" ref="Q741:Q775" si="170">IF(A741&gt;$K$5,0,+IF($K$25="havi",$K$23,0)+IF($K$25="negyedéves",$K$23,0)+IF($K$25="féléves",$K$23,0)+IF($K$25="éves",$K$23,0)+IF($E$223="havi",$E$221,0)+IF($E$223="negyedéves",$E$221,0)+IF($E$223="féléves",$E$221,0)+IF($E$223="éves",$E$221,0)+IF($H$223="havi",$H$221,0)+IF($H$223="negyedéves",$H$221,0)+IF($H$223="féléves",$H$221,0)+IF($H$223="éves",$H$221,0)+IF($K$223="havi",$K$221,0)+IF($K$223="negyedéves",$K$221,0)+IF($K$223="féléves",$K$221,0)+IF($K$223="éves",$K$221,0)+IF($N$223="havi",$N$221,0)+IF($N$223="negyedéves",$N$221,0)+IF($N$223="féléves",$N$221,0)+IF($N$223="éves",$N$221,0))</f>
        <v>0</v>
      </c>
      <c r="R741" s="426">
        <f t="shared" ref="R741:R775" si="171">+R740-T741</f>
        <v>0</v>
      </c>
      <c r="S741" s="354">
        <f>+Hirdetmény!$AA$46</f>
        <v>0.13400000000000001</v>
      </c>
      <c r="T741" s="302">
        <f t="shared" si="161"/>
        <v>0</v>
      </c>
      <c r="U741" s="302">
        <f t="shared" ref="U741:U775" si="172">+R740*S741/360*(365/12)</f>
        <v>0</v>
      </c>
      <c r="V741" s="302">
        <f t="shared" ref="V741:V775" si="173">+T741+U741</f>
        <v>0</v>
      </c>
      <c r="W741" s="302">
        <f t="shared" ref="W741:W775" si="174">+V741+IF($K$6="nem",$E$29,IF(A741&lt;$E$295+1,$E$28,$E$29))+IF(A741&lt;=$K$5,$E$25+Q741+$N$27,0)</f>
        <v>0</v>
      </c>
      <c r="AA741" s="10">
        <f t="shared" ref="AA741:AA775" si="175">+AA740-AC741</f>
        <v>0</v>
      </c>
      <c r="AB741" s="354">
        <f>+paraméterek!$B$346</f>
        <v>6.4600000000000005E-2</v>
      </c>
      <c r="AC741" s="302">
        <f t="shared" si="162"/>
        <v>0</v>
      </c>
      <c r="AD741" s="302">
        <f t="shared" si="153"/>
        <v>0</v>
      </c>
      <c r="AE741" s="302">
        <f t="shared" ref="AE741:AE775" si="176">+AC741+AD741</f>
        <v>0</v>
      </c>
      <c r="AF741" s="478">
        <f t="shared" si="163"/>
        <v>0</v>
      </c>
      <c r="AI741" s="543">
        <f t="shared" ref="AI741:AI775" si="177">+V741+IF($K$6="nem",$E$29,IF(A741&lt;$E$295+1,$E$28,$E$29)+P741)+IF(A741&gt;$K$5,0,IF($E$221=0,$E$222,$E$221)+$N$27)+I741</f>
        <v>0</v>
      </c>
      <c r="AJ741" s="543"/>
      <c r="AK741" s="300"/>
      <c r="AL741" s="543"/>
      <c r="AM741" s="10"/>
    </row>
    <row r="742" spans="1:39" s="4" customFormat="1" ht="13.8" hidden="1" x14ac:dyDescent="0.25">
      <c r="A742" s="11">
        <v>387</v>
      </c>
      <c r="B742" s="11">
        <f t="shared" si="164"/>
        <v>33</v>
      </c>
      <c r="C742" s="354">
        <f t="shared" si="154"/>
        <v>0</v>
      </c>
      <c r="D742" s="300">
        <f t="shared" si="156"/>
        <v>1.151056494563818E-8</v>
      </c>
      <c r="E742" s="354">
        <f t="shared" si="165"/>
        <v>0.13400000000000001</v>
      </c>
      <c r="F742" s="354">
        <f t="shared" si="155"/>
        <v>0.03</v>
      </c>
      <c r="G742" s="11"/>
      <c r="H742" s="436">
        <f t="shared" si="157"/>
        <v>0</v>
      </c>
      <c r="I742" s="302">
        <f t="shared" si="158"/>
        <v>0</v>
      </c>
      <c r="J742" s="11"/>
      <c r="K742" s="426">
        <f t="shared" si="166"/>
        <v>2.9176084758041223E-11</v>
      </c>
      <c r="L742" s="10">
        <f t="shared" si="167"/>
        <v>2.9176084758041223E-11</v>
      </c>
      <c r="M742" s="436">
        <f t="shared" si="168"/>
        <v>2.9176084758041223E-11</v>
      </c>
      <c r="N742" s="301">
        <f t="shared" si="159"/>
        <v>2.9176084758041223E-11</v>
      </c>
      <c r="O742" s="302">
        <f t="shared" si="160"/>
        <v>0</v>
      </c>
      <c r="P742" s="436">
        <f t="shared" si="169"/>
        <v>0</v>
      </c>
      <c r="Q742" s="11">
        <f t="shared" si="170"/>
        <v>0</v>
      </c>
      <c r="R742" s="426">
        <f t="shared" si="171"/>
        <v>0</v>
      </c>
      <c r="S742" s="354">
        <f>+Hirdetmény!$AA$46</f>
        <v>0.13400000000000001</v>
      </c>
      <c r="T742" s="302">
        <f t="shared" si="161"/>
        <v>0</v>
      </c>
      <c r="U742" s="302">
        <f t="shared" si="172"/>
        <v>0</v>
      </c>
      <c r="V742" s="302">
        <f t="shared" si="173"/>
        <v>0</v>
      </c>
      <c r="W742" s="302">
        <f t="shared" si="174"/>
        <v>0</v>
      </c>
      <c r="AA742" s="10">
        <f t="shared" si="175"/>
        <v>0</v>
      </c>
      <c r="AB742" s="354">
        <f>+paraméterek!$B$346</f>
        <v>6.4600000000000005E-2</v>
      </c>
      <c r="AC742" s="302">
        <f t="shared" si="162"/>
        <v>0</v>
      </c>
      <c r="AD742" s="302">
        <f t="shared" ref="AD742:AD775" si="178">+AA741*AB742/360*(365/12)</f>
        <v>0</v>
      </c>
      <c r="AE742" s="302">
        <f t="shared" si="176"/>
        <v>0</v>
      </c>
      <c r="AF742" s="478">
        <f t="shared" si="163"/>
        <v>0</v>
      </c>
      <c r="AI742" s="543">
        <f t="shared" si="177"/>
        <v>0</v>
      </c>
      <c r="AJ742" s="543"/>
      <c r="AK742" s="300"/>
      <c r="AL742" s="543"/>
      <c r="AM742" s="10"/>
    </row>
    <row r="743" spans="1:39" s="4" customFormat="1" ht="13.8" hidden="1" x14ac:dyDescent="0.25">
      <c r="A743" s="11">
        <v>388</v>
      </c>
      <c r="B743" s="11">
        <f t="shared" si="164"/>
        <v>33</v>
      </c>
      <c r="C743" s="354">
        <f t="shared" si="154"/>
        <v>0</v>
      </c>
      <c r="D743" s="300">
        <f t="shared" si="156"/>
        <v>1.151056494563818E-8</v>
      </c>
      <c r="E743" s="354">
        <f t="shared" si="165"/>
        <v>0.13400000000000001</v>
      </c>
      <c r="F743" s="354">
        <f t="shared" si="155"/>
        <v>0.03</v>
      </c>
      <c r="G743" s="11"/>
      <c r="H743" s="436">
        <f t="shared" si="157"/>
        <v>0</v>
      </c>
      <c r="I743" s="302">
        <f t="shared" si="158"/>
        <v>0</v>
      </c>
      <c r="J743" s="11"/>
      <c r="K743" s="426">
        <f t="shared" si="166"/>
        <v>2.9176084758041223E-11</v>
      </c>
      <c r="L743" s="10">
        <f t="shared" si="167"/>
        <v>2.9176084758041223E-11</v>
      </c>
      <c r="M743" s="436">
        <f t="shared" si="168"/>
        <v>2.9176084758041223E-11</v>
      </c>
      <c r="N743" s="301">
        <f t="shared" si="159"/>
        <v>2.9176084758041223E-11</v>
      </c>
      <c r="O743" s="302">
        <f t="shared" si="160"/>
        <v>0</v>
      </c>
      <c r="P743" s="436">
        <f t="shared" si="169"/>
        <v>0</v>
      </c>
      <c r="Q743" s="11">
        <f t="shared" si="170"/>
        <v>0</v>
      </c>
      <c r="R743" s="426">
        <f t="shared" si="171"/>
        <v>0</v>
      </c>
      <c r="S743" s="354">
        <f>+Hirdetmény!$AA$46</f>
        <v>0.13400000000000001</v>
      </c>
      <c r="T743" s="302">
        <f t="shared" si="161"/>
        <v>0</v>
      </c>
      <c r="U743" s="302">
        <f t="shared" si="172"/>
        <v>0</v>
      </c>
      <c r="V743" s="302">
        <f t="shared" si="173"/>
        <v>0</v>
      </c>
      <c r="W743" s="302">
        <f t="shared" si="174"/>
        <v>0</v>
      </c>
      <c r="AA743" s="10">
        <f t="shared" si="175"/>
        <v>0</v>
      </c>
      <c r="AB743" s="354">
        <f>+paraméterek!$B$346</f>
        <v>6.4600000000000005E-2</v>
      </c>
      <c r="AC743" s="302">
        <f t="shared" si="162"/>
        <v>0</v>
      </c>
      <c r="AD743" s="302">
        <f t="shared" si="178"/>
        <v>0</v>
      </c>
      <c r="AE743" s="302">
        <f t="shared" si="176"/>
        <v>0</v>
      </c>
      <c r="AF743" s="478">
        <f t="shared" si="163"/>
        <v>0</v>
      </c>
      <c r="AI743" s="543">
        <f t="shared" si="177"/>
        <v>0</v>
      </c>
      <c r="AJ743" s="543"/>
      <c r="AK743" s="300"/>
      <c r="AL743" s="543"/>
      <c r="AM743" s="10"/>
    </row>
    <row r="744" spans="1:39" s="4" customFormat="1" ht="13.8" hidden="1" x14ac:dyDescent="0.25">
      <c r="A744" s="11">
        <v>389</v>
      </c>
      <c r="B744" s="11">
        <f t="shared" si="164"/>
        <v>33</v>
      </c>
      <c r="C744" s="354">
        <f t="shared" si="154"/>
        <v>0</v>
      </c>
      <c r="D744" s="300">
        <f t="shared" si="156"/>
        <v>1.151056494563818E-8</v>
      </c>
      <c r="E744" s="354">
        <f t="shared" si="165"/>
        <v>0.13400000000000001</v>
      </c>
      <c r="F744" s="354">
        <f t="shared" si="155"/>
        <v>0.03</v>
      </c>
      <c r="G744" s="11"/>
      <c r="H744" s="436">
        <f t="shared" si="157"/>
        <v>0</v>
      </c>
      <c r="I744" s="302">
        <f t="shared" si="158"/>
        <v>0</v>
      </c>
      <c r="J744" s="11"/>
      <c r="K744" s="426">
        <f t="shared" si="166"/>
        <v>2.9176084758041223E-11</v>
      </c>
      <c r="L744" s="10">
        <f t="shared" si="167"/>
        <v>2.9176084758041223E-11</v>
      </c>
      <c r="M744" s="436">
        <f t="shared" si="168"/>
        <v>2.9176084758041223E-11</v>
      </c>
      <c r="N744" s="301">
        <f t="shared" si="159"/>
        <v>2.9176084758041223E-11</v>
      </c>
      <c r="O744" s="302">
        <f t="shared" si="160"/>
        <v>0</v>
      </c>
      <c r="P744" s="436">
        <f t="shared" si="169"/>
        <v>0</v>
      </c>
      <c r="Q744" s="11">
        <f t="shared" si="170"/>
        <v>0</v>
      </c>
      <c r="R744" s="426">
        <f t="shared" si="171"/>
        <v>0</v>
      </c>
      <c r="S744" s="354">
        <f>+Hirdetmény!$AA$46</f>
        <v>0.13400000000000001</v>
      </c>
      <c r="T744" s="302">
        <f t="shared" si="161"/>
        <v>0</v>
      </c>
      <c r="U744" s="302">
        <f t="shared" si="172"/>
        <v>0</v>
      </c>
      <c r="V744" s="302">
        <f t="shared" si="173"/>
        <v>0</v>
      </c>
      <c r="W744" s="302">
        <f t="shared" si="174"/>
        <v>0</v>
      </c>
      <c r="AA744" s="10">
        <f t="shared" si="175"/>
        <v>0</v>
      </c>
      <c r="AB744" s="354">
        <f>+paraméterek!$B$346</f>
        <v>6.4600000000000005E-2</v>
      </c>
      <c r="AC744" s="302">
        <f t="shared" si="162"/>
        <v>0</v>
      </c>
      <c r="AD744" s="302">
        <f t="shared" si="178"/>
        <v>0</v>
      </c>
      <c r="AE744" s="302">
        <f t="shared" si="176"/>
        <v>0</v>
      </c>
      <c r="AF744" s="478">
        <f t="shared" si="163"/>
        <v>0</v>
      </c>
      <c r="AI744" s="543">
        <f t="shared" si="177"/>
        <v>0</v>
      </c>
      <c r="AJ744" s="543"/>
      <c r="AK744" s="300"/>
      <c r="AL744" s="543"/>
      <c r="AM744" s="10"/>
    </row>
    <row r="745" spans="1:39" s="4" customFormat="1" ht="13.8" hidden="1" x14ac:dyDescent="0.25">
      <c r="A745" s="11">
        <v>390</v>
      </c>
      <c r="B745" s="11">
        <f t="shared" si="164"/>
        <v>33</v>
      </c>
      <c r="C745" s="354">
        <f t="shared" si="154"/>
        <v>0</v>
      </c>
      <c r="D745" s="300">
        <f t="shared" si="156"/>
        <v>1.151056494563818E-8</v>
      </c>
      <c r="E745" s="354">
        <f t="shared" si="165"/>
        <v>0.13400000000000001</v>
      </c>
      <c r="F745" s="354">
        <f t="shared" si="155"/>
        <v>0.03</v>
      </c>
      <c r="G745" s="11"/>
      <c r="H745" s="436">
        <f t="shared" si="157"/>
        <v>0</v>
      </c>
      <c r="I745" s="302">
        <f t="shared" si="158"/>
        <v>0</v>
      </c>
      <c r="J745" s="11"/>
      <c r="K745" s="426">
        <f t="shared" si="166"/>
        <v>2.9176084758041223E-11</v>
      </c>
      <c r="L745" s="10">
        <f t="shared" si="167"/>
        <v>2.9176084758041223E-11</v>
      </c>
      <c r="M745" s="436">
        <f t="shared" si="168"/>
        <v>2.9176084758041223E-11</v>
      </c>
      <c r="N745" s="301">
        <f t="shared" si="159"/>
        <v>2.9176084758041223E-11</v>
      </c>
      <c r="O745" s="302">
        <f t="shared" si="160"/>
        <v>0</v>
      </c>
      <c r="P745" s="436">
        <f t="shared" si="169"/>
        <v>0</v>
      </c>
      <c r="Q745" s="11">
        <f t="shared" si="170"/>
        <v>0</v>
      </c>
      <c r="R745" s="426">
        <f t="shared" si="171"/>
        <v>0</v>
      </c>
      <c r="S745" s="354">
        <f>+Hirdetmény!$AA$46</f>
        <v>0.13400000000000001</v>
      </c>
      <c r="T745" s="302">
        <f t="shared" si="161"/>
        <v>0</v>
      </c>
      <c r="U745" s="302">
        <f t="shared" si="172"/>
        <v>0</v>
      </c>
      <c r="V745" s="302">
        <f t="shared" si="173"/>
        <v>0</v>
      </c>
      <c r="W745" s="302">
        <f t="shared" si="174"/>
        <v>0</v>
      </c>
      <c r="AA745" s="10">
        <f t="shared" si="175"/>
        <v>0</v>
      </c>
      <c r="AB745" s="354">
        <f>+paraméterek!$B$346</f>
        <v>6.4600000000000005E-2</v>
      </c>
      <c r="AC745" s="302">
        <f t="shared" si="162"/>
        <v>0</v>
      </c>
      <c r="AD745" s="302">
        <f t="shared" si="178"/>
        <v>0</v>
      </c>
      <c r="AE745" s="302">
        <f t="shared" si="176"/>
        <v>0</v>
      </c>
      <c r="AF745" s="478">
        <f t="shared" si="163"/>
        <v>0</v>
      </c>
      <c r="AI745" s="543">
        <f t="shared" si="177"/>
        <v>0</v>
      </c>
      <c r="AJ745" s="543"/>
      <c r="AK745" s="300"/>
      <c r="AL745" s="543"/>
      <c r="AM745" s="10"/>
    </row>
    <row r="746" spans="1:39" s="4" customFormat="1" ht="13.8" hidden="1" x14ac:dyDescent="0.25">
      <c r="A746" s="11">
        <v>391</v>
      </c>
      <c r="B746" s="11">
        <f t="shared" si="164"/>
        <v>33</v>
      </c>
      <c r="C746" s="354">
        <f t="shared" si="154"/>
        <v>0</v>
      </c>
      <c r="D746" s="300">
        <f t="shared" si="156"/>
        <v>1.151056494563818E-8</v>
      </c>
      <c r="E746" s="354">
        <f t="shared" si="165"/>
        <v>0.13400000000000001</v>
      </c>
      <c r="F746" s="354">
        <f t="shared" si="155"/>
        <v>0.03</v>
      </c>
      <c r="G746" s="11"/>
      <c r="H746" s="436">
        <f t="shared" si="157"/>
        <v>0</v>
      </c>
      <c r="I746" s="302">
        <f t="shared" si="158"/>
        <v>0</v>
      </c>
      <c r="J746" s="11"/>
      <c r="K746" s="426">
        <f t="shared" si="166"/>
        <v>2.9176084758041223E-11</v>
      </c>
      <c r="L746" s="10">
        <f t="shared" si="167"/>
        <v>2.9176084758041223E-11</v>
      </c>
      <c r="M746" s="436">
        <f t="shared" si="168"/>
        <v>2.9176084758041223E-11</v>
      </c>
      <c r="N746" s="301">
        <f t="shared" si="159"/>
        <v>2.9176084758041223E-11</v>
      </c>
      <c r="O746" s="302">
        <f t="shared" si="160"/>
        <v>0</v>
      </c>
      <c r="P746" s="436">
        <f t="shared" si="169"/>
        <v>0</v>
      </c>
      <c r="Q746" s="11">
        <f t="shared" si="170"/>
        <v>0</v>
      </c>
      <c r="R746" s="426">
        <f t="shared" si="171"/>
        <v>0</v>
      </c>
      <c r="S746" s="354">
        <f>+Hirdetmény!$AA$46</f>
        <v>0.13400000000000001</v>
      </c>
      <c r="T746" s="302">
        <f t="shared" si="161"/>
        <v>0</v>
      </c>
      <c r="U746" s="302">
        <f t="shared" si="172"/>
        <v>0</v>
      </c>
      <c r="V746" s="302">
        <f t="shared" si="173"/>
        <v>0</v>
      </c>
      <c r="W746" s="302">
        <f t="shared" si="174"/>
        <v>0</v>
      </c>
      <c r="AA746" s="10">
        <f t="shared" si="175"/>
        <v>0</v>
      </c>
      <c r="AB746" s="354">
        <f>+paraméterek!$B$346</f>
        <v>6.4600000000000005E-2</v>
      </c>
      <c r="AC746" s="302">
        <f t="shared" si="162"/>
        <v>0</v>
      </c>
      <c r="AD746" s="302">
        <f t="shared" si="178"/>
        <v>0</v>
      </c>
      <c r="AE746" s="302">
        <f t="shared" si="176"/>
        <v>0</v>
      </c>
      <c r="AF746" s="478">
        <f t="shared" si="163"/>
        <v>0</v>
      </c>
      <c r="AI746" s="543">
        <f t="shared" si="177"/>
        <v>0</v>
      </c>
      <c r="AJ746" s="543"/>
      <c r="AK746" s="300"/>
      <c r="AL746" s="543"/>
      <c r="AM746" s="10"/>
    </row>
    <row r="747" spans="1:39" s="4" customFormat="1" ht="13.8" hidden="1" x14ac:dyDescent="0.25">
      <c r="A747" s="11">
        <v>392</v>
      </c>
      <c r="B747" s="11">
        <f t="shared" si="164"/>
        <v>33</v>
      </c>
      <c r="C747" s="354">
        <f t="shared" si="154"/>
        <v>0</v>
      </c>
      <c r="D747" s="300">
        <f t="shared" si="156"/>
        <v>1.151056494563818E-8</v>
      </c>
      <c r="E747" s="354">
        <f t="shared" si="165"/>
        <v>0.13400000000000001</v>
      </c>
      <c r="F747" s="354">
        <f t="shared" si="155"/>
        <v>0.03</v>
      </c>
      <c r="G747" s="11"/>
      <c r="H747" s="436">
        <f t="shared" si="157"/>
        <v>0</v>
      </c>
      <c r="I747" s="302">
        <f t="shared" si="158"/>
        <v>0</v>
      </c>
      <c r="J747" s="11"/>
      <c r="K747" s="426">
        <f t="shared" si="166"/>
        <v>2.9176084758041223E-11</v>
      </c>
      <c r="L747" s="10">
        <f t="shared" si="167"/>
        <v>2.9176084758041223E-11</v>
      </c>
      <c r="M747" s="436">
        <f t="shared" si="168"/>
        <v>2.9176084758041223E-11</v>
      </c>
      <c r="N747" s="301">
        <f t="shared" si="159"/>
        <v>2.9176084758041223E-11</v>
      </c>
      <c r="O747" s="302">
        <f t="shared" si="160"/>
        <v>0</v>
      </c>
      <c r="P747" s="436">
        <f t="shared" si="169"/>
        <v>0</v>
      </c>
      <c r="Q747" s="11">
        <f t="shared" si="170"/>
        <v>0</v>
      </c>
      <c r="R747" s="426">
        <f t="shared" si="171"/>
        <v>0</v>
      </c>
      <c r="S747" s="354">
        <f>+Hirdetmény!$AA$46</f>
        <v>0.13400000000000001</v>
      </c>
      <c r="T747" s="302">
        <f t="shared" si="161"/>
        <v>0</v>
      </c>
      <c r="U747" s="302">
        <f t="shared" si="172"/>
        <v>0</v>
      </c>
      <c r="V747" s="302">
        <f t="shared" si="173"/>
        <v>0</v>
      </c>
      <c r="W747" s="302">
        <f t="shared" si="174"/>
        <v>0</v>
      </c>
      <c r="AA747" s="10">
        <f t="shared" si="175"/>
        <v>0</v>
      </c>
      <c r="AB747" s="354">
        <f>+paraméterek!$B$346</f>
        <v>6.4600000000000005E-2</v>
      </c>
      <c r="AC747" s="302">
        <f t="shared" si="162"/>
        <v>0</v>
      </c>
      <c r="AD747" s="302">
        <f t="shared" si="178"/>
        <v>0</v>
      </c>
      <c r="AE747" s="302">
        <f t="shared" si="176"/>
        <v>0</v>
      </c>
      <c r="AF747" s="478">
        <f t="shared" si="163"/>
        <v>0</v>
      </c>
      <c r="AI747" s="543">
        <f t="shared" si="177"/>
        <v>0</v>
      </c>
      <c r="AJ747" s="543"/>
      <c r="AK747" s="300"/>
      <c r="AL747" s="543"/>
      <c r="AM747" s="10"/>
    </row>
    <row r="748" spans="1:39" s="4" customFormat="1" ht="13.8" hidden="1" x14ac:dyDescent="0.25">
      <c r="A748" s="11">
        <v>393</v>
      </c>
      <c r="B748" s="11">
        <f t="shared" si="164"/>
        <v>33</v>
      </c>
      <c r="C748" s="354">
        <f t="shared" si="154"/>
        <v>0</v>
      </c>
      <c r="D748" s="300">
        <f t="shared" si="156"/>
        <v>1.151056494563818E-8</v>
      </c>
      <c r="E748" s="354">
        <f t="shared" si="165"/>
        <v>0.13400000000000001</v>
      </c>
      <c r="F748" s="354">
        <f t="shared" si="155"/>
        <v>0.03</v>
      </c>
      <c r="G748" s="11"/>
      <c r="H748" s="436">
        <f t="shared" si="157"/>
        <v>0</v>
      </c>
      <c r="I748" s="302">
        <f t="shared" si="158"/>
        <v>0</v>
      </c>
      <c r="J748" s="11"/>
      <c r="K748" s="426">
        <f t="shared" si="166"/>
        <v>2.9176084758041223E-11</v>
      </c>
      <c r="L748" s="10">
        <f t="shared" si="167"/>
        <v>2.9176084758041223E-11</v>
      </c>
      <c r="M748" s="436">
        <f t="shared" si="168"/>
        <v>2.9176084758041223E-11</v>
      </c>
      <c r="N748" s="301">
        <f t="shared" si="159"/>
        <v>2.9176084758041223E-11</v>
      </c>
      <c r="O748" s="302">
        <f t="shared" si="160"/>
        <v>0</v>
      </c>
      <c r="P748" s="436">
        <f t="shared" si="169"/>
        <v>0</v>
      </c>
      <c r="Q748" s="11">
        <f t="shared" si="170"/>
        <v>0</v>
      </c>
      <c r="R748" s="426">
        <f t="shared" si="171"/>
        <v>0</v>
      </c>
      <c r="S748" s="354">
        <f>+Hirdetmény!$AA$46</f>
        <v>0.13400000000000001</v>
      </c>
      <c r="T748" s="302">
        <f t="shared" si="161"/>
        <v>0</v>
      </c>
      <c r="U748" s="302">
        <f t="shared" si="172"/>
        <v>0</v>
      </c>
      <c r="V748" s="302">
        <f t="shared" si="173"/>
        <v>0</v>
      </c>
      <c r="W748" s="302">
        <f t="shared" si="174"/>
        <v>0</v>
      </c>
      <c r="AA748" s="10">
        <f t="shared" si="175"/>
        <v>0</v>
      </c>
      <c r="AB748" s="354">
        <f>+paraméterek!$B$346</f>
        <v>6.4600000000000005E-2</v>
      </c>
      <c r="AC748" s="302">
        <f t="shared" si="162"/>
        <v>0</v>
      </c>
      <c r="AD748" s="302">
        <f t="shared" si="178"/>
        <v>0</v>
      </c>
      <c r="AE748" s="302">
        <f t="shared" si="176"/>
        <v>0</v>
      </c>
      <c r="AF748" s="478">
        <f t="shared" si="163"/>
        <v>0</v>
      </c>
      <c r="AI748" s="543">
        <f t="shared" si="177"/>
        <v>0</v>
      </c>
      <c r="AJ748" s="543"/>
      <c r="AK748" s="300"/>
      <c r="AL748" s="543"/>
      <c r="AM748" s="10"/>
    </row>
    <row r="749" spans="1:39" s="4" customFormat="1" ht="13.8" hidden="1" x14ac:dyDescent="0.25">
      <c r="A749" s="11">
        <v>394</v>
      </c>
      <c r="B749" s="11">
        <f t="shared" si="164"/>
        <v>33</v>
      </c>
      <c r="C749" s="354">
        <f t="shared" si="154"/>
        <v>0</v>
      </c>
      <c r="D749" s="300">
        <f t="shared" si="156"/>
        <v>1.151056494563818E-8</v>
      </c>
      <c r="E749" s="354">
        <f t="shared" si="165"/>
        <v>0.13400000000000001</v>
      </c>
      <c r="F749" s="354">
        <f t="shared" si="155"/>
        <v>0.03</v>
      </c>
      <c r="G749" s="11"/>
      <c r="H749" s="436">
        <f t="shared" si="157"/>
        <v>0</v>
      </c>
      <c r="I749" s="302">
        <f t="shared" si="158"/>
        <v>0</v>
      </c>
      <c r="J749" s="11"/>
      <c r="K749" s="426">
        <f t="shared" si="166"/>
        <v>2.9176084758041223E-11</v>
      </c>
      <c r="L749" s="10">
        <f t="shared" si="167"/>
        <v>2.9176084758041223E-11</v>
      </c>
      <c r="M749" s="436">
        <f t="shared" si="168"/>
        <v>2.9176084758041223E-11</v>
      </c>
      <c r="N749" s="301">
        <f t="shared" si="159"/>
        <v>2.9176084758041223E-11</v>
      </c>
      <c r="O749" s="302">
        <f t="shared" si="160"/>
        <v>0</v>
      </c>
      <c r="P749" s="436">
        <f t="shared" si="169"/>
        <v>0</v>
      </c>
      <c r="Q749" s="11">
        <f t="shared" si="170"/>
        <v>0</v>
      </c>
      <c r="R749" s="426">
        <f t="shared" si="171"/>
        <v>0</v>
      </c>
      <c r="S749" s="354">
        <f>+Hirdetmény!$AA$46</f>
        <v>0.13400000000000001</v>
      </c>
      <c r="T749" s="302">
        <f t="shared" si="161"/>
        <v>0</v>
      </c>
      <c r="U749" s="302">
        <f t="shared" si="172"/>
        <v>0</v>
      </c>
      <c r="V749" s="302">
        <f t="shared" si="173"/>
        <v>0</v>
      </c>
      <c r="W749" s="302">
        <f t="shared" si="174"/>
        <v>0</v>
      </c>
      <c r="AA749" s="10">
        <f t="shared" si="175"/>
        <v>0</v>
      </c>
      <c r="AB749" s="354">
        <f>+paraméterek!$B$346</f>
        <v>6.4600000000000005E-2</v>
      </c>
      <c r="AC749" s="302">
        <f t="shared" si="162"/>
        <v>0</v>
      </c>
      <c r="AD749" s="302">
        <f t="shared" si="178"/>
        <v>0</v>
      </c>
      <c r="AE749" s="302">
        <f t="shared" si="176"/>
        <v>0</v>
      </c>
      <c r="AF749" s="478">
        <f t="shared" si="163"/>
        <v>0</v>
      </c>
      <c r="AI749" s="543">
        <f t="shared" si="177"/>
        <v>0</v>
      </c>
      <c r="AJ749" s="543"/>
      <c r="AK749" s="300"/>
      <c r="AL749" s="543"/>
      <c r="AM749" s="10"/>
    </row>
    <row r="750" spans="1:39" s="4" customFormat="1" ht="13.8" hidden="1" x14ac:dyDescent="0.25">
      <c r="A750" s="11">
        <v>395</v>
      </c>
      <c r="B750" s="11">
        <f t="shared" si="164"/>
        <v>33</v>
      </c>
      <c r="C750" s="354">
        <f t="shared" si="154"/>
        <v>0</v>
      </c>
      <c r="D750" s="300">
        <f t="shared" si="156"/>
        <v>1.151056494563818E-8</v>
      </c>
      <c r="E750" s="354">
        <f t="shared" si="165"/>
        <v>0.13400000000000001</v>
      </c>
      <c r="F750" s="354">
        <f t="shared" si="155"/>
        <v>0.03</v>
      </c>
      <c r="G750" s="11"/>
      <c r="H750" s="436">
        <f t="shared" si="157"/>
        <v>0</v>
      </c>
      <c r="I750" s="302">
        <f t="shared" si="158"/>
        <v>0</v>
      </c>
      <c r="J750" s="11"/>
      <c r="K750" s="426">
        <f t="shared" si="166"/>
        <v>2.9176084758041223E-11</v>
      </c>
      <c r="L750" s="10">
        <f t="shared" si="167"/>
        <v>2.9176084758041223E-11</v>
      </c>
      <c r="M750" s="436">
        <f t="shared" si="168"/>
        <v>2.9176084758041223E-11</v>
      </c>
      <c r="N750" s="301">
        <f t="shared" si="159"/>
        <v>2.9176084758041223E-11</v>
      </c>
      <c r="O750" s="302">
        <f t="shared" si="160"/>
        <v>0</v>
      </c>
      <c r="P750" s="436">
        <f t="shared" si="169"/>
        <v>0</v>
      </c>
      <c r="Q750" s="11">
        <f t="shared" si="170"/>
        <v>0</v>
      </c>
      <c r="R750" s="426">
        <f t="shared" si="171"/>
        <v>0</v>
      </c>
      <c r="S750" s="354">
        <f>+Hirdetmény!$AA$46</f>
        <v>0.13400000000000001</v>
      </c>
      <c r="T750" s="302">
        <f t="shared" si="161"/>
        <v>0</v>
      </c>
      <c r="U750" s="302">
        <f t="shared" si="172"/>
        <v>0</v>
      </c>
      <c r="V750" s="302">
        <f t="shared" si="173"/>
        <v>0</v>
      </c>
      <c r="W750" s="302">
        <f t="shared" si="174"/>
        <v>0</v>
      </c>
      <c r="AA750" s="10">
        <f t="shared" si="175"/>
        <v>0</v>
      </c>
      <c r="AB750" s="354">
        <f>+paraméterek!$B$346</f>
        <v>6.4600000000000005E-2</v>
      </c>
      <c r="AC750" s="302">
        <f t="shared" si="162"/>
        <v>0</v>
      </c>
      <c r="AD750" s="302">
        <f t="shared" si="178"/>
        <v>0</v>
      </c>
      <c r="AE750" s="302">
        <f t="shared" si="176"/>
        <v>0</v>
      </c>
      <c r="AF750" s="478">
        <f t="shared" si="163"/>
        <v>0</v>
      </c>
      <c r="AI750" s="543">
        <f t="shared" si="177"/>
        <v>0</v>
      </c>
      <c r="AJ750" s="543"/>
      <c r="AK750" s="300"/>
      <c r="AL750" s="543"/>
      <c r="AM750" s="10"/>
    </row>
    <row r="751" spans="1:39" s="4" customFormat="1" ht="13.8" hidden="1" x14ac:dyDescent="0.25">
      <c r="A751" s="11">
        <v>396</v>
      </c>
      <c r="B751" s="11">
        <f t="shared" si="164"/>
        <v>33</v>
      </c>
      <c r="C751" s="354">
        <f t="shared" si="154"/>
        <v>0</v>
      </c>
      <c r="D751" s="300">
        <f t="shared" si="156"/>
        <v>1.151056494563818E-8</v>
      </c>
      <c r="E751" s="354">
        <f t="shared" si="165"/>
        <v>0.13400000000000001</v>
      </c>
      <c r="F751" s="354">
        <f t="shared" si="155"/>
        <v>0.03</v>
      </c>
      <c r="G751" s="11"/>
      <c r="H751" s="436">
        <f t="shared" si="157"/>
        <v>0</v>
      </c>
      <c r="I751" s="302">
        <f t="shared" si="158"/>
        <v>0</v>
      </c>
      <c r="J751" s="11"/>
      <c r="K751" s="426">
        <f t="shared" si="166"/>
        <v>2.9176084758041223E-11</v>
      </c>
      <c r="L751" s="10">
        <f t="shared" si="167"/>
        <v>2.9176084758041223E-11</v>
      </c>
      <c r="M751" s="436">
        <f t="shared" si="168"/>
        <v>2.9176084758041223E-11</v>
      </c>
      <c r="N751" s="301">
        <f t="shared" si="159"/>
        <v>2.9176084758041223E-11</v>
      </c>
      <c r="O751" s="302">
        <f t="shared" si="160"/>
        <v>0</v>
      </c>
      <c r="P751" s="436">
        <f t="shared" si="169"/>
        <v>0</v>
      </c>
      <c r="Q751" s="11">
        <f t="shared" si="170"/>
        <v>0</v>
      </c>
      <c r="R751" s="426">
        <f t="shared" si="171"/>
        <v>0</v>
      </c>
      <c r="S751" s="354">
        <f>+Hirdetmény!$AA$46</f>
        <v>0.13400000000000001</v>
      </c>
      <c r="T751" s="302">
        <f t="shared" si="161"/>
        <v>0</v>
      </c>
      <c r="U751" s="302">
        <f t="shared" si="172"/>
        <v>0</v>
      </c>
      <c r="V751" s="302">
        <f t="shared" si="173"/>
        <v>0</v>
      </c>
      <c r="W751" s="302">
        <f t="shared" si="174"/>
        <v>0</v>
      </c>
      <c r="AA751" s="10">
        <f t="shared" si="175"/>
        <v>0</v>
      </c>
      <c r="AB751" s="354">
        <f>+paraméterek!$B$346</f>
        <v>6.4600000000000005E-2</v>
      </c>
      <c r="AC751" s="302">
        <f t="shared" si="162"/>
        <v>0</v>
      </c>
      <c r="AD751" s="302">
        <f t="shared" si="178"/>
        <v>0</v>
      </c>
      <c r="AE751" s="302">
        <f t="shared" si="176"/>
        <v>0</v>
      </c>
      <c r="AF751" s="478">
        <f t="shared" si="163"/>
        <v>0</v>
      </c>
      <c r="AI751" s="543">
        <f t="shared" si="177"/>
        <v>0</v>
      </c>
      <c r="AJ751" s="543"/>
      <c r="AK751" s="300"/>
      <c r="AL751" s="543"/>
      <c r="AM751" s="10"/>
    </row>
    <row r="752" spans="1:39" s="4" customFormat="1" ht="13.8" hidden="1" x14ac:dyDescent="0.25">
      <c r="A752" s="11">
        <v>397</v>
      </c>
      <c r="B752" s="11">
        <f t="shared" si="164"/>
        <v>34</v>
      </c>
      <c r="C752" s="354">
        <f t="shared" si="154"/>
        <v>0</v>
      </c>
      <c r="D752" s="300">
        <f t="shared" si="156"/>
        <v>1.151056494563818E-8</v>
      </c>
      <c r="E752" s="354">
        <f t="shared" si="165"/>
        <v>0.13400000000000001</v>
      </c>
      <c r="F752" s="354">
        <f t="shared" si="155"/>
        <v>0.03</v>
      </c>
      <c r="G752" s="11"/>
      <c r="H752" s="436">
        <f t="shared" si="157"/>
        <v>0</v>
      </c>
      <c r="I752" s="302">
        <f t="shared" si="158"/>
        <v>0</v>
      </c>
      <c r="J752" s="11"/>
      <c r="K752" s="426">
        <f t="shared" si="166"/>
        <v>2.9176084758041223E-11</v>
      </c>
      <c r="L752" s="10">
        <f t="shared" si="167"/>
        <v>2.9176084758041223E-11</v>
      </c>
      <c r="M752" s="436">
        <f t="shared" si="168"/>
        <v>2.9176084758041223E-11</v>
      </c>
      <c r="N752" s="301">
        <f t="shared" si="159"/>
        <v>2.9176084758041223E-11</v>
      </c>
      <c r="O752" s="302">
        <f t="shared" si="160"/>
        <v>0</v>
      </c>
      <c r="P752" s="436">
        <f t="shared" si="169"/>
        <v>0</v>
      </c>
      <c r="Q752" s="11">
        <f t="shared" si="170"/>
        <v>0</v>
      </c>
      <c r="R752" s="426">
        <f t="shared" si="171"/>
        <v>0</v>
      </c>
      <c r="S752" s="354">
        <f>+Hirdetmény!$AA$46</f>
        <v>0.13400000000000001</v>
      </c>
      <c r="T752" s="302">
        <f t="shared" si="161"/>
        <v>0</v>
      </c>
      <c r="U752" s="302">
        <f t="shared" si="172"/>
        <v>0</v>
      </c>
      <c r="V752" s="302">
        <f t="shared" si="173"/>
        <v>0</v>
      </c>
      <c r="W752" s="302">
        <f t="shared" si="174"/>
        <v>0</v>
      </c>
      <c r="AA752" s="10">
        <f t="shared" si="175"/>
        <v>0</v>
      </c>
      <c r="AB752" s="354">
        <f>+paraméterek!$B$346</f>
        <v>6.4600000000000005E-2</v>
      </c>
      <c r="AC752" s="302">
        <f t="shared" si="162"/>
        <v>0</v>
      </c>
      <c r="AD752" s="302">
        <f t="shared" si="178"/>
        <v>0</v>
      </c>
      <c r="AE752" s="302">
        <f t="shared" si="176"/>
        <v>0</v>
      </c>
      <c r="AF752" s="478">
        <f t="shared" si="163"/>
        <v>0</v>
      </c>
      <c r="AI752" s="543">
        <f t="shared" si="177"/>
        <v>0</v>
      </c>
      <c r="AJ752" s="543"/>
      <c r="AK752" s="300"/>
      <c r="AL752" s="543"/>
      <c r="AM752" s="10"/>
    </row>
    <row r="753" spans="1:39" s="4" customFormat="1" ht="13.8" hidden="1" x14ac:dyDescent="0.25">
      <c r="A753" s="11">
        <v>398</v>
      </c>
      <c r="B753" s="11">
        <f t="shared" si="164"/>
        <v>34</v>
      </c>
      <c r="C753" s="354">
        <f t="shared" si="154"/>
        <v>0</v>
      </c>
      <c r="D753" s="300">
        <f t="shared" si="156"/>
        <v>1.151056494563818E-8</v>
      </c>
      <c r="E753" s="354">
        <f t="shared" si="165"/>
        <v>0.13400000000000001</v>
      </c>
      <c r="F753" s="354">
        <f t="shared" si="155"/>
        <v>0.03</v>
      </c>
      <c r="G753" s="11"/>
      <c r="H753" s="436">
        <f t="shared" si="157"/>
        <v>0</v>
      </c>
      <c r="I753" s="302">
        <f t="shared" si="158"/>
        <v>0</v>
      </c>
      <c r="J753" s="11"/>
      <c r="K753" s="426">
        <f t="shared" si="166"/>
        <v>2.9176084758041223E-11</v>
      </c>
      <c r="L753" s="10">
        <f t="shared" si="167"/>
        <v>2.9176084758041223E-11</v>
      </c>
      <c r="M753" s="436">
        <f t="shared" si="168"/>
        <v>2.9176084758041223E-11</v>
      </c>
      <c r="N753" s="301">
        <f t="shared" si="159"/>
        <v>2.9176084758041223E-11</v>
      </c>
      <c r="O753" s="302">
        <f t="shared" si="160"/>
        <v>0</v>
      </c>
      <c r="P753" s="436">
        <f t="shared" si="169"/>
        <v>0</v>
      </c>
      <c r="Q753" s="11">
        <f t="shared" si="170"/>
        <v>0</v>
      </c>
      <c r="R753" s="426">
        <f t="shared" si="171"/>
        <v>0</v>
      </c>
      <c r="S753" s="354">
        <f>+Hirdetmény!$AA$46</f>
        <v>0.13400000000000001</v>
      </c>
      <c r="T753" s="302">
        <f t="shared" si="161"/>
        <v>0</v>
      </c>
      <c r="U753" s="302">
        <f t="shared" si="172"/>
        <v>0</v>
      </c>
      <c r="V753" s="302">
        <f t="shared" si="173"/>
        <v>0</v>
      </c>
      <c r="W753" s="302">
        <f t="shared" si="174"/>
        <v>0</v>
      </c>
      <c r="AA753" s="10">
        <f t="shared" si="175"/>
        <v>0</v>
      </c>
      <c r="AB753" s="354">
        <f>+paraméterek!$B$346</f>
        <v>6.4600000000000005E-2</v>
      </c>
      <c r="AC753" s="302">
        <f t="shared" si="162"/>
        <v>0</v>
      </c>
      <c r="AD753" s="302">
        <f t="shared" si="178"/>
        <v>0</v>
      </c>
      <c r="AE753" s="302">
        <f t="shared" si="176"/>
        <v>0</v>
      </c>
      <c r="AF753" s="478">
        <f t="shared" si="163"/>
        <v>0</v>
      </c>
      <c r="AI753" s="543">
        <f t="shared" si="177"/>
        <v>0</v>
      </c>
      <c r="AJ753" s="543"/>
      <c r="AK753" s="300"/>
      <c r="AL753" s="543"/>
      <c r="AM753" s="10"/>
    </row>
    <row r="754" spans="1:39" s="4" customFormat="1" ht="13.8" hidden="1" x14ac:dyDescent="0.25">
      <c r="A754" s="11">
        <v>399</v>
      </c>
      <c r="B754" s="11">
        <f t="shared" si="164"/>
        <v>34</v>
      </c>
      <c r="C754" s="354">
        <f t="shared" si="154"/>
        <v>0</v>
      </c>
      <c r="D754" s="300">
        <f t="shared" si="156"/>
        <v>1.151056494563818E-8</v>
      </c>
      <c r="E754" s="354">
        <f t="shared" si="165"/>
        <v>0.13400000000000001</v>
      </c>
      <c r="F754" s="354">
        <f t="shared" si="155"/>
        <v>0.03</v>
      </c>
      <c r="G754" s="11"/>
      <c r="H754" s="436">
        <f t="shared" si="157"/>
        <v>0</v>
      </c>
      <c r="I754" s="302">
        <f t="shared" si="158"/>
        <v>0</v>
      </c>
      <c r="J754" s="11"/>
      <c r="K754" s="426">
        <f t="shared" si="166"/>
        <v>2.9176084758041223E-11</v>
      </c>
      <c r="L754" s="10">
        <f t="shared" si="167"/>
        <v>2.9176084758041223E-11</v>
      </c>
      <c r="M754" s="436">
        <f t="shared" si="168"/>
        <v>2.9176084758041223E-11</v>
      </c>
      <c r="N754" s="301">
        <f t="shared" si="159"/>
        <v>2.9176084758041223E-11</v>
      </c>
      <c r="O754" s="302">
        <f t="shared" si="160"/>
        <v>0</v>
      </c>
      <c r="P754" s="436">
        <f t="shared" si="169"/>
        <v>0</v>
      </c>
      <c r="Q754" s="11">
        <f t="shared" si="170"/>
        <v>0</v>
      </c>
      <c r="R754" s="426">
        <f t="shared" si="171"/>
        <v>0</v>
      </c>
      <c r="S754" s="354">
        <f>+Hirdetmény!$AA$46</f>
        <v>0.13400000000000001</v>
      </c>
      <c r="T754" s="302">
        <f t="shared" si="161"/>
        <v>0</v>
      </c>
      <c r="U754" s="302">
        <f t="shared" si="172"/>
        <v>0</v>
      </c>
      <c r="V754" s="302">
        <f t="shared" si="173"/>
        <v>0</v>
      </c>
      <c r="W754" s="302">
        <f t="shared" si="174"/>
        <v>0</v>
      </c>
      <c r="AA754" s="10">
        <f t="shared" si="175"/>
        <v>0</v>
      </c>
      <c r="AB754" s="354">
        <f>+paraméterek!$B$346</f>
        <v>6.4600000000000005E-2</v>
      </c>
      <c r="AC754" s="302">
        <f t="shared" si="162"/>
        <v>0</v>
      </c>
      <c r="AD754" s="302">
        <f t="shared" si="178"/>
        <v>0</v>
      </c>
      <c r="AE754" s="302">
        <f t="shared" si="176"/>
        <v>0</v>
      </c>
      <c r="AF754" s="478">
        <f t="shared" si="163"/>
        <v>0</v>
      </c>
      <c r="AI754" s="543">
        <f t="shared" si="177"/>
        <v>0</v>
      </c>
      <c r="AJ754" s="543"/>
      <c r="AK754" s="300"/>
      <c r="AL754" s="543"/>
      <c r="AM754" s="10"/>
    </row>
    <row r="755" spans="1:39" s="4" customFormat="1" ht="13.8" hidden="1" x14ac:dyDescent="0.25">
      <c r="A755" s="11">
        <v>400</v>
      </c>
      <c r="B755" s="11">
        <f t="shared" si="164"/>
        <v>34</v>
      </c>
      <c r="C755" s="354">
        <f t="shared" si="154"/>
        <v>0</v>
      </c>
      <c r="D755" s="300">
        <f t="shared" si="156"/>
        <v>1.151056494563818E-8</v>
      </c>
      <c r="E755" s="354">
        <f t="shared" si="165"/>
        <v>0.13400000000000001</v>
      </c>
      <c r="F755" s="354">
        <f t="shared" si="155"/>
        <v>0.03</v>
      </c>
      <c r="G755" s="11"/>
      <c r="H755" s="436">
        <f t="shared" si="157"/>
        <v>0</v>
      </c>
      <c r="I755" s="302">
        <f t="shared" si="158"/>
        <v>0</v>
      </c>
      <c r="J755" s="11"/>
      <c r="K755" s="426">
        <f t="shared" si="166"/>
        <v>2.9176084758041223E-11</v>
      </c>
      <c r="L755" s="10">
        <f t="shared" si="167"/>
        <v>2.9176084758041223E-11</v>
      </c>
      <c r="M755" s="436">
        <f t="shared" si="168"/>
        <v>2.9176084758041223E-11</v>
      </c>
      <c r="N755" s="301">
        <f t="shared" si="159"/>
        <v>2.9176084758041223E-11</v>
      </c>
      <c r="O755" s="302">
        <f t="shared" si="160"/>
        <v>0</v>
      </c>
      <c r="P755" s="436">
        <f t="shared" si="169"/>
        <v>0</v>
      </c>
      <c r="Q755" s="11">
        <f t="shared" si="170"/>
        <v>0</v>
      </c>
      <c r="R755" s="426">
        <f t="shared" si="171"/>
        <v>0</v>
      </c>
      <c r="S755" s="354">
        <f>+Hirdetmény!$AA$46</f>
        <v>0.13400000000000001</v>
      </c>
      <c r="T755" s="302">
        <f t="shared" si="161"/>
        <v>0</v>
      </c>
      <c r="U755" s="302">
        <f t="shared" si="172"/>
        <v>0</v>
      </c>
      <c r="V755" s="302">
        <f t="shared" si="173"/>
        <v>0</v>
      </c>
      <c r="W755" s="302">
        <f t="shared" si="174"/>
        <v>0</v>
      </c>
      <c r="AA755" s="10">
        <f t="shared" si="175"/>
        <v>0</v>
      </c>
      <c r="AB755" s="354">
        <f>+paraméterek!$B$346</f>
        <v>6.4600000000000005E-2</v>
      </c>
      <c r="AC755" s="302">
        <f t="shared" si="162"/>
        <v>0</v>
      </c>
      <c r="AD755" s="302">
        <f t="shared" si="178"/>
        <v>0</v>
      </c>
      <c r="AE755" s="302">
        <f t="shared" si="176"/>
        <v>0</v>
      </c>
      <c r="AF755" s="478">
        <f t="shared" si="163"/>
        <v>0</v>
      </c>
      <c r="AI755" s="543">
        <f t="shared" si="177"/>
        <v>0</v>
      </c>
      <c r="AJ755" s="543"/>
      <c r="AK755" s="300"/>
      <c r="AL755" s="543"/>
      <c r="AM755" s="10"/>
    </row>
    <row r="756" spans="1:39" s="4" customFormat="1" ht="13.8" hidden="1" x14ac:dyDescent="0.25">
      <c r="A756" s="11">
        <v>401</v>
      </c>
      <c r="B756" s="11">
        <f t="shared" si="164"/>
        <v>34</v>
      </c>
      <c r="C756" s="354">
        <f t="shared" si="154"/>
        <v>0</v>
      </c>
      <c r="D756" s="300">
        <f t="shared" si="156"/>
        <v>1.151056494563818E-8</v>
      </c>
      <c r="E756" s="354">
        <f t="shared" si="165"/>
        <v>0.13400000000000001</v>
      </c>
      <c r="F756" s="354">
        <f t="shared" si="155"/>
        <v>0.03</v>
      </c>
      <c r="G756" s="11"/>
      <c r="H756" s="436">
        <f t="shared" si="157"/>
        <v>0</v>
      </c>
      <c r="I756" s="302">
        <f t="shared" si="158"/>
        <v>0</v>
      </c>
      <c r="J756" s="11"/>
      <c r="K756" s="426">
        <f t="shared" si="166"/>
        <v>2.9176084758041223E-11</v>
      </c>
      <c r="L756" s="10">
        <f t="shared" si="167"/>
        <v>2.9176084758041223E-11</v>
      </c>
      <c r="M756" s="436">
        <f t="shared" si="168"/>
        <v>2.9176084758041223E-11</v>
      </c>
      <c r="N756" s="301">
        <f t="shared" si="159"/>
        <v>2.9176084758041223E-11</v>
      </c>
      <c r="O756" s="302">
        <f t="shared" si="160"/>
        <v>0</v>
      </c>
      <c r="P756" s="436">
        <f t="shared" si="169"/>
        <v>0</v>
      </c>
      <c r="Q756" s="11">
        <f t="shared" si="170"/>
        <v>0</v>
      </c>
      <c r="R756" s="426">
        <f t="shared" si="171"/>
        <v>0</v>
      </c>
      <c r="S756" s="354">
        <f>+Hirdetmény!$AA$46</f>
        <v>0.13400000000000001</v>
      </c>
      <c r="T756" s="302">
        <f t="shared" si="161"/>
        <v>0</v>
      </c>
      <c r="U756" s="302">
        <f t="shared" si="172"/>
        <v>0</v>
      </c>
      <c r="V756" s="302">
        <f t="shared" si="173"/>
        <v>0</v>
      </c>
      <c r="W756" s="302">
        <f t="shared" si="174"/>
        <v>0</v>
      </c>
      <c r="AA756" s="10">
        <f t="shared" si="175"/>
        <v>0</v>
      </c>
      <c r="AB756" s="354">
        <f>+paraméterek!$B$346</f>
        <v>6.4600000000000005E-2</v>
      </c>
      <c r="AC756" s="302">
        <f t="shared" si="162"/>
        <v>0</v>
      </c>
      <c r="AD756" s="302">
        <f t="shared" si="178"/>
        <v>0</v>
      </c>
      <c r="AE756" s="302">
        <f t="shared" si="176"/>
        <v>0</v>
      </c>
      <c r="AF756" s="478">
        <f t="shared" si="163"/>
        <v>0</v>
      </c>
      <c r="AI756" s="543">
        <f t="shared" si="177"/>
        <v>0</v>
      </c>
      <c r="AJ756" s="543"/>
      <c r="AK756" s="300"/>
      <c r="AL756" s="543"/>
      <c r="AM756" s="10"/>
    </row>
    <row r="757" spans="1:39" s="4" customFormat="1" ht="13.8" hidden="1" x14ac:dyDescent="0.25">
      <c r="A757" s="11">
        <v>402</v>
      </c>
      <c r="B757" s="11">
        <f t="shared" si="164"/>
        <v>34</v>
      </c>
      <c r="C757" s="354">
        <f t="shared" si="154"/>
        <v>0</v>
      </c>
      <c r="D757" s="300">
        <f t="shared" si="156"/>
        <v>1.151056494563818E-8</v>
      </c>
      <c r="E757" s="354">
        <f t="shared" si="165"/>
        <v>0.13400000000000001</v>
      </c>
      <c r="F757" s="354">
        <f t="shared" si="155"/>
        <v>0.03</v>
      </c>
      <c r="G757" s="11"/>
      <c r="H757" s="436">
        <f t="shared" si="157"/>
        <v>0</v>
      </c>
      <c r="I757" s="302">
        <f t="shared" si="158"/>
        <v>0</v>
      </c>
      <c r="J757" s="11"/>
      <c r="K757" s="426">
        <f t="shared" si="166"/>
        <v>2.9176084758041223E-11</v>
      </c>
      <c r="L757" s="10">
        <f t="shared" si="167"/>
        <v>2.9176084758041223E-11</v>
      </c>
      <c r="M757" s="436">
        <f t="shared" si="168"/>
        <v>2.9176084758041223E-11</v>
      </c>
      <c r="N757" s="301">
        <f t="shared" si="159"/>
        <v>2.9176084758041223E-11</v>
      </c>
      <c r="O757" s="302">
        <f t="shared" si="160"/>
        <v>0</v>
      </c>
      <c r="P757" s="436">
        <f t="shared" si="169"/>
        <v>0</v>
      </c>
      <c r="Q757" s="11">
        <f t="shared" si="170"/>
        <v>0</v>
      </c>
      <c r="R757" s="426">
        <f t="shared" si="171"/>
        <v>0</v>
      </c>
      <c r="S757" s="354">
        <f>+Hirdetmény!$AA$46</f>
        <v>0.13400000000000001</v>
      </c>
      <c r="T757" s="302">
        <f t="shared" si="161"/>
        <v>0</v>
      </c>
      <c r="U757" s="302">
        <f t="shared" si="172"/>
        <v>0</v>
      </c>
      <c r="V757" s="302">
        <f t="shared" si="173"/>
        <v>0</v>
      </c>
      <c r="W757" s="302">
        <f t="shared" si="174"/>
        <v>0</v>
      </c>
      <c r="AA757" s="10">
        <f t="shared" si="175"/>
        <v>0</v>
      </c>
      <c r="AB757" s="354">
        <f>+paraméterek!$B$346</f>
        <v>6.4600000000000005E-2</v>
      </c>
      <c r="AC757" s="302">
        <f t="shared" si="162"/>
        <v>0</v>
      </c>
      <c r="AD757" s="302">
        <f t="shared" si="178"/>
        <v>0</v>
      </c>
      <c r="AE757" s="302">
        <f t="shared" si="176"/>
        <v>0</v>
      </c>
      <c r="AF757" s="478">
        <f t="shared" si="163"/>
        <v>0</v>
      </c>
      <c r="AI757" s="543">
        <f t="shared" si="177"/>
        <v>0</v>
      </c>
      <c r="AJ757" s="543"/>
      <c r="AK757" s="300"/>
      <c r="AL757" s="543"/>
      <c r="AM757" s="10"/>
    </row>
    <row r="758" spans="1:39" s="4" customFormat="1" ht="13.8" hidden="1" x14ac:dyDescent="0.25">
      <c r="A758" s="11">
        <v>403</v>
      </c>
      <c r="B758" s="11">
        <f t="shared" si="164"/>
        <v>34</v>
      </c>
      <c r="C758" s="354">
        <f t="shared" si="154"/>
        <v>0</v>
      </c>
      <c r="D758" s="300">
        <f t="shared" si="156"/>
        <v>1.151056494563818E-8</v>
      </c>
      <c r="E758" s="354">
        <f t="shared" si="165"/>
        <v>0.13400000000000001</v>
      </c>
      <c r="F758" s="354">
        <f t="shared" si="155"/>
        <v>0.03</v>
      </c>
      <c r="G758" s="11"/>
      <c r="H758" s="436">
        <f t="shared" si="157"/>
        <v>0</v>
      </c>
      <c r="I758" s="302">
        <f t="shared" si="158"/>
        <v>0</v>
      </c>
      <c r="J758" s="11"/>
      <c r="K758" s="426">
        <f t="shared" si="166"/>
        <v>2.9176084758041223E-11</v>
      </c>
      <c r="L758" s="10">
        <f t="shared" si="167"/>
        <v>2.9176084758041223E-11</v>
      </c>
      <c r="M758" s="436">
        <f t="shared" si="168"/>
        <v>2.9176084758041223E-11</v>
      </c>
      <c r="N758" s="301">
        <f t="shared" si="159"/>
        <v>2.9176084758041223E-11</v>
      </c>
      <c r="O758" s="302">
        <f t="shared" si="160"/>
        <v>0</v>
      </c>
      <c r="P758" s="436">
        <f t="shared" si="169"/>
        <v>0</v>
      </c>
      <c r="Q758" s="11">
        <f t="shared" si="170"/>
        <v>0</v>
      </c>
      <c r="R758" s="426">
        <f t="shared" si="171"/>
        <v>0</v>
      </c>
      <c r="S758" s="354">
        <f>+Hirdetmény!$AA$46</f>
        <v>0.13400000000000001</v>
      </c>
      <c r="T758" s="302">
        <f t="shared" si="161"/>
        <v>0</v>
      </c>
      <c r="U758" s="302">
        <f t="shared" si="172"/>
        <v>0</v>
      </c>
      <c r="V758" s="302">
        <f t="shared" si="173"/>
        <v>0</v>
      </c>
      <c r="W758" s="302">
        <f t="shared" si="174"/>
        <v>0</v>
      </c>
      <c r="AA758" s="10">
        <f t="shared" si="175"/>
        <v>0</v>
      </c>
      <c r="AB758" s="354">
        <f>+paraméterek!$B$346</f>
        <v>6.4600000000000005E-2</v>
      </c>
      <c r="AC758" s="302">
        <f t="shared" si="162"/>
        <v>0</v>
      </c>
      <c r="AD758" s="302">
        <f t="shared" si="178"/>
        <v>0</v>
      </c>
      <c r="AE758" s="302">
        <f t="shared" si="176"/>
        <v>0</v>
      </c>
      <c r="AF758" s="478">
        <f t="shared" si="163"/>
        <v>0</v>
      </c>
      <c r="AI758" s="543">
        <f t="shared" si="177"/>
        <v>0</v>
      </c>
      <c r="AJ758" s="543"/>
      <c r="AK758" s="300"/>
      <c r="AL758" s="543"/>
      <c r="AM758" s="10"/>
    </row>
    <row r="759" spans="1:39" s="4" customFormat="1" ht="13.8" hidden="1" x14ac:dyDescent="0.25">
      <c r="A759" s="11">
        <v>404</v>
      </c>
      <c r="B759" s="11">
        <f t="shared" si="164"/>
        <v>34</v>
      </c>
      <c r="C759" s="354">
        <f t="shared" si="154"/>
        <v>0</v>
      </c>
      <c r="D759" s="300">
        <f t="shared" si="156"/>
        <v>1.151056494563818E-8</v>
      </c>
      <c r="E759" s="354">
        <f t="shared" si="165"/>
        <v>0.13400000000000001</v>
      </c>
      <c r="F759" s="354">
        <f t="shared" si="155"/>
        <v>0.03</v>
      </c>
      <c r="G759" s="11"/>
      <c r="H759" s="436">
        <f t="shared" si="157"/>
        <v>0</v>
      </c>
      <c r="I759" s="302">
        <f t="shared" si="158"/>
        <v>0</v>
      </c>
      <c r="J759" s="11"/>
      <c r="K759" s="426">
        <f t="shared" si="166"/>
        <v>2.9176084758041223E-11</v>
      </c>
      <c r="L759" s="10">
        <f t="shared" si="167"/>
        <v>2.9176084758041223E-11</v>
      </c>
      <c r="M759" s="436">
        <f t="shared" si="168"/>
        <v>2.9176084758041223E-11</v>
      </c>
      <c r="N759" s="301">
        <f t="shared" si="159"/>
        <v>2.9176084758041223E-11</v>
      </c>
      <c r="O759" s="302">
        <f t="shared" si="160"/>
        <v>0</v>
      </c>
      <c r="P759" s="436">
        <f t="shared" si="169"/>
        <v>0</v>
      </c>
      <c r="Q759" s="11">
        <f t="shared" si="170"/>
        <v>0</v>
      </c>
      <c r="R759" s="426">
        <f t="shared" si="171"/>
        <v>0</v>
      </c>
      <c r="S759" s="354">
        <f>+Hirdetmény!$AA$46</f>
        <v>0.13400000000000001</v>
      </c>
      <c r="T759" s="302">
        <f t="shared" si="161"/>
        <v>0</v>
      </c>
      <c r="U759" s="302">
        <f t="shared" si="172"/>
        <v>0</v>
      </c>
      <c r="V759" s="302">
        <f t="shared" si="173"/>
        <v>0</v>
      </c>
      <c r="W759" s="302">
        <f t="shared" si="174"/>
        <v>0</v>
      </c>
      <c r="AA759" s="10">
        <f t="shared" si="175"/>
        <v>0</v>
      </c>
      <c r="AB759" s="354">
        <f>+paraméterek!$B$346</f>
        <v>6.4600000000000005E-2</v>
      </c>
      <c r="AC759" s="302">
        <f t="shared" si="162"/>
        <v>0</v>
      </c>
      <c r="AD759" s="302">
        <f t="shared" si="178"/>
        <v>0</v>
      </c>
      <c r="AE759" s="302">
        <f t="shared" si="176"/>
        <v>0</v>
      </c>
      <c r="AF759" s="478">
        <f t="shared" si="163"/>
        <v>0</v>
      </c>
      <c r="AI759" s="543">
        <f t="shared" si="177"/>
        <v>0</v>
      </c>
      <c r="AJ759" s="543"/>
      <c r="AK759" s="300"/>
      <c r="AL759" s="543"/>
      <c r="AM759" s="10"/>
    </row>
    <row r="760" spans="1:39" s="4" customFormat="1" ht="13.8" hidden="1" x14ac:dyDescent="0.25">
      <c r="A760" s="11">
        <v>405</v>
      </c>
      <c r="B760" s="11">
        <f t="shared" si="164"/>
        <v>34</v>
      </c>
      <c r="C760" s="354">
        <f t="shared" si="154"/>
        <v>0</v>
      </c>
      <c r="D760" s="300">
        <f t="shared" si="156"/>
        <v>1.151056494563818E-8</v>
      </c>
      <c r="E760" s="354">
        <f t="shared" si="165"/>
        <v>0.13400000000000001</v>
      </c>
      <c r="F760" s="354">
        <f t="shared" si="155"/>
        <v>0.03</v>
      </c>
      <c r="G760" s="11"/>
      <c r="H760" s="436">
        <f t="shared" si="157"/>
        <v>0</v>
      </c>
      <c r="I760" s="302">
        <f t="shared" si="158"/>
        <v>0</v>
      </c>
      <c r="J760" s="11"/>
      <c r="K760" s="426">
        <f t="shared" si="166"/>
        <v>2.9176084758041223E-11</v>
      </c>
      <c r="L760" s="10">
        <f t="shared" si="167"/>
        <v>2.9176084758041223E-11</v>
      </c>
      <c r="M760" s="436">
        <f t="shared" si="168"/>
        <v>2.9176084758041223E-11</v>
      </c>
      <c r="N760" s="301">
        <f t="shared" si="159"/>
        <v>2.9176084758041223E-11</v>
      </c>
      <c r="O760" s="302">
        <f t="shared" si="160"/>
        <v>0</v>
      </c>
      <c r="P760" s="436">
        <f t="shared" si="169"/>
        <v>0</v>
      </c>
      <c r="Q760" s="11">
        <f t="shared" si="170"/>
        <v>0</v>
      </c>
      <c r="R760" s="426">
        <f t="shared" si="171"/>
        <v>0</v>
      </c>
      <c r="S760" s="354">
        <f>+Hirdetmény!$AA$46</f>
        <v>0.13400000000000001</v>
      </c>
      <c r="T760" s="302">
        <f t="shared" si="161"/>
        <v>0</v>
      </c>
      <c r="U760" s="302">
        <f t="shared" si="172"/>
        <v>0</v>
      </c>
      <c r="V760" s="302">
        <f t="shared" si="173"/>
        <v>0</v>
      </c>
      <c r="W760" s="302">
        <f t="shared" si="174"/>
        <v>0</v>
      </c>
      <c r="AA760" s="10">
        <f t="shared" si="175"/>
        <v>0</v>
      </c>
      <c r="AB760" s="354">
        <f>+paraméterek!$B$346</f>
        <v>6.4600000000000005E-2</v>
      </c>
      <c r="AC760" s="302">
        <f t="shared" si="162"/>
        <v>0</v>
      </c>
      <c r="AD760" s="302">
        <f t="shared" si="178"/>
        <v>0</v>
      </c>
      <c r="AE760" s="302">
        <f t="shared" si="176"/>
        <v>0</v>
      </c>
      <c r="AF760" s="478">
        <f t="shared" si="163"/>
        <v>0</v>
      </c>
      <c r="AI760" s="543">
        <f t="shared" si="177"/>
        <v>0</v>
      </c>
      <c r="AJ760" s="543"/>
      <c r="AK760" s="300"/>
      <c r="AL760" s="543"/>
      <c r="AM760" s="10"/>
    </row>
    <row r="761" spans="1:39" s="4" customFormat="1" ht="13.8" hidden="1" x14ac:dyDescent="0.25">
      <c r="A761" s="11">
        <v>406</v>
      </c>
      <c r="B761" s="11">
        <f t="shared" si="164"/>
        <v>34</v>
      </c>
      <c r="C761" s="354">
        <f t="shared" si="154"/>
        <v>0</v>
      </c>
      <c r="D761" s="300">
        <f t="shared" si="156"/>
        <v>1.151056494563818E-8</v>
      </c>
      <c r="E761" s="354">
        <f t="shared" si="165"/>
        <v>0.13400000000000001</v>
      </c>
      <c r="F761" s="354">
        <f t="shared" si="155"/>
        <v>0.03</v>
      </c>
      <c r="G761" s="11"/>
      <c r="H761" s="436">
        <f t="shared" si="157"/>
        <v>0</v>
      </c>
      <c r="I761" s="302">
        <f t="shared" si="158"/>
        <v>0</v>
      </c>
      <c r="J761" s="11"/>
      <c r="K761" s="426">
        <f t="shared" si="166"/>
        <v>2.9176084758041223E-11</v>
      </c>
      <c r="L761" s="10">
        <f t="shared" si="167"/>
        <v>2.9176084758041223E-11</v>
      </c>
      <c r="M761" s="436">
        <f t="shared" si="168"/>
        <v>2.9176084758041223E-11</v>
      </c>
      <c r="N761" s="301">
        <f t="shared" si="159"/>
        <v>2.9176084758041223E-11</v>
      </c>
      <c r="O761" s="302">
        <f t="shared" si="160"/>
        <v>0</v>
      </c>
      <c r="P761" s="436">
        <f t="shared" si="169"/>
        <v>0</v>
      </c>
      <c r="Q761" s="11">
        <f t="shared" si="170"/>
        <v>0</v>
      </c>
      <c r="R761" s="426">
        <f t="shared" si="171"/>
        <v>0</v>
      </c>
      <c r="S761" s="354">
        <f>+Hirdetmény!$AA$46</f>
        <v>0.13400000000000001</v>
      </c>
      <c r="T761" s="302">
        <f t="shared" si="161"/>
        <v>0</v>
      </c>
      <c r="U761" s="302">
        <f t="shared" si="172"/>
        <v>0</v>
      </c>
      <c r="V761" s="302">
        <f t="shared" si="173"/>
        <v>0</v>
      </c>
      <c r="W761" s="302">
        <f t="shared" si="174"/>
        <v>0</v>
      </c>
      <c r="AA761" s="10">
        <f t="shared" si="175"/>
        <v>0</v>
      </c>
      <c r="AB761" s="354">
        <f>+paraméterek!$B$346</f>
        <v>6.4600000000000005E-2</v>
      </c>
      <c r="AC761" s="302">
        <f t="shared" si="162"/>
        <v>0</v>
      </c>
      <c r="AD761" s="302">
        <f t="shared" si="178"/>
        <v>0</v>
      </c>
      <c r="AE761" s="302">
        <f t="shared" si="176"/>
        <v>0</v>
      </c>
      <c r="AF761" s="478">
        <f t="shared" si="163"/>
        <v>0</v>
      </c>
      <c r="AI761" s="543">
        <f t="shared" si="177"/>
        <v>0</v>
      </c>
      <c r="AJ761" s="543"/>
      <c r="AK761" s="300"/>
      <c r="AL761" s="543"/>
      <c r="AM761" s="10"/>
    </row>
    <row r="762" spans="1:39" s="4" customFormat="1" ht="13.8" hidden="1" x14ac:dyDescent="0.25">
      <c r="A762" s="11">
        <v>407</v>
      </c>
      <c r="B762" s="11">
        <f t="shared" si="164"/>
        <v>34</v>
      </c>
      <c r="C762" s="354">
        <f t="shared" si="154"/>
        <v>0</v>
      </c>
      <c r="D762" s="300">
        <f t="shared" si="156"/>
        <v>1.151056494563818E-8</v>
      </c>
      <c r="E762" s="354">
        <f t="shared" si="165"/>
        <v>0.13400000000000001</v>
      </c>
      <c r="F762" s="354">
        <f t="shared" si="155"/>
        <v>0.03</v>
      </c>
      <c r="G762" s="11"/>
      <c r="H762" s="436">
        <f t="shared" si="157"/>
        <v>0</v>
      </c>
      <c r="I762" s="302">
        <f t="shared" si="158"/>
        <v>0</v>
      </c>
      <c r="J762" s="11"/>
      <c r="K762" s="426">
        <f t="shared" si="166"/>
        <v>2.9176084758041223E-11</v>
      </c>
      <c r="L762" s="10">
        <f t="shared" si="167"/>
        <v>2.9176084758041223E-11</v>
      </c>
      <c r="M762" s="436">
        <f t="shared" si="168"/>
        <v>2.9176084758041223E-11</v>
      </c>
      <c r="N762" s="301">
        <f t="shared" si="159"/>
        <v>2.9176084758041223E-11</v>
      </c>
      <c r="O762" s="302">
        <f t="shared" si="160"/>
        <v>0</v>
      </c>
      <c r="P762" s="436">
        <f t="shared" si="169"/>
        <v>0</v>
      </c>
      <c r="Q762" s="11">
        <f t="shared" si="170"/>
        <v>0</v>
      </c>
      <c r="R762" s="426">
        <f t="shared" si="171"/>
        <v>0</v>
      </c>
      <c r="S762" s="354">
        <f>+Hirdetmény!$AA$46</f>
        <v>0.13400000000000001</v>
      </c>
      <c r="T762" s="302">
        <f t="shared" si="161"/>
        <v>0</v>
      </c>
      <c r="U762" s="302">
        <f t="shared" si="172"/>
        <v>0</v>
      </c>
      <c r="V762" s="302">
        <f t="shared" si="173"/>
        <v>0</v>
      </c>
      <c r="W762" s="302">
        <f t="shared" si="174"/>
        <v>0</v>
      </c>
      <c r="AA762" s="10">
        <f t="shared" si="175"/>
        <v>0</v>
      </c>
      <c r="AB762" s="354">
        <f>+paraméterek!$B$346</f>
        <v>6.4600000000000005E-2</v>
      </c>
      <c r="AC762" s="302">
        <f t="shared" si="162"/>
        <v>0</v>
      </c>
      <c r="AD762" s="302">
        <f t="shared" si="178"/>
        <v>0</v>
      </c>
      <c r="AE762" s="302">
        <f t="shared" si="176"/>
        <v>0</v>
      </c>
      <c r="AF762" s="478">
        <f t="shared" si="163"/>
        <v>0</v>
      </c>
      <c r="AI762" s="543">
        <f t="shared" si="177"/>
        <v>0</v>
      </c>
      <c r="AJ762" s="543"/>
      <c r="AK762" s="300"/>
      <c r="AL762" s="543"/>
      <c r="AM762" s="10"/>
    </row>
    <row r="763" spans="1:39" s="4" customFormat="1" ht="13.8" hidden="1" x14ac:dyDescent="0.25">
      <c r="A763" s="11">
        <v>408</v>
      </c>
      <c r="B763" s="11">
        <f t="shared" si="164"/>
        <v>34</v>
      </c>
      <c r="C763" s="354">
        <f t="shared" si="154"/>
        <v>0</v>
      </c>
      <c r="D763" s="300">
        <f t="shared" si="156"/>
        <v>1.151056494563818E-8</v>
      </c>
      <c r="E763" s="354">
        <f t="shared" si="165"/>
        <v>0.13400000000000001</v>
      </c>
      <c r="F763" s="354">
        <f t="shared" si="155"/>
        <v>0.03</v>
      </c>
      <c r="G763" s="11"/>
      <c r="H763" s="436">
        <f t="shared" si="157"/>
        <v>0</v>
      </c>
      <c r="I763" s="302">
        <f t="shared" si="158"/>
        <v>0</v>
      </c>
      <c r="J763" s="11"/>
      <c r="K763" s="426">
        <f t="shared" si="166"/>
        <v>2.9176084758041223E-11</v>
      </c>
      <c r="L763" s="10">
        <f t="shared" si="167"/>
        <v>2.9176084758041223E-11</v>
      </c>
      <c r="M763" s="436">
        <f t="shared" si="168"/>
        <v>2.9176084758041223E-11</v>
      </c>
      <c r="N763" s="301">
        <f t="shared" si="159"/>
        <v>2.9176084758041223E-11</v>
      </c>
      <c r="O763" s="302">
        <f t="shared" si="160"/>
        <v>0</v>
      </c>
      <c r="P763" s="436">
        <f t="shared" si="169"/>
        <v>0</v>
      </c>
      <c r="Q763" s="11">
        <f t="shared" si="170"/>
        <v>0</v>
      </c>
      <c r="R763" s="426">
        <f t="shared" si="171"/>
        <v>0</v>
      </c>
      <c r="S763" s="354">
        <f>+Hirdetmény!$AA$46</f>
        <v>0.13400000000000001</v>
      </c>
      <c r="T763" s="302">
        <f t="shared" si="161"/>
        <v>0</v>
      </c>
      <c r="U763" s="302">
        <f t="shared" si="172"/>
        <v>0</v>
      </c>
      <c r="V763" s="302">
        <f t="shared" si="173"/>
        <v>0</v>
      </c>
      <c r="W763" s="302">
        <f t="shared" si="174"/>
        <v>0</v>
      </c>
      <c r="AA763" s="10">
        <f t="shared" si="175"/>
        <v>0</v>
      </c>
      <c r="AB763" s="354">
        <f>+paraméterek!$B$346</f>
        <v>6.4600000000000005E-2</v>
      </c>
      <c r="AC763" s="302">
        <f t="shared" si="162"/>
        <v>0</v>
      </c>
      <c r="AD763" s="302">
        <f t="shared" si="178"/>
        <v>0</v>
      </c>
      <c r="AE763" s="302">
        <f t="shared" si="176"/>
        <v>0</v>
      </c>
      <c r="AF763" s="478">
        <f t="shared" si="163"/>
        <v>0</v>
      </c>
      <c r="AI763" s="543">
        <f t="shared" si="177"/>
        <v>0</v>
      </c>
      <c r="AJ763" s="543"/>
      <c r="AK763" s="300"/>
      <c r="AL763" s="543"/>
      <c r="AM763" s="10"/>
    </row>
    <row r="764" spans="1:39" s="4" customFormat="1" ht="13.8" hidden="1" x14ac:dyDescent="0.25">
      <c r="A764" s="11">
        <v>409</v>
      </c>
      <c r="B764" s="11">
        <f t="shared" si="164"/>
        <v>35</v>
      </c>
      <c r="C764" s="354">
        <f t="shared" si="154"/>
        <v>0</v>
      </c>
      <c r="D764" s="300">
        <f t="shared" si="156"/>
        <v>1.151056494563818E-8</v>
      </c>
      <c r="E764" s="354">
        <f t="shared" si="165"/>
        <v>0.13400000000000001</v>
      </c>
      <c r="F764" s="354">
        <f t="shared" si="155"/>
        <v>0.03</v>
      </c>
      <c r="G764" s="11"/>
      <c r="H764" s="436">
        <f t="shared" si="157"/>
        <v>0</v>
      </c>
      <c r="I764" s="302">
        <f t="shared" si="158"/>
        <v>0</v>
      </c>
      <c r="J764" s="11"/>
      <c r="K764" s="426">
        <f t="shared" si="166"/>
        <v>2.9176084758041223E-11</v>
      </c>
      <c r="L764" s="10">
        <f t="shared" si="167"/>
        <v>2.9176084758041223E-11</v>
      </c>
      <c r="M764" s="436">
        <f t="shared" si="168"/>
        <v>2.9176084758041223E-11</v>
      </c>
      <c r="N764" s="301">
        <f t="shared" si="159"/>
        <v>2.9176084758041223E-11</v>
      </c>
      <c r="O764" s="302">
        <f t="shared" si="160"/>
        <v>0</v>
      </c>
      <c r="P764" s="436">
        <f t="shared" si="169"/>
        <v>0</v>
      </c>
      <c r="Q764" s="11">
        <f t="shared" si="170"/>
        <v>0</v>
      </c>
      <c r="R764" s="426">
        <f t="shared" si="171"/>
        <v>0</v>
      </c>
      <c r="S764" s="354">
        <f>+Hirdetmény!$AA$46</f>
        <v>0.13400000000000001</v>
      </c>
      <c r="T764" s="302">
        <f t="shared" si="161"/>
        <v>0</v>
      </c>
      <c r="U764" s="302">
        <f t="shared" si="172"/>
        <v>0</v>
      </c>
      <c r="V764" s="302">
        <f t="shared" si="173"/>
        <v>0</v>
      </c>
      <c r="W764" s="302">
        <f t="shared" si="174"/>
        <v>0</v>
      </c>
      <c r="AA764" s="10">
        <f t="shared" si="175"/>
        <v>0</v>
      </c>
      <c r="AB764" s="354">
        <f>+paraméterek!$B$346</f>
        <v>6.4600000000000005E-2</v>
      </c>
      <c r="AC764" s="302">
        <f t="shared" si="162"/>
        <v>0</v>
      </c>
      <c r="AD764" s="302">
        <f t="shared" si="178"/>
        <v>0</v>
      </c>
      <c r="AE764" s="302">
        <f t="shared" si="176"/>
        <v>0</v>
      </c>
      <c r="AF764" s="478">
        <f t="shared" si="163"/>
        <v>0</v>
      </c>
      <c r="AI764" s="543">
        <f t="shared" si="177"/>
        <v>0</v>
      </c>
      <c r="AJ764" s="543"/>
      <c r="AK764" s="300"/>
      <c r="AL764" s="543"/>
      <c r="AM764" s="10"/>
    </row>
    <row r="765" spans="1:39" s="4" customFormat="1" ht="13.8" hidden="1" x14ac:dyDescent="0.25">
      <c r="A765" s="11">
        <v>410</v>
      </c>
      <c r="B765" s="11">
        <f t="shared" si="164"/>
        <v>35</v>
      </c>
      <c r="C765" s="354">
        <f t="shared" si="154"/>
        <v>0</v>
      </c>
      <c r="D765" s="300">
        <f t="shared" si="156"/>
        <v>1.151056494563818E-8</v>
      </c>
      <c r="E765" s="354">
        <f t="shared" si="165"/>
        <v>0.13400000000000001</v>
      </c>
      <c r="F765" s="354">
        <f t="shared" si="155"/>
        <v>0.03</v>
      </c>
      <c r="G765" s="11"/>
      <c r="H765" s="436">
        <f t="shared" si="157"/>
        <v>0</v>
      </c>
      <c r="I765" s="302">
        <f t="shared" si="158"/>
        <v>0</v>
      </c>
      <c r="J765" s="11"/>
      <c r="K765" s="426">
        <f t="shared" si="166"/>
        <v>2.9176084758041223E-11</v>
      </c>
      <c r="L765" s="10">
        <f t="shared" si="167"/>
        <v>2.9176084758041223E-11</v>
      </c>
      <c r="M765" s="436">
        <f t="shared" si="168"/>
        <v>2.9176084758041223E-11</v>
      </c>
      <c r="N765" s="301">
        <f t="shared" si="159"/>
        <v>2.9176084758041223E-11</v>
      </c>
      <c r="O765" s="302">
        <f t="shared" si="160"/>
        <v>0</v>
      </c>
      <c r="P765" s="436">
        <f t="shared" si="169"/>
        <v>0</v>
      </c>
      <c r="Q765" s="11">
        <f t="shared" si="170"/>
        <v>0</v>
      </c>
      <c r="R765" s="426">
        <f t="shared" si="171"/>
        <v>0</v>
      </c>
      <c r="S765" s="354">
        <f>+Hirdetmény!$AA$46</f>
        <v>0.13400000000000001</v>
      </c>
      <c r="T765" s="302">
        <f t="shared" si="161"/>
        <v>0</v>
      </c>
      <c r="U765" s="302">
        <f t="shared" si="172"/>
        <v>0</v>
      </c>
      <c r="V765" s="302">
        <f t="shared" si="173"/>
        <v>0</v>
      </c>
      <c r="W765" s="302">
        <f t="shared" si="174"/>
        <v>0</v>
      </c>
      <c r="AA765" s="10">
        <f t="shared" si="175"/>
        <v>0</v>
      </c>
      <c r="AB765" s="354">
        <f>+paraméterek!$B$346</f>
        <v>6.4600000000000005E-2</v>
      </c>
      <c r="AC765" s="302">
        <f t="shared" si="162"/>
        <v>0</v>
      </c>
      <c r="AD765" s="302">
        <f t="shared" si="178"/>
        <v>0</v>
      </c>
      <c r="AE765" s="302">
        <f t="shared" si="176"/>
        <v>0</v>
      </c>
      <c r="AF765" s="478">
        <f t="shared" si="163"/>
        <v>0</v>
      </c>
      <c r="AI765" s="543">
        <f t="shared" si="177"/>
        <v>0</v>
      </c>
      <c r="AJ765" s="543"/>
      <c r="AK765" s="300"/>
      <c r="AL765" s="543"/>
      <c r="AM765" s="10"/>
    </row>
    <row r="766" spans="1:39" s="4" customFormat="1" ht="13.8" hidden="1" x14ac:dyDescent="0.25">
      <c r="A766" s="11">
        <v>411</v>
      </c>
      <c r="B766" s="11">
        <f t="shared" si="164"/>
        <v>35</v>
      </c>
      <c r="C766" s="354">
        <f t="shared" si="154"/>
        <v>0</v>
      </c>
      <c r="D766" s="300">
        <f t="shared" si="156"/>
        <v>1.151056494563818E-8</v>
      </c>
      <c r="E766" s="354">
        <f t="shared" si="165"/>
        <v>0.13400000000000001</v>
      </c>
      <c r="F766" s="354">
        <f t="shared" si="155"/>
        <v>0.03</v>
      </c>
      <c r="G766" s="11"/>
      <c r="H766" s="436">
        <f t="shared" si="157"/>
        <v>0</v>
      </c>
      <c r="I766" s="302">
        <f t="shared" si="158"/>
        <v>0</v>
      </c>
      <c r="J766" s="11"/>
      <c r="K766" s="426">
        <f t="shared" si="166"/>
        <v>2.9176084758041223E-11</v>
      </c>
      <c r="L766" s="10">
        <f t="shared" si="167"/>
        <v>2.9176084758041223E-11</v>
      </c>
      <c r="M766" s="436">
        <f t="shared" si="168"/>
        <v>2.9176084758041223E-11</v>
      </c>
      <c r="N766" s="301">
        <f t="shared" si="159"/>
        <v>2.9176084758041223E-11</v>
      </c>
      <c r="O766" s="302">
        <f t="shared" si="160"/>
        <v>0</v>
      </c>
      <c r="P766" s="436">
        <f t="shared" si="169"/>
        <v>0</v>
      </c>
      <c r="Q766" s="11">
        <f t="shared" si="170"/>
        <v>0</v>
      </c>
      <c r="R766" s="426">
        <f t="shared" si="171"/>
        <v>0</v>
      </c>
      <c r="S766" s="354">
        <f>+Hirdetmény!$AA$46</f>
        <v>0.13400000000000001</v>
      </c>
      <c r="T766" s="302">
        <f t="shared" si="161"/>
        <v>0</v>
      </c>
      <c r="U766" s="302">
        <f t="shared" si="172"/>
        <v>0</v>
      </c>
      <c r="V766" s="302">
        <f t="shared" si="173"/>
        <v>0</v>
      </c>
      <c r="W766" s="302">
        <f t="shared" si="174"/>
        <v>0</v>
      </c>
      <c r="AA766" s="10">
        <f t="shared" si="175"/>
        <v>0</v>
      </c>
      <c r="AB766" s="354">
        <f>+paraméterek!$B$346</f>
        <v>6.4600000000000005E-2</v>
      </c>
      <c r="AC766" s="302">
        <f t="shared" si="162"/>
        <v>0</v>
      </c>
      <c r="AD766" s="302">
        <f t="shared" si="178"/>
        <v>0</v>
      </c>
      <c r="AE766" s="302">
        <f t="shared" si="176"/>
        <v>0</v>
      </c>
      <c r="AF766" s="478">
        <f t="shared" si="163"/>
        <v>0</v>
      </c>
      <c r="AI766" s="543">
        <f t="shared" si="177"/>
        <v>0</v>
      </c>
      <c r="AJ766" s="543"/>
      <c r="AK766" s="300"/>
      <c r="AL766" s="543"/>
      <c r="AM766" s="10"/>
    </row>
    <row r="767" spans="1:39" s="4" customFormat="1" ht="13.8" hidden="1" x14ac:dyDescent="0.25">
      <c r="A767" s="11">
        <v>412</v>
      </c>
      <c r="B767" s="11">
        <f t="shared" si="164"/>
        <v>35</v>
      </c>
      <c r="C767" s="354">
        <f t="shared" si="154"/>
        <v>0</v>
      </c>
      <c r="D767" s="300">
        <f t="shared" si="156"/>
        <v>1.151056494563818E-8</v>
      </c>
      <c r="E767" s="354">
        <f t="shared" si="165"/>
        <v>0.13400000000000001</v>
      </c>
      <c r="F767" s="354">
        <f t="shared" si="155"/>
        <v>0.03</v>
      </c>
      <c r="G767" s="11"/>
      <c r="H767" s="436">
        <f t="shared" si="157"/>
        <v>0</v>
      </c>
      <c r="I767" s="302">
        <f t="shared" si="158"/>
        <v>0</v>
      </c>
      <c r="J767" s="11"/>
      <c r="K767" s="426">
        <f t="shared" si="166"/>
        <v>2.9176084758041223E-11</v>
      </c>
      <c r="L767" s="10">
        <f t="shared" si="167"/>
        <v>2.9176084758041223E-11</v>
      </c>
      <c r="M767" s="436">
        <f t="shared" si="168"/>
        <v>2.9176084758041223E-11</v>
      </c>
      <c r="N767" s="301">
        <f t="shared" si="159"/>
        <v>2.9176084758041223E-11</v>
      </c>
      <c r="O767" s="302">
        <f t="shared" si="160"/>
        <v>0</v>
      </c>
      <c r="P767" s="436">
        <f t="shared" si="169"/>
        <v>0</v>
      </c>
      <c r="Q767" s="11">
        <f t="shared" si="170"/>
        <v>0</v>
      </c>
      <c r="R767" s="426">
        <f t="shared" si="171"/>
        <v>0</v>
      </c>
      <c r="S767" s="354">
        <f>+Hirdetmény!$AA$46</f>
        <v>0.13400000000000001</v>
      </c>
      <c r="T767" s="302">
        <f t="shared" si="161"/>
        <v>0</v>
      </c>
      <c r="U767" s="302">
        <f t="shared" si="172"/>
        <v>0</v>
      </c>
      <c r="V767" s="302">
        <f t="shared" si="173"/>
        <v>0</v>
      </c>
      <c r="W767" s="302">
        <f t="shared" si="174"/>
        <v>0</v>
      </c>
      <c r="AA767" s="10">
        <f t="shared" si="175"/>
        <v>0</v>
      </c>
      <c r="AB767" s="354">
        <f>+paraméterek!$B$346</f>
        <v>6.4600000000000005E-2</v>
      </c>
      <c r="AC767" s="302">
        <f t="shared" si="162"/>
        <v>0</v>
      </c>
      <c r="AD767" s="302">
        <f t="shared" si="178"/>
        <v>0</v>
      </c>
      <c r="AE767" s="302">
        <f t="shared" si="176"/>
        <v>0</v>
      </c>
      <c r="AF767" s="478">
        <f t="shared" si="163"/>
        <v>0</v>
      </c>
      <c r="AI767" s="543">
        <f t="shared" si="177"/>
        <v>0</v>
      </c>
      <c r="AJ767" s="543"/>
      <c r="AK767" s="300"/>
      <c r="AL767" s="543"/>
      <c r="AM767" s="10"/>
    </row>
    <row r="768" spans="1:39" s="4" customFormat="1" ht="13.8" hidden="1" x14ac:dyDescent="0.25">
      <c r="A768" s="11">
        <v>413</v>
      </c>
      <c r="B768" s="11">
        <f t="shared" si="164"/>
        <v>35</v>
      </c>
      <c r="C768" s="354">
        <f t="shared" si="154"/>
        <v>0</v>
      </c>
      <c r="D768" s="300">
        <f t="shared" si="156"/>
        <v>1.151056494563818E-8</v>
      </c>
      <c r="E768" s="354">
        <f t="shared" si="165"/>
        <v>0.13400000000000001</v>
      </c>
      <c r="F768" s="354">
        <f t="shared" si="155"/>
        <v>0.03</v>
      </c>
      <c r="G768" s="11"/>
      <c r="H768" s="436">
        <f t="shared" si="157"/>
        <v>0</v>
      </c>
      <c r="I768" s="302">
        <f t="shared" si="158"/>
        <v>0</v>
      </c>
      <c r="J768" s="11"/>
      <c r="K768" s="426">
        <f t="shared" si="166"/>
        <v>2.9176084758041223E-11</v>
      </c>
      <c r="L768" s="10">
        <f t="shared" si="167"/>
        <v>2.9176084758041223E-11</v>
      </c>
      <c r="M768" s="436">
        <f t="shared" si="168"/>
        <v>2.9176084758041223E-11</v>
      </c>
      <c r="N768" s="301">
        <f t="shared" si="159"/>
        <v>2.9176084758041223E-11</v>
      </c>
      <c r="O768" s="302">
        <f t="shared" si="160"/>
        <v>0</v>
      </c>
      <c r="P768" s="436">
        <f t="shared" si="169"/>
        <v>0</v>
      </c>
      <c r="Q768" s="11">
        <f t="shared" si="170"/>
        <v>0</v>
      </c>
      <c r="R768" s="426">
        <f t="shared" si="171"/>
        <v>0</v>
      </c>
      <c r="S768" s="354">
        <f>+Hirdetmény!$AA$46</f>
        <v>0.13400000000000001</v>
      </c>
      <c r="T768" s="302">
        <f t="shared" si="161"/>
        <v>0</v>
      </c>
      <c r="U768" s="302">
        <f t="shared" si="172"/>
        <v>0</v>
      </c>
      <c r="V768" s="302">
        <f t="shared" si="173"/>
        <v>0</v>
      </c>
      <c r="W768" s="302">
        <f t="shared" si="174"/>
        <v>0</v>
      </c>
      <c r="AA768" s="10">
        <f t="shared" si="175"/>
        <v>0</v>
      </c>
      <c r="AB768" s="354">
        <f>+paraméterek!$B$346</f>
        <v>6.4600000000000005E-2</v>
      </c>
      <c r="AC768" s="302">
        <f t="shared" si="162"/>
        <v>0</v>
      </c>
      <c r="AD768" s="302">
        <f t="shared" si="178"/>
        <v>0</v>
      </c>
      <c r="AE768" s="302">
        <f t="shared" si="176"/>
        <v>0</v>
      </c>
      <c r="AF768" s="478">
        <f t="shared" si="163"/>
        <v>0</v>
      </c>
      <c r="AI768" s="543">
        <f t="shared" si="177"/>
        <v>0</v>
      </c>
      <c r="AJ768" s="543"/>
      <c r="AK768" s="300"/>
      <c r="AL768" s="543"/>
      <c r="AM768" s="10"/>
    </row>
    <row r="769" spans="1:39" s="4" customFormat="1" ht="13.8" hidden="1" x14ac:dyDescent="0.25">
      <c r="A769" s="11">
        <v>414</v>
      </c>
      <c r="B769" s="11">
        <f t="shared" si="164"/>
        <v>35</v>
      </c>
      <c r="C769" s="354">
        <f t="shared" si="154"/>
        <v>0</v>
      </c>
      <c r="D769" s="300">
        <f t="shared" si="156"/>
        <v>1.151056494563818E-8</v>
      </c>
      <c r="E769" s="354">
        <f t="shared" si="165"/>
        <v>0.13400000000000001</v>
      </c>
      <c r="F769" s="354">
        <f t="shared" si="155"/>
        <v>0.03</v>
      </c>
      <c r="G769" s="11"/>
      <c r="H769" s="436">
        <f t="shared" si="157"/>
        <v>0</v>
      </c>
      <c r="I769" s="302">
        <f t="shared" si="158"/>
        <v>0</v>
      </c>
      <c r="J769" s="11"/>
      <c r="K769" s="426">
        <f t="shared" si="166"/>
        <v>2.9176084758041223E-11</v>
      </c>
      <c r="L769" s="10">
        <f t="shared" si="167"/>
        <v>2.9176084758041223E-11</v>
      </c>
      <c r="M769" s="436">
        <f t="shared" si="168"/>
        <v>2.9176084758041223E-11</v>
      </c>
      <c r="N769" s="301">
        <f t="shared" si="159"/>
        <v>2.9176084758041223E-11</v>
      </c>
      <c r="O769" s="302">
        <f t="shared" si="160"/>
        <v>0</v>
      </c>
      <c r="P769" s="436">
        <f t="shared" si="169"/>
        <v>0</v>
      </c>
      <c r="Q769" s="11">
        <f t="shared" si="170"/>
        <v>0</v>
      </c>
      <c r="R769" s="426">
        <f t="shared" si="171"/>
        <v>0</v>
      </c>
      <c r="S769" s="354">
        <f>+Hirdetmény!$AA$46</f>
        <v>0.13400000000000001</v>
      </c>
      <c r="T769" s="302">
        <f t="shared" si="161"/>
        <v>0</v>
      </c>
      <c r="U769" s="302">
        <f t="shared" si="172"/>
        <v>0</v>
      </c>
      <c r="V769" s="302">
        <f t="shared" si="173"/>
        <v>0</v>
      </c>
      <c r="W769" s="302">
        <f t="shared" si="174"/>
        <v>0</v>
      </c>
      <c r="AA769" s="10">
        <f t="shared" si="175"/>
        <v>0</v>
      </c>
      <c r="AB769" s="354">
        <f>+paraméterek!$B$346</f>
        <v>6.4600000000000005E-2</v>
      </c>
      <c r="AC769" s="302">
        <f t="shared" si="162"/>
        <v>0</v>
      </c>
      <c r="AD769" s="302">
        <f t="shared" si="178"/>
        <v>0</v>
      </c>
      <c r="AE769" s="302">
        <f t="shared" si="176"/>
        <v>0</v>
      </c>
      <c r="AF769" s="478">
        <f t="shared" si="163"/>
        <v>0</v>
      </c>
      <c r="AI769" s="543">
        <f t="shared" si="177"/>
        <v>0</v>
      </c>
      <c r="AJ769" s="543"/>
      <c r="AK769" s="300"/>
      <c r="AL769" s="543"/>
      <c r="AM769" s="10"/>
    </row>
    <row r="770" spans="1:39" s="4" customFormat="1" ht="13.8" hidden="1" x14ac:dyDescent="0.25">
      <c r="A770" s="11">
        <v>415</v>
      </c>
      <c r="B770" s="11">
        <f t="shared" si="164"/>
        <v>35</v>
      </c>
      <c r="C770" s="354">
        <f t="shared" si="154"/>
        <v>0</v>
      </c>
      <c r="D770" s="300">
        <f t="shared" si="156"/>
        <v>1.151056494563818E-8</v>
      </c>
      <c r="E770" s="354">
        <f t="shared" si="165"/>
        <v>0.13400000000000001</v>
      </c>
      <c r="F770" s="354">
        <f t="shared" si="155"/>
        <v>0.03</v>
      </c>
      <c r="G770" s="11"/>
      <c r="H770" s="436">
        <f t="shared" si="157"/>
        <v>0</v>
      </c>
      <c r="I770" s="302">
        <f t="shared" si="158"/>
        <v>0</v>
      </c>
      <c r="J770" s="11"/>
      <c r="K770" s="426">
        <f t="shared" si="166"/>
        <v>2.9176084758041223E-11</v>
      </c>
      <c r="L770" s="10">
        <f t="shared" si="167"/>
        <v>2.9176084758041223E-11</v>
      </c>
      <c r="M770" s="436">
        <f t="shared" si="168"/>
        <v>2.9176084758041223E-11</v>
      </c>
      <c r="N770" s="301">
        <f t="shared" si="159"/>
        <v>2.9176084758041223E-11</v>
      </c>
      <c r="O770" s="302">
        <f t="shared" si="160"/>
        <v>0</v>
      </c>
      <c r="P770" s="436">
        <f t="shared" si="169"/>
        <v>0</v>
      </c>
      <c r="Q770" s="11">
        <f t="shared" si="170"/>
        <v>0</v>
      </c>
      <c r="R770" s="426">
        <f t="shared" si="171"/>
        <v>0</v>
      </c>
      <c r="S770" s="354">
        <f>+Hirdetmény!$AA$46</f>
        <v>0.13400000000000001</v>
      </c>
      <c r="T770" s="302">
        <f t="shared" si="161"/>
        <v>0</v>
      </c>
      <c r="U770" s="302">
        <f t="shared" si="172"/>
        <v>0</v>
      </c>
      <c r="V770" s="302">
        <f t="shared" si="173"/>
        <v>0</v>
      </c>
      <c r="W770" s="302">
        <f t="shared" si="174"/>
        <v>0</v>
      </c>
      <c r="AA770" s="10">
        <f t="shared" si="175"/>
        <v>0</v>
      </c>
      <c r="AB770" s="354">
        <f>+paraméterek!$B$346</f>
        <v>6.4600000000000005E-2</v>
      </c>
      <c r="AC770" s="302">
        <f t="shared" si="162"/>
        <v>0</v>
      </c>
      <c r="AD770" s="302">
        <f t="shared" si="178"/>
        <v>0</v>
      </c>
      <c r="AE770" s="302">
        <f t="shared" si="176"/>
        <v>0</v>
      </c>
      <c r="AF770" s="478">
        <f t="shared" si="163"/>
        <v>0</v>
      </c>
      <c r="AI770" s="543">
        <f t="shared" si="177"/>
        <v>0</v>
      </c>
      <c r="AJ770" s="543"/>
      <c r="AK770" s="300"/>
      <c r="AL770" s="543"/>
      <c r="AM770" s="10"/>
    </row>
    <row r="771" spans="1:39" s="4" customFormat="1" ht="13.8" hidden="1" x14ac:dyDescent="0.25">
      <c r="A771" s="11">
        <v>416</v>
      </c>
      <c r="B771" s="11">
        <f t="shared" si="164"/>
        <v>35</v>
      </c>
      <c r="C771" s="354">
        <f t="shared" si="154"/>
        <v>0</v>
      </c>
      <c r="D771" s="300">
        <f t="shared" si="156"/>
        <v>1.151056494563818E-8</v>
      </c>
      <c r="E771" s="354">
        <f t="shared" si="165"/>
        <v>0.13400000000000001</v>
      </c>
      <c r="F771" s="354">
        <f t="shared" si="155"/>
        <v>0.03</v>
      </c>
      <c r="G771" s="11"/>
      <c r="H771" s="436">
        <f t="shared" si="157"/>
        <v>0</v>
      </c>
      <c r="I771" s="302">
        <f t="shared" si="158"/>
        <v>0</v>
      </c>
      <c r="J771" s="11"/>
      <c r="K771" s="426">
        <f t="shared" si="166"/>
        <v>2.9176084758041223E-11</v>
      </c>
      <c r="L771" s="10">
        <f t="shared" si="167"/>
        <v>2.9176084758041223E-11</v>
      </c>
      <c r="M771" s="436">
        <f t="shared" si="168"/>
        <v>2.9176084758041223E-11</v>
      </c>
      <c r="N771" s="301">
        <f t="shared" si="159"/>
        <v>2.9176084758041223E-11</v>
      </c>
      <c r="O771" s="302">
        <f t="shared" si="160"/>
        <v>0</v>
      </c>
      <c r="P771" s="436">
        <f t="shared" si="169"/>
        <v>0</v>
      </c>
      <c r="Q771" s="11">
        <f t="shared" si="170"/>
        <v>0</v>
      </c>
      <c r="R771" s="426">
        <f t="shared" si="171"/>
        <v>0</v>
      </c>
      <c r="S771" s="354">
        <f>+Hirdetmény!$AA$46</f>
        <v>0.13400000000000001</v>
      </c>
      <c r="T771" s="302">
        <f t="shared" si="161"/>
        <v>0</v>
      </c>
      <c r="U771" s="302">
        <f t="shared" si="172"/>
        <v>0</v>
      </c>
      <c r="V771" s="302">
        <f t="shared" si="173"/>
        <v>0</v>
      </c>
      <c r="W771" s="302">
        <f t="shared" si="174"/>
        <v>0</v>
      </c>
      <c r="AA771" s="10">
        <f t="shared" si="175"/>
        <v>0</v>
      </c>
      <c r="AB771" s="354">
        <f>+paraméterek!$B$346</f>
        <v>6.4600000000000005E-2</v>
      </c>
      <c r="AC771" s="302">
        <f t="shared" si="162"/>
        <v>0</v>
      </c>
      <c r="AD771" s="302">
        <f t="shared" si="178"/>
        <v>0</v>
      </c>
      <c r="AE771" s="302">
        <f t="shared" si="176"/>
        <v>0</v>
      </c>
      <c r="AF771" s="478">
        <f t="shared" si="163"/>
        <v>0</v>
      </c>
      <c r="AI771" s="543">
        <f t="shared" si="177"/>
        <v>0</v>
      </c>
      <c r="AJ771" s="543"/>
      <c r="AK771" s="300"/>
      <c r="AL771" s="543"/>
      <c r="AM771" s="10"/>
    </row>
    <row r="772" spans="1:39" s="4" customFormat="1" ht="13.8" hidden="1" x14ac:dyDescent="0.25">
      <c r="A772" s="11">
        <v>417</v>
      </c>
      <c r="B772" s="11">
        <f t="shared" si="164"/>
        <v>35</v>
      </c>
      <c r="C772" s="354">
        <f t="shared" si="154"/>
        <v>0</v>
      </c>
      <c r="D772" s="300">
        <f t="shared" si="156"/>
        <v>1.151056494563818E-8</v>
      </c>
      <c r="E772" s="354">
        <f t="shared" si="165"/>
        <v>0.13400000000000001</v>
      </c>
      <c r="F772" s="354">
        <f t="shared" si="155"/>
        <v>0.03</v>
      </c>
      <c r="G772" s="11"/>
      <c r="H772" s="436">
        <f t="shared" si="157"/>
        <v>0</v>
      </c>
      <c r="I772" s="302">
        <f t="shared" si="158"/>
        <v>0</v>
      </c>
      <c r="J772" s="11"/>
      <c r="K772" s="426">
        <f t="shared" si="166"/>
        <v>2.9176084758041223E-11</v>
      </c>
      <c r="L772" s="10">
        <f t="shared" si="167"/>
        <v>2.9176084758041223E-11</v>
      </c>
      <c r="M772" s="436">
        <f t="shared" si="168"/>
        <v>2.9176084758041223E-11</v>
      </c>
      <c r="N772" s="301">
        <f t="shared" si="159"/>
        <v>2.9176084758041223E-11</v>
      </c>
      <c r="O772" s="302">
        <f t="shared" si="160"/>
        <v>0</v>
      </c>
      <c r="P772" s="436">
        <f t="shared" si="169"/>
        <v>0</v>
      </c>
      <c r="Q772" s="11">
        <f t="shared" si="170"/>
        <v>0</v>
      </c>
      <c r="R772" s="426">
        <f t="shared" si="171"/>
        <v>0</v>
      </c>
      <c r="S772" s="354">
        <f>+Hirdetmény!$AA$46</f>
        <v>0.13400000000000001</v>
      </c>
      <c r="T772" s="302">
        <f t="shared" si="161"/>
        <v>0</v>
      </c>
      <c r="U772" s="302">
        <f t="shared" si="172"/>
        <v>0</v>
      </c>
      <c r="V772" s="302">
        <f t="shared" si="173"/>
        <v>0</v>
      </c>
      <c r="W772" s="302">
        <f t="shared" si="174"/>
        <v>0</v>
      </c>
      <c r="AA772" s="10">
        <f t="shared" si="175"/>
        <v>0</v>
      </c>
      <c r="AB772" s="354">
        <f>+paraméterek!$B$346</f>
        <v>6.4600000000000005E-2</v>
      </c>
      <c r="AC772" s="302">
        <f t="shared" si="162"/>
        <v>0</v>
      </c>
      <c r="AD772" s="302">
        <f t="shared" si="178"/>
        <v>0</v>
      </c>
      <c r="AE772" s="302">
        <f t="shared" si="176"/>
        <v>0</v>
      </c>
      <c r="AF772" s="478">
        <f t="shared" si="163"/>
        <v>0</v>
      </c>
      <c r="AI772" s="543">
        <f t="shared" si="177"/>
        <v>0</v>
      </c>
      <c r="AJ772" s="543"/>
      <c r="AK772" s="300"/>
      <c r="AL772" s="543"/>
      <c r="AM772" s="10"/>
    </row>
    <row r="773" spans="1:39" s="4" customFormat="1" ht="13.8" hidden="1" x14ac:dyDescent="0.25">
      <c r="A773" s="11">
        <v>418</v>
      </c>
      <c r="B773" s="11">
        <f t="shared" si="164"/>
        <v>35</v>
      </c>
      <c r="C773" s="354">
        <f t="shared" si="154"/>
        <v>0</v>
      </c>
      <c r="D773" s="300">
        <f t="shared" si="156"/>
        <v>1.151056494563818E-8</v>
      </c>
      <c r="E773" s="354">
        <f t="shared" si="165"/>
        <v>0.13400000000000001</v>
      </c>
      <c r="F773" s="354">
        <f t="shared" si="155"/>
        <v>0.03</v>
      </c>
      <c r="G773" s="11"/>
      <c r="H773" s="436">
        <f t="shared" si="157"/>
        <v>0</v>
      </c>
      <c r="I773" s="302">
        <f t="shared" si="158"/>
        <v>0</v>
      </c>
      <c r="J773" s="11"/>
      <c r="K773" s="426">
        <f t="shared" si="166"/>
        <v>2.9176084758041223E-11</v>
      </c>
      <c r="L773" s="10">
        <f t="shared" si="167"/>
        <v>2.9176084758041223E-11</v>
      </c>
      <c r="M773" s="436">
        <f t="shared" si="168"/>
        <v>2.9176084758041223E-11</v>
      </c>
      <c r="N773" s="301">
        <f t="shared" si="159"/>
        <v>2.9176084758041223E-11</v>
      </c>
      <c r="O773" s="302">
        <f t="shared" si="160"/>
        <v>0</v>
      </c>
      <c r="P773" s="436">
        <f t="shared" si="169"/>
        <v>0</v>
      </c>
      <c r="Q773" s="11">
        <f t="shared" si="170"/>
        <v>0</v>
      </c>
      <c r="R773" s="426">
        <f t="shared" si="171"/>
        <v>0</v>
      </c>
      <c r="S773" s="354">
        <f>+Hirdetmény!$AA$46</f>
        <v>0.13400000000000001</v>
      </c>
      <c r="T773" s="302">
        <f t="shared" si="161"/>
        <v>0</v>
      </c>
      <c r="U773" s="302">
        <f t="shared" si="172"/>
        <v>0</v>
      </c>
      <c r="V773" s="302">
        <f t="shared" si="173"/>
        <v>0</v>
      </c>
      <c r="W773" s="302">
        <f t="shared" si="174"/>
        <v>0</v>
      </c>
      <c r="AA773" s="10">
        <f t="shared" si="175"/>
        <v>0</v>
      </c>
      <c r="AB773" s="354">
        <f>+paraméterek!$B$346</f>
        <v>6.4600000000000005E-2</v>
      </c>
      <c r="AC773" s="302">
        <f t="shared" si="162"/>
        <v>0</v>
      </c>
      <c r="AD773" s="302">
        <f t="shared" si="178"/>
        <v>0</v>
      </c>
      <c r="AE773" s="302">
        <f t="shared" si="176"/>
        <v>0</v>
      </c>
      <c r="AF773" s="478">
        <f t="shared" si="163"/>
        <v>0</v>
      </c>
      <c r="AI773" s="543">
        <f t="shared" si="177"/>
        <v>0</v>
      </c>
      <c r="AJ773" s="543"/>
      <c r="AK773" s="300"/>
      <c r="AL773" s="543"/>
      <c r="AM773" s="10"/>
    </row>
    <row r="774" spans="1:39" s="4" customFormat="1" ht="13.8" hidden="1" x14ac:dyDescent="0.25">
      <c r="A774" s="11">
        <v>419</v>
      </c>
      <c r="B774" s="11">
        <f t="shared" si="164"/>
        <v>35</v>
      </c>
      <c r="C774" s="354">
        <f t="shared" si="154"/>
        <v>0</v>
      </c>
      <c r="D774" s="300">
        <f t="shared" si="156"/>
        <v>1.151056494563818E-8</v>
      </c>
      <c r="E774" s="354">
        <f t="shared" si="165"/>
        <v>0.13400000000000001</v>
      </c>
      <c r="F774" s="354">
        <f t="shared" si="155"/>
        <v>0.03</v>
      </c>
      <c r="G774" s="11"/>
      <c r="H774" s="436">
        <f t="shared" si="157"/>
        <v>0</v>
      </c>
      <c r="I774" s="302">
        <f t="shared" si="158"/>
        <v>0</v>
      </c>
      <c r="J774" s="11"/>
      <c r="K774" s="426">
        <f t="shared" si="166"/>
        <v>2.9176084758041223E-11</v>
      </c>
      <c r="L774" s="10">
        <f t="shared" si="167"/>
        <v>2.9176084758041223E-11</v>
      </c>
      <c r="M774" s="436">
        <f t="shared" si="168"/>
        <v>2.9176084758041223E-11</v>
      </c>
      <c r="N774" s="301">
        <f t="shared" si="159"/>
        <v>2.9176084758041223E-11</v>
      </c>
      <c r="O774" s="302">
        <f t="shared" si="160"/>
        <v>0</v>
      </c>
      <c r="P774" s="436">
        <f t="shared" si="169"/>
        <v>0</v>
      </c>
      <c r="Q774" s="11">
        <f t="shared" si="170"/>
        <v>0</v>
      </c>
      <c r="R774" s="426">
        <f t="shared" si="171"/>
        <v>0</v>
      </c>
      <c r="S774" s="354">
        <f>+Hirdetmény!$AA$46</f>
        <v>0.13400000000000001</v>
      </c>
      <c r="T774" s="302">
        <f t="shared" si="161"/>
        <v>0</v>
      </c>
      <c r="U774" s="302">
        <f t="shared" si="172"/>
        <v>0</v>
      </c>
      <c r="V774" s="302">
        <f t="shared" si="173"/>
        <v>0</v>
      </c>
      <c r="W774" s="302">
        <f t="shared" si="174"/>
        <v>0</v>
      </c>
      <c r="AA774" s="10">
        <f t="shared" si="175"/>
        <v>0</v>
      </c>
      <c r="AB774" s="354">
        <f>+paraméterek!$B$346</f>
        <v>6.4600000000000005E-2</v>
      </c>
      <c r="AC774" s="302">
        <f t="shared" si="162"/>
        <v>0</v>
      </c>
      <c r="AD774" s="302">
        <f t="shared" si="178"/>
        <v>0</v>
      </c>
      <c r="AE774" s="302">
        <f t="shared" si="176"/>
        <v>0</v>
      </c>
      <c r="AF774" s="478">
        <f t="shared" si="163"/>
        <v>0</v>
      </c>
      <c r="AI774" s="543">
        <f t="shared" si="177"/>
        <v>0</v>
      </c>
      <c r="AJ774" s="543"/>
      <c r="AK774" s="300"/>
      <c r="AL774" s="543"/>
      <c r="AM774" s="10"/>
    </row>
    <row r="775" spans="1:39" s="4" customFormat="1" ht="13.8" hidden="1" x14ac:dyDescent="0.25">
      <c r="A775" s="11">
        <v>420</v>
      </c>
      <c r="B775" s="11">
        <f t="shared" si="164"/>
        <v>35</v>
      </c>
      <c r="C775" s="354">
        <f t="shared" si="154"/>
        <v>0</v>
      </c>
      <c r="D775" s="300">
        <f t="shared" si="156"/>
        <v>1.151056494563818E-8</v>
      </c>
      <c r="E775" s="354">
        <f t="shared" si="165"/>
        <v>0.13400000000000001</v>
      </c>
      <c r="F775" s="354">
        <f t="shared" si="155"/>
        <v>0.03</v>
      </c>
      <c r="G775" s="11"/>
      <c r="H775" s="436">
        <f t="shared" si="157"/>
        <v>0</v>
      </c>
      <c r="I775" s="302">
        <f t="shared" si="158"/>
        <v>0</v>
      </c>
      <c r="J775" s="11"/>
      <c r="K775" s="426">
        <f t="shared" si="166"/>
        <v>2.9176084758041223E-11</v>
      </c>
      <c r="L775" s="10">
        <f t="shared" si="167"/>
        <v>2.9176084758041223E-11</v>
      </c>
      <c r="M775" s="436">
        <f t="shared" si="168"/>
        <v>2.9176084758041223E-11</v>
      </c>
      <c r="N775" s="301">
        <f t="shared" si="159"/>
        <v>2.9176084758041223E-11</v>
      </c>
      <c r="O775" s="302">
        <f t="shared" si="160"/>
        <v>0</v>
      </c>
      <c r="P775" s="436">
        <f t="shared" si="169"/>
        <v>0</v>
      </c>
      <c r="Q775" s="11">
        <f t="shared" si="170"/>
        <v>0</v>
      </c>
      <c r="R775" s="426">
        <f t="shared" si="171"/>
        <v>0</v>
      </c>
      <c r="S775" s="354">
        <f>+Hirdetmény!$AA$46</f>
        <v>0.13400000000000001</v>
      </c>
      <c r="T775" s="302">
        <f t="shared" si="161"/>
        <v>0</v>
      </c>
      <c r="U775" s="302">
        <f t="shared" si="172"/>
        <v>0</v>
      </c>
      <c r="V775" s="302">
        <f t="shared" si="173"/>
        <v>0</v>
      </c>
      <c r="W775" s="302">
        <f t="shared" si="174"/>
        <v>0</v>
      </c>
      <c r="AA775" s="10">
        <f t="shared" si="175"/>
        <v>0</v>
      </c>
      <c r="AB775" s="354">
        <f>+paraméterek!$B$346</f>
        <v>6.4600000000000005E-2</v>
      </c>
      <c r="AC775" s="302">
        <f t="shared" si="162"/>
        <v>0</v>
      </c>
      <c r="AD775" s="302">
        <f t="shared" si="178"/>
        <v>0</v>
      </c>
      <c r="AE775" s="302">
        <f t="shared" si="176"/>
        <v>0</v>
      </c>
      <c r="AF775" s="478">
        <f t="shared" si="163"/>
        <v>0</v>
      </c>
      <c r="AI775" s="543">
        <f t="shared" si="177"/>
        <v>0</v>
      </c>
      <c r="AJ775" s="543"/>
      <c r="AK775" s="300"/>
      <c r="AL775" s="543"/>
      <c r="AM775" s="10"/>
    </row>
    <row r="776" spans="1:39" hidden="1" x14ac:dyDescent="0.2"/>
    <row r="777" spans="1:39" hidden="1" x14ac:dyDescent="0.2"/>
    <row r="778" spans="1:39" hidden="1" x14ac:dyDescent="0.2"/>
    <row r="779" spans="1:39" hidden="1" x14ac:dyDescent="0.2"/>
    <row r="780" spans="1:39" hidden="1" x14ac:dyDescent="0.2"/>
    <row r="781" spans="1:39" hidden="1" x14ac:dyDescent="0.2"/>
    <row r="782" spans="1:39" hidden="1" x14ac:dyDescent="0.2"/>
    <row r="783" spans="1:39" hidden="1" x14ac:dyDescent="0.2"/>
    <row r="784" spans="1:39"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sheetData>
  <sheetProtection algorithmName="SHA-512" hashValue="rD86dBL1cTBrVyYwvsj6mz3z3ZhBgjZKacaujBQ8p0av53GYx992E/dqo/DYalDBYwph2MDq/74fY0r2bqq6XA==" saltValue="La54F19Jn/K8wE2hukaz/Q==" spinCount="100000" sheet="1" selectLockedCells="1"/>
  <dataConsolidate/>
  <mergeCells count="62">
    <mergeCell ref="D1:E1"/>
    <mergeCell ref="G1:H1"/>
    <mergeCell ref="D2:N2"/>
    <mergeCell ref="B4:B25"/>
    <mergeCell ref="C4:C10"/>
    <mergeCell ref="C15:C20"/>
    <mergeCell ref="K17:K18"/>
    <mergeCell ref="D21:E21"/>
    <mergeCell ref="E31:N31"/>
    <mergeCell ref="B32:B111"/>
    <mergeCell ref="D32:N32"/>
    <mergeCell ref="C37:C47"/>
    <mergeCell ref="C49:C73"/>
    <mergeCell ref="C75:C93"/>
    <mergeCell ref="D98:N98"/>
    <mergeCell ref="D104:H104"/>
    <mergeCell ref="D105:H105"/>
    <mergeCell ref="D107:E107"/>
    <mergeCell ref="K108:L108"/>
    <mergeCell ref="K109:L109"/>
    <mergeCell ref="D186:E186"/>
    <mergeCell ref="D187:E187"/>
    <mergeCell ref="B112:B189"/>
    <mergeCell ref="E112:N112"/>
    <mergeCell ref="D322:N322"/>
    <mergeCell ref="D113:N113"/>
    <mergeCell ref="C118:C128"/>
    <mergeCell ref="D188:E188"/>
    <mergeCell ref="D183:H183"/>
    <mergeCell ref="D184:H184"/>
    <mergeCell ref="C130:C152"/>
    <mergeCell ref="C154:C172"/>
    <mergeCell ref="D177:N177"/>
    <mergeCell ref="K187:L187"/>
    <mergeCell ref="K281:M281"/>
    <mergeCell ref="D331:N331"/>
    <mergeCell ref="D268:N268"/>
    <mergeCell ref="B270:B295"/>
    <mergeCell ref="D270:E270"/>
    <mergeCell ref="D271:E271"/>
    <mergeCell ref="D274:N274"/>
    <mergeCell ref="K275:M275"/>
    <mergeCell ref="K279:M279"/>
    <mergeCell ref="K283:M283"/>
    <mergeCell ref="K285:M285"/>
    <mergeCell ref="D289:N289"/>
    <mergeCell ref="A3:A25"/>
    <mergeCell ref="A275:A295"/>
    <mergeCell ref="A112:A189"/>
    <mergeCell ref="A31:A110"/>
    <mergeCell ref="D311:N311"/>
    <mergeCell ref="D191:N191"/>
    <mergeCell ref="B192:B267"/>
    <mergeCell ref="D219:D220"/>
    <mergeCell ref="E219:E220"/>
    <mergeCell ref="H219:H220"/>
    <mergeCell ref="K219:K220"/>
    <mergeCell ref="N219:N220"/>
    <mergeCell ref="D189:E189"/>
    <mergeCell ref="D108:E108"/>
    <mergeCell ref="D109:E109"/>
    <mergeCell ref="D110:E110"/>
  </mergeCells>
  <dataValidations count="27">
    <dataValidation type="list" allowBlank="1" showInputMessage="1" showErrorMessage="1" sqref="E12 K12">
      <formula1>$P$12:$P$13</formula1>
    </dataValidation>
    <dataValidation type="whole" allowBlank="1" showInputMessage="1" showErrorMessage="1" sqref="E10">
      <formula1>1</formula1>
      <formula2>4</formula2>
    </dataValidation>
    <dataValidation type="list" allowBlank="1" showInputMessage="1" showErrorMessage="1" sqref="E9">
      <formula1>kiváltás</formula1>
    </dataValidation>
    <dataValidation type="list" allowBlank="1" showInputMessage="1" showErrorMessage="1" sqref="H137 K137 N137 E137 N58 K58 H58 E58">
      <formula1>munka</formula1>
    </dataValidation>
    <dataValidation type="list" allowBlank="1" showInputMessage="1" showErrorMessage="1" sqref="E172:E173 E167 E162 H157 H172:H173 H167 H162 K157 K172:K173 K167 K162 N157 N172:N173 N167 N162 E157 N83 N88 N93:N94 N78 K83 K88 K93:K94 K78 H83 H88 H93:H94 H78 E83 E88 E93:E94 E78">
      <formula1>morál</formula1>
    </dataValidation>
    <dataValidation type="list" allowBlank="1" showInputMessage="1" showErrorMessage="1" sqref="E170 E165 E160 H155 H170 H165 H160 K155 K170 K165 K160 N155 N170 N165 N160 E155 N81 N86 N91 N76 K81 K86 K91 K76 H81 H86 H91 H76 E81 E86 E91 E76">
      <formula1>hitelek</formula1>
    </dataValidation>
    <dataValidation type="list" allowBlank="1" showInputMessage="1" showErrorMessage="1" sqref="E148 E152 H144 H148 H152 K144 K148 K152 N144 N148 N152 E144 N73 N69 N65 K73 K69 K65 H73 H69 H65 E73 E69 E65">
      <formula1>igazolás</formula1>
    </dataValidation>
    <dataValidation type="list" allowBlank="1" showInputMessage="1" showErrorMessage="1" sqref="E143 K147 E151 E147 H143 H151 K143 K151 N143 N151 N147 H147 N68 N72 N64 K72 K64 H72 H64 E68 E72 K68 E64 H68">
      <formula1>egyébjöv</formula1>
    </dataValidation>
    <dataValidation type="list" allowBlank="1" showInputMessage="1" showErrorMessage="1" sqref="K131:K132 N53 N50 K50 H50 E50 N131:N132 E131:E132 H53 K53 E53 H131:H132">
      <formula1>jöv</formula1>
    </dataValidation>
    <dataValidation type="list" allowBlank="1" showInputMessage="1" showErrorMessage="1" sqref="K128 H128 N128 E128 N47 H47 K47 E47">
      <formula1>KHR</formula1>
    </dataValidation>
    <dataValidation type="list" allowBlank="1" showInputMessage="1" showErrorMessage="1" sqref="H124:H125 E124:E125 N124:N125 K124:K125 K43:K44 E43:E44 H43:H44 N43:N44">
      <formula1>ingatlan</formula1>
    </dataValidation>
    <dataValidation type="list" allowBlank="1" showInputMessage="1" showErrorMessage="1" sqref="H123 E123 N123 K123 K42 E42 H42 N42">
      <formula1>gyerekszám</formula1>
    </dataValidation>
    <dataValidation type="list" allowBlank="1" showInputMessage="1" showErrorMessage="1" sqref="H122 E122 N122 K122 K41 E41 H41 N41">
      <formula1>havimegtak</formula1>
    </dataValidation>
    <dataValidation type="list" allowBlank="1" showInputMessage="1" showErrorMessage="1" sqref="H121 E121 N121 K121 K40 E40 H40 N40">
      <formula1>folyószámla</formula1>
    </dataValidation>
    <dataValidation type="list" allowBlank="1" showInputMessage="1" showErrorMessage="1" sqref="H120 E120 N120 K120 K39 E39 H39 N39">
      <formula1>nyelvismeret</formula1>
    </dataValidation>
    <dataValidation type="list" allowBlank="1" showInputMessage="1" showErrorMessage="1" sqref="H119 E119 N119 K119 K38 E38 H38 N38">
      <formula1>végzettség</formula1>
    </dataValidation>
    <dataValidation type="date" allowBlank="1" showInputMessage="1" showErrorMessage="1" sqref="H117 E117 N117 K117 N36 E36 H36 K36">
      <formula1>1</formula1>
      <formula2>TODAY()</formula2>
    </dataValidation>
    <dataValidation type="list" allowBlank="1" showInputMessage="1" showErrorMessage="1" sqref="K140 H140 N140 E140 N61 H61 K61 E61">
      <formula1>jövig</formula1>
    </dataValidation>
    <dataValidation type="list" allowBlank="1" showInputMessage="1" showErrorMessage="1" sqref="E194 N194 K194 H194">
      <formula1>ingbesorolás</formula1>
    </dataValidation>
    <dataValidation type="list" allowBlank="1" showInputMessage="1" showErrorMessage="1" sqref="E193 N193 K193 H193">
      <formula1>ingatlanjogi</formula1>
    </dataValidation>
    <dataValidation type="list" allowBlank="1" showInputMessage="1" showErrorMessage="1" sqref="N195 H195 K195">
      <formula1>településlista</formula1>
    </dataValidation>
    <dataValidation type="list" allowBlank="1" showInputMessage="1" showErrorMessage="1" sqref="E248:E249 N248:N249 E261 E257 E265:E266 H265 K265 N265 H261 K261 N261 H257 K257 N257 E253 H253 K253 H248:H249 K248:K249 N253">
      <formula1>teherstat</formula1>
    </dataValidation>
    <dataValidation type="list" allowBlank="1" showInputMessage="1" showErrorMessage="1" sqref="E245 E262 E254 N262 E258 H245 K245 N245 E250 H250 K250 H254 K254 N254 N258 K258 H258 H262 K262 N250">
      <formula1>terhek</formula1>
    </dataValidation>
    <dataValidation type="list" allowBlank="1" showInputMessage="1" showErrorMessage="1" sqref="K104:K105 N161 K183:K184 N51:N52 K51:K52 H51:H52 E51:E52 N203 K203 H203 E203 K224 H224 E224 H7 E156 E135 E171 E166 E161 N183:N184 H156 H135 H171 H166 H161 K156 K135 K171 K166 K161 N156 N135 N171 N166 N92 N56 N77 K82 K87 K92 K56 K77 H82 H87 H92 H56 H77 E82 E87 E92 E56 E77 N82 N87 E219:E220 H219:H220 K219:K220 N219:N220 N224 K6">
      <formula1>igennem</formula1>
    </dataValidation>
    <dataValidation type="list" allowBlank="1" showInputMessage="1" showErrorMessage="1" sqref="H16:H22">
      <formula1>meghit</formula1>
    </dataValidation>
    <dataValidation type="list" allowBlank="1" showInputMessage="1" showErrorMessage="1" sqref="E23:E24">
      <formula1>számlacsomagok</formula1>
    </dataValidation>
    <dataValidation type="list" allowBlank="1" showInputMessage="1" showErrorMessage="1" sqref="E223:N223">
      <formula1>$B$311:$B$314</formula1>
    </dataValidation>
  </dataValidations>
  <pageMargins left="0.23622047244094491" right="0.23622047244094491" top="0.47244094488188981" bottom="0.35433070866141736" header="0.15748031496062992" footer="0.19685039370078741"/>
  <pageSetup paperSize="9" scale="67" fitToHeight="7" orientation="portrait" r:id="rId1"/>
  <rowBreaks count="1" manualBreakCount="1">
    <brk id="162" max="13" man="1"/>
  </row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paraméterek!$A$177:$A$181</xm:f>
          </x14:formula1>
          <xm:sqref>E5</xm:sqref>
        </x14:dataValidation>
        <x14:dataValidation type="list" allowBlank="1" showInputMessage="1" showErrorMessage="1">
          <x14:formula1>
            <xm:f>paraméterek!$B$354:$B$355</xm:f>
          </x14:formula1>
          <xm:sqref>K27:K29</xm:sqref>
        </x14:dataValidation>
        <x14:dataValidation type="list" allowBlank="1" showInputMessage="1" showErrorMessage="1">
          <x14:formula1>
            <xm:f>paraméterek!$B$342:$B$345</xm:f>
          </x14:formula1>
          <xm:sqref>K25</xm:sqref>
        </x14:dataValidation>
        <x14:dataValidation type="list" allowBlank="1" showInputMessage="1" showErrorMessage="1">
          <x14:formula1>
            <xm:f>paraméterek!$W$2:$W$124</xm:f>
          </x14:formula1>
          <xm:sqref>E195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55"/>
  <sheetViews>
    <sheetView zoomScaleNormal="100" workbookViewId="0">
      <selection activeCell="B323" sqref="B323"/>
    </sheetView>
  </sheetViews>
  <sheetFormatPr defaultRowHeight="14.4" x14ac:dyDescent="0.3"/>
  <cols>
    <col min="1" max="1" width="40.33203125" customWidth="1"/>
    <col min="2" max="2" width="27.5546875" bestFit="1" customWidth="1"/>
    <col min="3" max="3" width="22.33203125" bestFit="1" customWidth="1"/>
    <col min="4" max="4" width="20.44140625" bestFit="1" customWidth="1"/>
    <col min="5" max="5" width="21.44140625" bestFit="1" customWidth="1"/>
    <col min="6" max="6" width="39.5546875" bestFit="1" customWidth="1"/>
    <col min="7" max="7" width="16.6640625" bestFit="1" customWidth="1"/>
    <col min="8" max="8" width="39.5546875" bestFit="1" customWidth="1"/>
    <col min="9" max="9" width="21.33203125" bestFit="1" customWidth="1"/>
    <col min="10" max="10" width="16.6640625" bestFit="1" customWidth="1"/>
    <col min="11" max="11" width="16.33203125" customWidth="1"/>
    <col min="12" max="12" width="12" customWidth="1"/>
    <col min="13" max="13" width="2" customWidth="1"/>
    <col min="14" max="14" width="19.5546875" customWidth="1"/>
    <col min="15" max="15" width="12.5546875" bestFit="1" customWidth="1"/>
    <col min="16" max="16" width="1.33203125" customWidth="1"/>
    <col min="17" max="17" width="15.6640625" customWidth="1"/>
    <col min="23" max="23" width="15.44140625" customWidth="1"/>
  </cols>
  <sheetData>
    <row r="1" spans="1:23" ht="15" thickBot="1" x14ac:dyDescent="0.35">
      <c r="A1" s="1638" t="s">
        <v>374</v>
      </c>
      <c r="B1" s="1638"/>
      <c r="C1" s="1638"/>
      <c r="D1" s="152" t="s">
        <v>375</v>
      </c>
      <c r="F1" s="153" t="s">
        <v>376</v>
      </c>
      <c r="G1" s="154" t="s">
        <v>375</v>
      </c>
      <c r="H1" s="153" t="s">
        <v>376</v>
      </c>
      <c r="K1" s="155" t="s">
        <v>377</v>
      </c>
      <c r="O1" s="156">
        <v>158869</v>
      </c>
      <c r="P1" s="156"/>
      <c r="Q1" s="156">
        <v>2023</v>
      </c>
      <c r="W1" s="157" t="s">
        <v>378</v>
      </c>
    </row>
    <row r="2" spans="1:23" ht="15" thickBot="1" x14ac:dyDescent="0.35">
      <c r="A2" s="147">
        <v>0</v>
      </c>
      <c r="B2" s="147">
        <v>0.79900000000000004</v>
      </c>
      <c r="C2" s="158">
        <v>-0.79900000000000004</v>
      </c>
      <c r="D2" s="158" t="s">
        <v>379</v>
      </c>
      <c r="F2" s="159">
        <v>1.1000000000000001</v>
      </c>
      <c r="G2" s="160" t="s">
        <v>380</v>
      </c>
      <c r="H2" s="159">
        <v>1.1000000000000001</v>
      </c>
      <c r="K2" t="s">
        <v>381</v>
      </c>
      <c r="L2">
        <v>1</v>
      </c>
      <c r="N2" t="s">
        <v>382</v>
      </c>
      <c r="O2">
        <v>0.65</v>
      </c>
      <c r="Q2" t="s">
        <v>383</v>
      </c>
      <c r="R2">
        <v>0.9</v>
      </c>
      <c r="W2" s="161" t="s">
        <v>249</v>
      </c>
    </row>
    <row r="3" spans="1:23" ht="15" thickBot="1" x14ac:dyDescent="0.35">
      <c r="A3" s="147">
        <v>0.8</v>
      </c>
      <c r="B3" s="147">
        <v>0.89900000000000002</v>
      </c>
      <c r="C3" s="158" t="s">
        <v>384</v>
      </c>
      <c r="D3" s="158" t="s">
        <v>385</v>
      </c>
      <c r="F3" s="159">
        <v>1.05</v>
      </c>
      <c r="G3" s="160" t="s">
        <v>386</v>
      </c>
      <c r="H3" s="159">
        <v>1.05</v>
      </c>
      <c r="K3" t="s">
        <v>387</v>
      </c>
      <c r="L3">
        <v>0.75</v>
      </c>
      <c r="N3" t="s">
        <v>388</v>
      </c>
      <c r="O3">
        <v>0.5</v>
      </c>
      <c r="Q3" t="s">
        <v>389</v>
      </c>
      <c r="R3">
        <v>0.65</v>
      </c>
      <c r="W3" s="162" t="s">
        <v>390</v>
      </c>
    </row>
    <row r="4" spans="1:23" ht="15" thickBot="1" x14ac:dyDescent="0.35">
      <c r="A4" s="147">
        <v>0.9</v>
      </c>
      <c r="B4" s="147">
        <v>1.0489999999999999</v>
      </c>
      <c r="C4" s="158" t="s">
        <v>391</v>
      </c>
      <c r="D4" s="158" t="s">
        <v>392</v>
      </c>
      <c r="F4" s="159">
        <v>1</v>
      </c>
      <c r="G4" s="160" t="s">
        <v>392</v>
      </c>
      <c r="H4" s="159">
        <v>1</v>
      </c>
      <c r="N4" t="s">
        <v>393</v>
      </c>
      <c r="O4">
        <v>0.4</v>
      </c>
      <c r="W4" s="162" t="s">
        <v>394</v>
      </c>
    </row>
    <row r="5" spans="1:23" ht="15" thickBot="1" x14ac:dyDescent="0.35">
      <c r="A5" s="147">
        <v>1.05</v>
      </c>
      <c r="B5" s="147">
        <v>1.19</v>
      </c>
      <c r="C5" s="158" t="s">
        <v>395</v>
      </c>
      <c r="D5" s="158" t="s">
        <v>386</v>
      </c>
      <c r="F5" s="159">
        <v>0.95</v>
      </c>
      <c r="G5" s="160" t="s">
        <v>385</v>
      </c>
      <c r="H5" s="159">
        <v>0.95</v>
      </c>
      <c r="W5" s="162" t="s">
        <v>396</v>
      </c>
    </row>
    <row r="6" spans="1:23" ht="15" thickBot="1" x14ac:dyDescent="0.35">
      <c r="A6" s="147">
        <v>1.2</v>
      </c>
      <c r="B6" s="147"/>
      <c r="C6" s="158" t="s">
        <v>397</v>
      </c>
      <c r="D6" s="158" t="s">
        <v>380</v>
      </c>
      <c r="F6" s="159">
        <v>0.9</v>
      </c>
      <c r="G6" s="160" t="s">
        <v>379</v>
      </c>
      <c r="H6" s="159">
        <v>0.9</v>
      </c>
      <c r="K6" t="s">
        <v>398</v>
      </c>
      <c r="L6" t="s">
        <v>399</v>
      </c>
      <c r="N6" t="s">
        <v>400</v>
      </c>
      <c r="O6" t="s">
        <v>399</v>
      </c>
      <c r="Q6" t="s">
        <v>401</v>
      </c>
      <c r="R6" t="s">
        <v>399</v>
      </c>
      <c r="W6" s="162" t="s">
        <v>402</v>
      </c>
    </row>
    <row r="7" spans="1:23" x14ac:dyDescent="0.3">
      <c r="K7">
        <v>0</v>
      </c>
      <c r="L7">
        <v>0</v>
      </c>
      <c r="N7">
        <v>0</v>
      </c>
      <c r="O7">
        <v>0</v>
      </c>
      <c r="Q7">
        <v>0</v>
      </c>
      <c r="R7">
        <f>+Q7</f>
        <v>0</v>
      </c>
      <c r="W7" s="162" t="s">
        <v>403</v>
      </c>
    </row>
    <row r="8" spans="1:23" x14ac:dyDescent="0.3">
      <c r="K8">
        <v>1</v>
      </c>
      <c r="L8">
        <v>1</v>
      </c>
      <c r="N8">
        <v>1</v>
      </c>
      <c r="O8">
        <f>+O2</f>
        <v>0.65</v>
      </c>
      <c r="Q8">
        <v>1</v>
      </c>
      <c r="R8">
        <f>+R2</f>
        <v>0.9</v>
      </c>
      <c r="W8" s="162" t="s">
        <v>404</v>
      </c>
    </row>
    <row r="9" spans="1:23" x14ac:dyDescent="0.3">
      <c r="K9">
        <v>2</v>
      </c>
      <c r="L9">
        <f>+L8+$L$3</f>
        <v>1.75</v>
      </c>
      <c r="N9">
        <v>2</v>
      </c>
      <c r="O9">
        <f>+O8+O3</f>
        <v>1.1499999999999999</v>
      </c>
      <c r="Q9">
        <v>2</v>
      </c>
      <c r="R9">
        <f>+$R$3+R8</f>
        <v>1.55</v>
      </c>
      <c r="W9" s="162" t="s">
        <v>405</v>
      </c>
    </row>
    <row r="10" spans="1:23" ht="15" thickBot="1" x14ac:dyDescent="0.35">
      <c r="A10" s="163" t="s">
        <v>406</v>
      </c>
      <c r="B10" s="164"/>
      <c r="K10">
        <v>3</v>
      </c>
      <c r="L10">
        <f t="shared" ref="L10:L24" si="0">+L9+$L$3</f>
        <v>2.5</v>
      </c>
      <c r="N10">
        <v>3</v>
      </c>
      <c r="O10">
        <f>+O9+O4</f>
        <v>1.5499999999999998</v>
      </c>
      <c r="Q10">
        <v>3</v>
      </c>
      <c r="R10">
        <f t="shared" ref="R10:R24" si="1">+$R$3+R9</f>
        <v>2.2000000000000002</v>
      </c>
      <c r="W10" s="162" t="s">
        <v>407</v>
      </c>
    </row>
    <row r="11" spans="1:23" x14ac:dyDescent="0.3">
      <c r="A11" s="165" t="s">
        <v>408</v>
      </c>
      <c r="B11" s="166">
        <v>0.49</v>
      </c>
      <c r="K11">
        <v>4</v>
      </c>
      <c r="L11">
        <f t="shared" si="0"/>
        <v>3.25</v>
      </c>
      <c r="N11">
        <v>4</v>
      </c>
      <c r="O11">
        <f>+O10+$O$4</f>
        <v>1.9499999999999997</v>
      </c>
      <c r="Q11">
        <v>4</v>
      </c>
      <c r="R11">
        <f t="shared" si="1"/>
        <v>2.85</v>
      </c>
      <c r="W11" s="162" t="s">
        <v>409</v>
      </c>
    </row>
    <row r="12" spans="1:23" x14ac:dyDescent="0.3">
      <c r="A12" s="165" t="s">
        <v>410</v>
      </c>
      <c r="B12" s="166">
        <v>0.95</v>
      </c>
      <c r="K12">
        <v>5</v>
      </c>
      <c r="L12">
        <f t="shared" si="0"/>
        <v>4</v>
      </c>
      <c r="N12">
        <v>5</v>
      </c>
      <c r="O12">
        <f t="shared" ref="O12:O24" si="2">+O11+$O$4</f>
        <v>2.3499999999999996</v>
      </c>
      <c r="Q12">
        <v>5</v>
      </c>
      <c r="R12">
        <f t="shared" si="1"/>
        <v>3.5</v>
      </c>
      <c r="W12" s="162" t="s">
        <v>411</v>
      </c>
    </row>
    <row r="13" spans="1:23" x14ac:dyDescent="0.3">
      <c r="A13" s="165" t="s">
        <v>155</v>
      </c>
      <c r="B13" s="166">
        <v>1</v>
      </c>
      <c r="K13">
        <v>6</v>
      </c>
      <c r="L13">
        <f t="shared" si="0"/>
        <v>4.75</v>
      </c>
      <c r="N13">
        <v>6</v>
      </c>
      <c r="O13">
        <f t="shared" si="2"/>
        <v>2.7499999999999996</v>
      </c>
      <c r="Q13">
        <v>6</v>
      </c>
      <c r="R13">
        <f t="shared" si="1"/>
        <v>4.1500000000000004</v>
      </c>
      <c r="W13" s="162" t="s">
        <v>412</v>
      </c>
    </row>
    <row r="14" spans="1:23" x14ac:dyDescent="0.3">
      <c r="A14" s="165" t="s">
        <v>229</v>
      </c>
      <c r="B14" s="166">
        <v>1.01</v>
      </c>
      <c r="K14">
        <v>7</v>
      </c>
      <c r="L14">
        <f t="shared" si="0"/>
        <v>5.5</v>
      </c>
      <c r="N14">
        <v>7</v>
      </c>
      <c r="O14">
        <f t="shared" si="2"/>
        <v>3.1499999999999995</v>
      </c>
      <c r="Q14">
        <v>7</v>
      </c>
      <c r="R14">
        <f t="shared" si="1"/>
        <v>4.8000000000000007</v>
      </c>
      <c r="W14" s="162" t="s">
        <v>413</v>
      </c>
    </row>
    <row r="15" spans="1:23" x14ac:dyDescent="0.3">
      <c r="A15" s="165" t="s">
        <v>414</v>
      </c>
      <c r="B15" s="166">
        <v>1.02</v>
      </c>
      <c r="K15">
        <v>8</v>
      </c>
      <c r="L15">
        <f t="shared" si="0"/>
        <v>6.25</v>
      </c>
      <c r="N15">
        <v>8</v>
      </c>
      <c r="O15">
        <f t="shared" si="2"/>
        <v>3.5499999999999994</v>
      </c>
      <c r="Q15">
        <v>8</v>
      </c>
      <c r="R15">
        <f t="shared" si="1"/>
        <v>5.4500000000000011</v>
      </c>
      <c r="W15" s="162" t="s">
        <v>415</v>
      </c>
    </row>
    <row r="16" spans="1:23" x14ac:dyDescent="0.3">
      <c r="A16" s="165" t="s">
        <v>153</v>
      </c>
      <c r="B16" s="166">
        <v>1.04</v>
      </c>
      <c r="K16">
        <v>9</v>
      </c>
      <c r="L16">
        <f t="shared" si="0"/>
        <v>7</v>
      </c>
      <c r="N16">
        <v>9</v>
      </c>
      <c r="O16">
        <f t="shared" si="2"/>
        <v>3.9499999999999993</v>
      </c>
      <c r="Q16">
        <v>9</v>
      </c>
      <c r="R16">
        <f t="shared" si="1"/>
        <v>6.1000000000000014</v>
      </c>
      <c r="W16" s="162" t="s">
        <v>416</v>
      </c>
    </row>
    <row r="17" spans="1:23" x14ac:dyDescent="0.3">
      <c r="A17" s="165" t="s">
        <v>228</v>
      </c>
      <c r="B17" s="166">
        <v>1.06</v>
      </c>
      <c r="K17">
        <v>10</v>
      </c>
      <c r="L17">
        <f t="shared" si="0"/>
        <v>7.75</v>
      </c>
      <c r="N17">
        <v>10</v>
      </c>
      <c r="O17">
        <f t="shared" si="2"/>
        <v>4.3499999999999996</v>
      </c>
      <c r="Q17">
        <v>10</v>
      </c>
      <c r="R17">
        <f t="shared" si="1"/>
        <v>6.7500000000000018</v>
      </c>
      <c r="W17" s="162" t="s">
        <v>417</v>
      </c>
    </row>
    <row r="18" spans="1:23" x14ac:dyDescent="0.3">
      <c r="A18" s="165" t="s">
        <v>418</v>
      </c>
      <c r="B18" s="166">
        <v>1.08</v>
      </c>
      <c r="K18">
        <v>11</v>
      </c>
      <c r="L18">
        <f t="shared" si="0"/>
        <v>8.5</v>
      </c>
      <c r="N18">
        <v>11</v>
      </c>
      <c r="O18">
        <f t="shared" si="2"/>
        <v>4.75</v>
      </c>
      <c r="Q18">
        <v>11</v>
      </c>
      <c r="R18">
        <f t="shared" si="1"/>
        <v>7.4000000000000021</v>
      </c>
      <c r="W18" s="162" t="s">
        <v>419</v>
      </c>
    </row>
    <row r="19" spans="1:23" x14ac:dyDescent="0.3">
      <c r="K19">
        <v>12</v>
      </c>
      <c r="L19">
        <f t="shared" si="0"/>
        <v>9.25</v>
      </c>
      <c r="N19">
        <v>12</v>
      </c>
      <c r="O19">
        <f t="shared" si="2"/>
        <v>5.15</v>
      </c>
      <c r="Q19">
        <v>12</v>
      </c>
      <c r="R19">
        <f t="shared" si="1"/>
        <v>8.0500000000000025</v>
      </c>
      <c r="W19" s="162" t="s">
        <v>420</v>
      </c>
    </row>
    <row r="20" spans="1:23" x14ac:dyDescent="0.3">
      <c r="K20">
        <v>13</v>
      </c>
      <c r="L20">
        <f t="shared" si="0"/>
        <v>10</v>
      </c>
      <c r="N20">
        <v>13</v>
      </c>
      <c r="O20">
        <f t="shared" si="2"/>
        <v>5.5500000000000007</v>
      </c>
      <c r="Q20">
        <v>13</v>
      </c>
      <c r="R20">
        <f t="shared" si="1"/>
        <v>8.7000000000000028</v>
      </c>
      <c r="W20" s="162" t="s">
        <v>421</v>
      </c>
    </row>
    <row r="21" spans="1:23" ht="15" thickBot="1" x14ac:dyDescent="0.35">
      <c r="A21" s="163" t="s">
        <v>422</v>
      </c>
      <c r="B21" s="167"/>
      <c r="K21">
        <v>14</v>
      </c>
      <c r="L21">
        <f t="shared" si="0"/>
        <v>10.75</v>
      </c>
      <c r="N21">
        <v>14</v>
      </c>
      <c r="O21">
        <f t="shared" si="2"/>
        <v>5.9500000000000011</v>
      </c>
      <c r="Q21">
        <v>14</v>
      </c>
      <c r="R21">
        <f t="shared" si="1"/>
        <v>9.3500000000000032</v>
      </c>
      <c r="W21" s="162" t="s">
        <v>423</v>
      </c>
    </row>
    <row r="22" spans="1:23" x14ac:dyDescent="0.3">
      <c r="A22" s="165" t="s">
        <v>424</v>
      </c>
      <c r="B22" s="166">
        <v>1</v>
      </c>
      <c r="K22">
        <v>15</v>
      </c>
      <c r="L22">
        <f t="shared" si="0"/>
        <v>11.5</v>
      </c>
      <c r="N22">
        <v>15</v>
      </c>
      <c r="O22">
        <f t="shared" si="2"/>
        <v>6.3500000000000014</v>
      </c>
      <c r="Q22">
        <v>15</v>
      </c>
      <c r="R22">
        <f t="shared" si="1"/>
        <v>10.000000000000004</v>
      </c>
      <c r="W22" s="162" t="s">
        <v>425</v>
      </c>
    </row>
    <row r="23" spans="1:23" x14ac:dyDescent="0.3">
      <c r="A23" s="165" t="s">
        <v>426</v>
      </c>
      <c r="B23" s="166">
        <v>1</v>
      </c>
      <c r="K23">
        <v>16</v>
      </c>
      <c r="L23">
        <f t="shared" si="0"/>
        <v>12.25</v>
      </c>
      <c r="N23">
        <v>16</v>
      </c>
      <c r="O23">
        <f t="shared" si="2"/>
        <v>6.7500000000000018</v>
      </c>
      <c r="Q23">
        <v>16</v>
      </c>
      <c r="R23">
        <f t="shared" si="1"/>
        <v>10.650000000000004</v>
      </c>
      <c r="W23" s="162" t="s">
        <v>427</v>
      </c>
    </row>
    <row r="24" spans="1:23" x14ac:dyDescent="0.3">
      <c r="A24" s="165" t="s">
        <v>155</v>
      </c>
      <c r="B24" s="166">
        <v>1.01</v>
      </c>
      <c r="K24">
        <v>17</v>
      </c>
      <c r="L24">
        <f t="shared" si="0"/>
        <v>13</v>
      </c>
      <c r="N24">
        <v>17</v>
      </c>
      <c r="O24">
        <f t="shared" si="2"/>
        <v>7.1500000000000021</v>
      </c>
      <c r="Q24">
        <v>17</v>
      </c>
      <c r="R24">
        <f t="shared" si="1"/>
        <v>11.300000000000004</v>
      </c>
      <c r="W24" s="162" t="s">
        <v>428</v>
      </c>
    </row>
    <row r="25" spans="1:23" x14ac:dyDescent="0.3">
      <c r="A25" s="165" t="s">
        <v>229</v>
      </c>
      <c r="B25" s="166">
        <v>1.03</v>
      </c>
      <c r="W25" s="162" t="s">
        <v>429</v>
      </c>
    </row>
    <row r="26" spans="1:23" x14ac:dyDescent="0.3">
      <c r="A26" s="165" t="s">
        <v>414</v>
      </c>
      <c r="B26" s="166">
        <v>1.04</v>
      </c>
      <c r="W26" s="162" t="s">
        <v>430</v>
      </c>
    </row>
    <row r="27" spans="1:23" x14ac:dyDescent="0.3">
      <c r="A27" s="165" t="s">
        <v>153</v>
      </c>
      <c r="B27" s="166">
        <v>1.03</v>
      </c>
      <c r="W27" s="162" t="s">
        <v>431</v>
      </c>
    </row>
    <row r="28" spans="1:23" x14ac:dyDescent="0.3">
      <c r="A28" s="165" t="s">
        <v>228</v>
      </c>
      <c r="B28" s="166">
        <v>1.05</v>
      </c>
      <c r="W28" s="162" t="s">
        <v>432</v>
      </c>
    </row>
    <row r="29" spans="1:23" x14ac:dyDescent="0.3">
      <c r="A29" s="165" t="s">
        <v>418</v>
      </c>
      <c r="B29" s="166">
        <v>1.06</v>
      </c>
      <c r="W29" s="162" t="s">
        <v>433</v>
      </c>
    </row>
    <row r="30" spans="1:23" x14ac:dyDescent="0.3">
      <c r="A30" s="165" t="s">
        <v>434</v>
      </c>
      <c r="B30" s="166">
        <v>1.04</v>
      </c>
      <c r="W30" s="162" t="s">
        <v>435</v>
      </c>
    </row>
    <row r="31" spans="1:23" x14ac:dyDescent="0.3">
      <c r="A31" s="165" t="s">
        <v>436</v>
      </c>
      <c r="B31" s="166">
        <v>1.0549999999999999</v>
      </c>
      <c r="W31" s="162" t="s">
        <v>437</v>
      </c>
    </row>
    <row r="32" spans="1:23" x14ac:dyDescent="0.3">
      <c r="A32" s="165" t="s">
        <v>438</v>
      </c>
      <c r="B32" s="166">
        <v>1.0649999999999999</v>
      </c>
      <c r="W32" s="162" t="s">
        <v>439</v>
      </c>
    </row>
    <row r="33" spans="1:23" x14ac:dyDescent="0.3">
      <c r="W33" s="162" t="s">
        <v>440</v>
      </c>
    </row>
    <row r="34" spans="1:23" x14ac:dyDescent="0.3">
      <c r="W34" s="162" t="s">
        <v>441</v>
      </c>
    </row>
    <row r="35" spans="1:23" ht="15" thickBot="1" x14ac:dyDescent="0.35">
      <c r="A35" s="168" t="s">
        <v>442</v>
      </c>
      <c r="B35" s="168"/>
      <c r="C35" s="169"/>
      <c r="D35" s="169"/>
      <c r="E35" s="1639"/>
      <c r="F35" s="1639"/>
      <c r="W35" s="162" t="s">
        <v>443</v>
      </c>
    </row>
    <row r="36" spans="1:23" x14ac:dyDescent="0.3">
      <c r="A36" s="170" t="s">
        <v>424</v>
      </c>
      <c r="B36" s="170">
        <v>0.98</v>
      </c>
      <c r="C36" s="171"/>
      <c r="D36" s="171"/>
      <c r="F36" s="171"/>
      <c r="W36" s="162" t="s">
        <v>444</v>
      </c>
    </row>
    <row r="37" spans="1:23" x14ac:dyDescent="0.3">
      <c r="A37" s="171" t="s">
        <v>157</v>
      </c>
      <c r="B37" s="171">
        <v>1.01</v>
      </c>
      <c r="C37" s="171"/>
      <c r="D37" s="171"/>
      <c r="F37" s="171"/>
      <c r="W37" s="162" t="s">
        <v>445</v>
      </c>
    </row>
    <row r="38" spans="1:23" x14ac:dyDescent="0.3">
      <c r="A38" s="171" t="s">
        <v>230</v>
      </c>
      <c r="B38" s="172">
        <v>1.04</v>
      </c>
      <c r="C38" s="171"/>
      <c r="D38" s="171"/>
      <c r="F38" s="172"/>
      <c r="W38" s="162" t="s">
        <v>446</v>
      </c>
    </row>
    <row r="39" spans="1:23" x14ac:dyDescent="0.3">
      <c r="A39" s="169"/>
      <c r="B39" s="169"/>
      <c r="C39" s="169"/>
      <c r="D39" s="169"/>
      <c r="E39" s="171"/>
      <c r="F39" s="171"/>
      <c r="W39" s="162" t="s">
        <v>447</v>
      </c>
    </row>
    <row r="40" spans="1:23" x14ac:dyDescent="0.3">
      <c r="A40" s="169"/>
      <c r="B40" s="169"/>
      <c r="C40" s="169"/>
      <c r="D40" s="169"/>
      <c r="E40" s="171"/>
      <c r="F40" s="171"/>
      <c r="W40" s="162" t="s">
        <v>448</v>
      </c>
    </row>
    <row r="41" spans="1:23" ht="15" thickBot="1" x14ac:dyDescent="0.35">
      <c r="A41" s="168" t="s">
        <v>449</v>
      </c>
      <c r="B41" s="168"/>
      <c r="C41" s="169"/>
      <c r="D41" s="169"/>
      <c r="E41" s="171"/>
      <c r="F41" s="171"/>
      <c r="W41" s="162" t="s">
        <v>450</v>
      </c>
    </row>
    <row r="42" spans="1:23" x14ac:dyDescent="0.3">
      <c r="A42" s="170" t="s">
        <v>451</v>
      </c>
      <c r="B42" s="170">
        <v>0.98</v>
      </c>
      <c r="C42" s="171"/>
      <c r="D42" s="171"/>
      <c r="F42" s="171"/>
      <c r="W42" s="162" t="s">
        <v>452</v>
      </c>
    </row>
    <row r="43" spans="1:23" x14ac:dyDescent="0.3">
      <c r="A43" s="171" t="s">
        <v>159</v>
      </c>
      <c r="B43" s="171">
        <v>1.01</v>
      </c>
      <c r="C43" s="171"/>
      <c r="D43" s="171"/>
      <c r="F43" s="171"/>
      <c r="W43" s="162" t="s">
        <v>453</v>
      </c>
    </row>
    <row r="44" spans="1:23" x14ac:dyDescent="0.3">
      <c r="A44" s="171" t="s">
        <v>231</v>
      </c>
      <c r="B44" s="171">
        <v>1.04</v>
      </c>
      <c r="C44" s="171"/>
      <c r="D44" s="171"/>
      <c r="F44" s="171"/>
      <c r="W44" s="162" t="s">
        <v>454</v>
      </c>
    </row>
    <row r="45" spans="1:23" x14ac:dyDescent="0.3">
      <c r="A45" s="169"/>
      <c r="B45" s="169"/>
      <c r="C45" s="171"/>
      <c r="D45" s="171"/>
      <c r="E45" s="171"/>
      <c r="F45" s="173"/>
      <c r="W45" s="162" t="s">
        <v>455</v>
      </c>
    </row>
    <row r="46" spans="1:23" ht="15" thickBot="1" x14ac:dyDescent="0.35">
      <c r="A46" s="168" t="s">
        <v>456</v>
      </c>
      <c r="B46" s="168"/>
      <c r="C46" s="171"/>
      <c r="D46" s="171"/>
      <c r="E46" s="171"/>
      <c r="F46" s="173"/>
      <c r="W46" s="162" t="s">
        <v>457</v>
      </c>
    </row>
    <row r="47" spans="1:23" x14ac:dyDescent="0.3">
      <c r="A47" s="170">
        <v>0</v>
      </c>
      <c r="B47" s="170">
        <v>0.98</v>
      </c>
      <c r="D47" s="171"/>
      <c r="E47" s="171"/>
      <c r="F47" s="174"/>
      <c r="W47" s="162" t="s">
        <v>458</v>
      </c>
    </row>
    <row r="48" spans="1:23" x14ac:dyDescent="0.3">
      <c r="A48" s="171">
        <v>1</v>
      </c>
      <c r="B48" s="171">
        <v>1</v>
      </c>
      <c r="D48" s="171"/>
      <c r="E48" s="171"/>
      <c r="F48" s="174"/>
      <c r="W48" s="162" t="s">
        <v>459</v>
      </c>
    </row>
    <row r="49" spans="1:23" x14ac:dyDescent="0.3">
      <c r="A49" s="171">
        <v>2</v>
      </c>
      <c r="B49" s="171">
        <v>1.02</v>
      </c>
      <c r="D49" s="171"/>
      <c r="E49" s="171"/>
      <c r="F49" s="174"/>
      <c r="W49" s="162" t="s">
        <v>460</v>
      </c>
    </row>
    <row r="50" spans="1:23" x14ac:dyDescent="0.3">
      <c r="A50" s="171" t="s">
        <v>461</v>
      </c>
      <c r="B50" s="171">
        <v>1.04</v>
      </c>
      <c r="D50" s="171"/>
      <c r="E50" s="171"/>
      <c r="F50" s="174"/>
      <c r="W50" s="162" t="s">
        <v>462</v>
      </c>
    </row>
    <row r="51" spans="1:23" x14ac:dyDescent="0.3">
      <c r="A51" s="169"/>
      <c r="B51" s="169"/>
      <c r="C51" s="171"/>
      <c r="D51" s="171"/>
      <c r="E51" s="171"/>
      <c r="F51" s="173"/>
      <c r="W51" s="162" t="s">
        <v>463</v>
      </c>
    </row>
    <row r="52" spans="1:23" ht="15" thickBot="1" x14ac:dyDescent="0.35">
      <c r="A52" s="168" t="s">
        <v>464</v>
      </c>
      <c r="B52" s="168"/>
      <c r="C52" s="171"/>
      <c r="D52" s="171"/>
      <c r="E52" s="171"/>
      <c r="F52" s="173"/>
      <c r="W52" s="162" t="s">
        <v>465</v>
      </c>
    </row>
    <row r="53" spans="1:23" x14ac:dyDescent="0.3">
      <c r="A53" s="170" t="s">
        <v>162</v>
      </c>
      <c r="B53" s="170">
        <v>1</v>
      </c>
      <c r="D53" s="171"/>
      <c r="E53" s="171"/>
      <c r="F53" s="174"/>
      <c r="W53" s="162" t="s">
        <v>466</v>
      </c>
    </row>
    <row r="54" spans="1:23" x14ac:dyDescent="0.3">
      <c r="A54" s="171" t="s">
        <v>232</v>
      </c>
      <c r="B54" s="171">
        <v>1.03</v>
      </c>
      <c r="D54" s="171"/>
      <c r="E54" s="171"/>
      <c r="F54" s="174"/>
      <c r="W54" s="162" t="s">
        <v>467</v>
      </c>
    </row>
    <row r="55" spans="1:23" x14ac:dyDescent="0.3">
      <c r="A55" s="175"/>
      <c r="B55" s="171"/>
      <c r="C55" s="171"/>
      <c r="D55" s="173"/>
      <c r="E55" s="173"/>
      <c r="F55" s="173"/>
      <c r="W55" s="162" t="s">
        <v>468</v>
      </c>
    </row>
    <row r="56" spans="1:23" x14ac:dyDescent="0.3">
      <c r="A56" s="175"/>
      <c r="B56" s="171"/>
      <c r="C56" s="171"/>
      <c r="D56" s="173"/>
      <c r="E56" s="173"/>
      <c r="F56" s="173"/>
      <c r="W56" s="162" t="s">
        <v>469</v>
      </c>
    </row>
    <row r="57" spans="1:23" ht="15" thickBot="1" x14ac:dyDescent="0.35">
      <c r="A57" s="163" t="s">
        <v>470</v>
      </c>
      <c r="B57" s="176"/>
      <c r="C57" s="177"/>
      <c r="D57" s="176"/>
      <c r="E57" s="177"/>
      <c r="F57" s="173"/>
      <c r="W57" s="162" t="s">
        <v>471</v>
      </c>
    </row>
    <row r="58" spans="1:23" x14ac:dyDescent="0.3">
      <c r="A58">
        <v>0</v>
      </c>
      <c r="B58">
        <f>+RIGHT(D58,2)*1</f>
        <v>20</v>
      </c>
      <c r="C58" s="171"/>
      <c r="D58" s="165" t="s">
        <v>472</v>
      </c>
      <c r="E58" s="170">
        <v>1.1140000000000001</v>
      </c>
      <c r="F58" s="173"/>
      <c r="W58" s="162" t="s">
        <v>473</v>
      </c>
    </row>
    <row r="59" spans="1:23" x14ac:dyDescent="0.3">
      <c r="A59">
        <f t="shared" ref="A59:A81" si="3">+LEFT(D59,2)*1</f>
        <v>20</v>
      </c>
      <c r="B59">
        <f t="shared" ref="B59:B80" si="4">+RIGHT(D59,2)*1</f>
        <v>22</v>
      </c>
      <c r="C59" s="171"/>
      <c r="D59" s="165" t="s">
        <v>474</v>
      </c>
      <c r="E59" s="171">
        <v>1.1140000000000001</v>
      </c>
      <c r="F59" s="173"/>
      <c r="W59" s="162" t="s">
        <v>475</v>
      </c>
    </row>
    <row r="60" spans="1:23" x14ac:dyDescent="0.3">
      <c r="A60">
        <f t="shared" si="3"/>
        <v>22</v>
      </c>
      <c r="B60">
        <f t="shared" si="4"/>
        <v>24</v>
      </c>
      <c r="C60" s="171"/>
      <c r="D60" s="165" t="s">
        <v>476</v>
      </c>
      <c r="E60" s="171">
        <v>1.1140000000000001</v>
      </c>
      <c r="F60" s="173"/>
      <c r="W60" s="162" t="s">
        <v>477</v>
      </c>
    </row>
    <row r="61" spans="1:23" x14ac:dyDescent="0.3">
      <c r="A61">
        <f t="shared" si="3"/>
        <v>24</v>
      </c>
      <c r="B61">
        <f t="shared" si="4"/>
        <v>26</v>
      </c>
      <c r="C61" s="171"/>
      <c r="D61" s="165" t="s">
        <v>478</v>
      </c>
      <c r="E61" s="171">
        <v>1.1140000000000001</v>
      </c>
      <c r="F61" s="173"/>
      <c r="W61" s="162" t="s">
        <v>479</v>
      </c>
    </row>
    <row r="62" spans="1:23" x14ac:dyDescent="0.3">
      <c r="A62">
        <f t="shared" si="3"/>
        <v>26</v>
      </c>
      <c r="B62">
        <f t="shared" si="4"/>
        <v>28</v>
      </c>
      <c r="C62" s="171"/>
      <c r="D62" s="165" t="s">
        <v>480</v>
      </c>
      <c r="E62" s="171">
        <v>1.1140000000000001</v>
      </c>
      <c r="F62" s="173"/>
      <c r="W62" s="162" t="s">
        <v>481</v>
      </c>
    </row>
    <row r="63" spans="1:23" x14ac:dyDescent="0.3">
      <c r="A63">
        <f t="shared" si="3"/>
        <v>28</v>
      </c>
      <c r="B63">
        <f t="shared" si="4"/>
        <v>30</v>
      </c>
      <c r="C63" s="171"/>
      <c r="D63" s="165" t="s">
        <v>482</v>
      </c>
      <c r="E63" s="171">
        <v>1.1040000000000001</v>
      </c>
      <c r="F63" s="173"/>
      <c r="W63" s="162" t="s">
        <v>483</v>
      </c>
    </row>
    <row r="64" spans="1:23" x14ac:dyDescent="0.3">
      <c r="A64">
        <f t="shared" si="3"/>
        <v>30</v>
      </c>
      <c r="B64">
        <f t="shared" si="4"/>
        <v>32</v>
      </c>
      <c r="C64" s="171"/>
      <c r="D64" s="165" t="s">
        <v>484</v>
      </c>
      <c r="E64" s="171">
        <v>1.085</v>
      </c>
      <c r="F64" s="173"/>
      <c r="W64" s="162" t="s">
        <v>485</v>
      </c>
    </row>
    <row r="65" spans="1:23" x14ac:dyDescent="0.3">
      <c r="A65">
        <f t="shared" si="3"/>
        <v>32</v>
      </c>
      <c r="B65">
        <f t="shared" si="4"/>
        <v>34</v>
      </c>
      <c r="C65" s="171"/>
      <c r="D65" s="165" t="s">
        <v>486</v>
      </c>
      <c r="E65" s="171">
        <v>1.0660000000000001</v>
      </c>
      <c r="F65" s="173"/>
      <c r="W65" s="162" t="s">
        <v>487</v>
      </c>
    </row>
    <row r="66" spans="1:23" x14ac:dyDescent="0.3">
      <c r="A66">
        <f t="shared" si="3"/>
        <v>34</v>
      </c>
      <c r="B66">
        <f t="shared" si="4"/>
        <v>36</v>
      </c>
      <c r="C66" s="171"/>
      <c r="D66" s="165" t="s">
        <v>488</v>
      </c>
      <c r="E66" s="171">
        <v>1.046</v>
      </c>
      <c r="F66" s="173"/>
      <c r="W66" s="162" t="s">
        <v>489</v>
      </c>
    </row>
    <row r="67" spans="1:23" x14ac:dyDescent="0.3">
      <c r="A67">
        <f t="shared" si="3"/>
        <v>36</v>
      </c>
      <c r="B67">
        <f t="shared" si="4"/>
        <v>38</v>
      </c>
      <c r="C67" s="171"/>
      <c r="D67" s="165" t="s">
        <v>490</v>
      </c>
      <c r="E67" s="171">
        <v>1.0269999999999999</v>
      </c>
      <c r="F67" s="173"/>
      <c r="W67" s="162" t="s">
        <v>491</v>
      </c>
    </row>
    <row r="68" spans="1:23" x14ac:dyDescent="0.3">
      <c r="A68">
        <f t="shared" si="3"/>
        <v>38</v>
      </c>
      <c r="B68">
        <f t="shared" si="4"/>
        <v>40</v>
      </c>
      <c r="C68" s="171"/>
      <c r="D68" s="165" t="s">
        <v>492</v>
      </c>
      <c r="E68" s="171">
        <v>1.008</v>
      </c>
      <c r="F68" s="173"/>
      <c r="W68" s="162" t="s">
        <v>493</v>
      </c>
    </row>
    <row r="69" spans="1:23" x14ac:dyDescent="0.3">
      <c r="A69">
        <f t="shared" si="3"/>
        <v>40</v>
      </c>
      <c r="B69">
        <f t="shared" si="4"/>
        <v>42</v>
      </c>
      <c r="C69" s="171"/>
      <c r="D69" s="165" t="s">
        <v>494</v>
      </c>
      <c r="E69" s="171">
        <v>0.98799999999999999</v>
      </c>
      <c r="F69" s="173"/>
      <c r="W69" s="162" t="s">
        <v>495</v>
      </c>
    </row>
    <row r="70" spans="1:23" x14ac:dyDescent="0.3">
      <c r="A70">
        <f t="shared" si="3"/>
        <v>42</v>
      </c>
      <c r="B70">
        <f t="shared" si="4"/>
        <v>44</v>
      </c>
      <c r="C70" s="171"/>
      <c r="D70" s="165" t="s">
        <v>496</v>
      </c>
      <c r="E70" s="171">
        <v>0.96899999999999997</v>
      </c>
      <c r="F70" s="173"/>
      <c r="W70" s="162" t="s">
        <v>497</v>
      </c>
    </row>
    <row r="71" spans="1:23" x14ac:dyDescent="0.3">
      <c r="A71">
        <f t="shared" si="3"/>
        <v>44</v>
      </c>
      <c r="B71">
        <f t="shared" si="4"/>
        <v>46</v>
      </c>
      <c r="C71" s="171"/>
      <c r="D71" s="165" t="s">
        <v>498</v>
      </c>
      <c r="E71" s="171">
        <v>0.94899999999999995</v>
      </c>
      <c r="F71" s="173"/>
      <c r="W71" s="162" t="s">
        <v>499</v>
      </c>
    </row>
    <row r="72" spans="1:23" x14ac:dyDescent="0.3">
      <c r="A72">
        <f t="shared" si="3"/>
        <v>46</v>
      </c>
      <c r="B72">
        <f t="shared" si="4"/>
        <v>48</v>
      </c>
      <c r="C72" s="171"/>
      <c r="D72" s="165" t="s">
        <v>500</v>
      </c>
      <c r="E72" s="171">
        <v>0.93</v>
      </c>
      <c r="F72" s="173"/>
      <c r="W72" s="162" t="s">
        <v>501</v>
      </c>
    </row>
    <row r="73" spans="1:23" x14ac:dyDescent="0.3">
      <c r="A73">
        <f t="shared" si="3"/>
        <v>48</v>
      </c>
      <c r="B73">
        <f t="shared" si="4"/>
        <v>50</v>
      </c>
      <c r="C73" s="171"/>
      <c r="D73" s="165" t="s">
        <v>502</v>
      </c>
      <c r="E73" s="171">
        <v>0.91100000000000003</v>
      </c>
      <c r="F73" s="173"/>
      <c r="W73" s="162" t="s">
        <v>503</v>
      </c>
    </row>
    <row r="74" spans="1:23" x14ac:dyDescent="0.3">
      <c r="A74">
        <f t="shared" si="3"/>
        <v>50</v>
      </c>
      <c r="B74">
        <f t="shared" si="4"/>
        <v>52</v>
      </c>
      <c r="C74" s="171"/>
      <c r="D74" s="165" t="s">
        <v>504</v>
      </c>
      <c r="E74" s="171">
        <v>0.89100000000000001</v>
      </c>
      <c r="F74" s="173"/>
      <c r="W74" s="162" t="s">
        <v>505</v>
      </c>
    </row>
    <row r="75" spans="1:23" x14ac:dyDescent="0.3">
      <c r="A75">
        <f t="shared" si="3"/>
        <v>52</v>
      </c>
      <c r="B75">
        <f t="shared" si="4"/>
        <v>54</v>
      </c>
      <c r="C75" s="171"/>
      <c r="D75" s="165" t="s">
        <v>506</v>
      </c>
      <c r="E75" s="171">
        <v>0.872</v>
      </c>
      <c r="F75" s="173"/>
      <c r="W75" s="162" t="s">
        <v>507</v>
      </c>
    </row>
    <row r="76" spans="1:23" x14ac:dyDescent="0.3">
      <c r="A76">
        <f t="shared" si="3"/>
        <v>54</v>
      </c>
      <c r="B76">
        <f t="shared" si="4"/>
        <v>56</v>
      </c>
      <c r="C76" s="171"/>
      <c r="D76" s="165" t="s">
        <v>508</v>
      </c>
      <c r="E76" s="171">
        <v>0.85199999999999998</v>
      </c>
      <c r="F76" s="173"/>
      <c r="W76" s="162" t="s">
        <v>509</v>
      </c>
    </row>
    <row r="77" spans="1:23" x14ac:dyDescent="0.3">
      <c r="A77">
        <f t="shared" si="3"/>
        <v>56</v>
      </c>
      <c r="B77">
        <f t="shared" si="4"/>
        <v>58</v>
      </c>
      <c r="C77" s="171"/>
      <c r="D77" s="165" t="s">
        <v>510</v>
      </c>
      <c r="E77" s="171">
        <v>0.83299999999999996</v>
      </c>
      <c r="F77" s="173"/>
      <c r="W77" s="162" t="s">
        <v>511</v>
      </c>
    </row>
    <row r="78" spans="1:23" x14ac:dyDescent="0.3">
      <c r="A78">
        <f t="shared" si="3"/>
        <v>58</v>
      </c>
      <c r="B78">
        <f t="shared" si="4"/>
        <v>60</v>
      </c>
      <c r="C78" s="171"/>
      <c r="D78" s="165" t="s">
        <v>512</v>
      </c>
      <c r="E78" s="171">
        <v>0.81399999999999995</v>
      </c>
      <c r="F78" s="173"/>
      <c r="W78" s="162" t="s">
        <v>513</v>
      </c>
    </row>
    <row r="79" spans="1:23" x14ac:dyDescent="0.3">
      <c r="A79">
        <f t="shared" si="3"/>
        <v>60</v>
      </c>
      <c r="B79">
        <f t="shared" si="4"/>
        <v>62</v>
      </c>
      <c r="C79" s="171"/>
      <c r="D79" s="165" t="s">
        <v>514</v>
      </c>
      <c r="E79" s="171">
        <v>0.79400000000000004</v>
      </c>
      <c r="F79" s="173"/>
      <c r="W79" s="162" t="s">
        <v>515</v>
      </c>
    </row>
    <row r="80" spans="1:23" x14ac:dyDescent="0.3">
      <c r="A80">
        <f t="shared" si="3"/>
        <v>62</v>
      </c>
      <c r="B80">
        <f t="shared" si="4"/>
        <v>64</v>
      </c>
      <c r="C80" s="171"/>
      <c r="D80" s="165" t="s">
        <v>516</v>
      </c>
      <c r="E80" s="171">
        <v>0.77500000000000002</v>
      </c>
      <c r="F80" s="173"/>
      <c r="W80" s="162" t="s">
        <v>517</v>
      </c>
    </row>
    <row r="81" spans="1:23" x14ac:dyDescent="0.3">
      <c r="A81">
        <f t="shared" si="3"/>
        <v>64</v>
      </c>
      <c r="C81" s="171"/>
      <c r="D81" s="165" t="s">
        <v>518</v>
      </c>
      <c r="E81" s="171">
        <v>0.5</v>
      </c>
      <c r="F81" s="173"/>
      <c r="W81" s="162" t="s">
        <v>519</v>
      </c>
    </row>
    <row r="82" spans="1:23" x14ac:dyDescent="0.3">
      <c r="W82" s="162" t="s">
        <v>520</v>
      </c>
    </row>
    <row r="83" spans="1:23" ht="15" thickBot="1" x14ac:dyDescent="0.35">
      <c r="A83" s="168" t="s">
        <v>521</v>
      </c>
      <c r="B83" s="168"/>
      <c r="C83" s="171"/>
      <c r="D83" s="171"/>
      <c r="E83" s="171"/>
      <c r="F83" s="173"/>
      <c r="W83" s="162" t="s">
        <v>522</v>
      </c>
    </row>
    <row r="84" spans="1:23" x14ac:dyDescent="0.3">
      <c r="A84" t="s">
        <v>165</v>
      </c>
      <c r="W84" s="162" t="s">
        <v>523</v>
      </c>
    </row>
    <row r="85" spans="1:23" x14ac:dyDescent="0.3">
      <c r="A85" t="s">
        <v>524</v>
      </c>
      <c r="W85" s="162" t="s">
        <v>525</v>
      </c>
    </row>
    <row r="86" spans="1:23" x14ac:dyDescent="0.3">
      <c r="W86" s="162" t="s">
        <v>526</v>
      </c>
    </row>
    <row r="87" spans="1:23" x14ac:dyDescent="0.3">
      <c r="W87" s="162" t="s">
        <v>527</v>
      </c>
    </row>
    <row r="88" spans="1:23" x14ac:dyDescent="0.3">
      <c r="W88" s="162" t="s">
        <v>528</v>
      </c>
    </row>
    <row r="89" spans="1:23" x14ac:dyDescent="0.3">
      <c r="W89" s="162" t="s">
        <v>529</v>
      </c>
    </row>
    <row r="90" spans="1:23" ht="15" thickBot="1" x14ac:dyDescent="0.35">
      <c r="A90" s="168" t="s">
        <v>530</v>
      </c>
      <c r="B90" s="168"/>
      <c r="C90" s="171"/>
      <c r="D90" s="171"/>
      <c r="E90" s="171"/>
      <c r="F90" s="173"/>
      <c r="W90" s="162" t="s">
        <v>531</v>
      </c>
    </row>
    <row r="91" spans="1:23" x14ac:dyDescent="0.3">
      <c r="A91" s="178" t="s">
        <v>171</v>
      </c>
      <c r="W91" s="162" t="s">
        <v>532</v>
      </c>
    </row>
    <row r="92" spans="1:23" x14ac:dyDescent="0.3">
      <c r="A92" s="178" t="s">
        <v>172</v>
      </c>
      <c r="W92" s="162" t="s">
        <v>533</v>
      </c>
    </row>
    <row r="93" spans="1:23" x14ac:dyDescent="0.3">
      <c r="A93" s="178" t="s">
        <v>534</v>
      </c>
      <c r="W93" s="162" t="s">
        <v>535</v>
      </c>
    </row>
    <row r="94" spans="1:23" x14ac:dyDescent="0.3">
      <c r="A94" s="178" t="s">
        <v>536</v>
      </c>
      <c r="W94" s="162" t="s">
        <v>537</v>
      </c>
    </row>
    <row r="95" spans="1:23" x14ac:dyDescent="0.3">
      <c r="A95" s="178" t="s">
        <v>538</v>
      </c>
      <c r="W95" s="162" t="s">
        <v>539</v>
      </c>
    </row>
    <row r="96" spans="1:23" x14ac:dyDescent="0.3">
      <c r="W96" s="162" t="s">
        <v>540</v>
      </c>
    </row>
    <row r="97" spans="1:23" ht="15" thickBot="1" x14ac:dyDescent="0.35">
      <c r="A97" s="168" t="s">
        <v>541</v>
      </c>
      <c r="B97" s="168"/>
      <c r="C97" s="171"/>
      <c r="D97" s="171"/>
      <c r="E97" s="171"/>
      <c r="F97" s="173"/>
      <c r="W97" s="162" t="s">
        <v>542</v>
      </c>
    </row>
    <row r="98" spans="1:23" x14ac:dyDescent="0.3">
      <c r="A98" s="178" t="s">
        <v>543</v>
      </c>
      <c r="W98" s="162" t="s">
        <v>544</v>
      </c>
    </row>
    <row r="99" spans="1:23" x14ac:dyDescent="0.3">
      <c r="A99" s="178" t="s">
        <v>189</v>
      </c>
      <c r="W99" s="162" t="s">
        <v>545</v>
      </c>
    </row>
    <row r="100" spans="1:23" x14ac:dyDescent="0.3">
      <c r="A100" s="178" t="s">
        <v>546</v>
      </c>
      <c r="W100" s="162" t="s">
        <v>547</v>
      </c>
    </row>
    <row r="101" spans="1:23" x14ac:dyDescent="0.3">
      <c r="W101" s="162" t="s">
        <v>548</v>
      </c>
    </row>
    <row r="102" spans="1:23" x14ac:dyDescent="0.3">
      <c r="W102" s="162" t="s">
        <v>549</v>
      </c>
    </row>
    <row r="103" spans="1:23" x14ac:dyDescent="0.3">
      <c r="W103" s="162" t="s">
        <v>550</v>
      </c>
    </row>
    <row r="104" spans="1:23" ht="15" thickBot="1" x14ac:dyDescent="0.35">
      <c r="W104" s="162" t="s">
        <v>551</v>
      </c>
    </row>
    <row r="105" spans="1:23" x14ac:dyDescent="0.3">
      <c r="A105" s="179" t="s">
        <v>552</v>
      </c>
      <c r="W105" s="162" t="s">
        <v>553</v>
      </c>
    </row>
    <row r="106" spans="1:23" x14ac:dyDescent="0.3">
      <c r="A106" s="172" t="s">
        <v>192</v>
      </c>
      <c r="W106" s="162" t="s">
        <v>554</v>
      </c>
    </row>
    <row r="107" spans="1:23" x14ac:dyDescent="0.3">
      <c r="A107" s="172" t="s">
        <v>555</v>
      </c>
      <c r="W107" s="162" t="s">
        <v>556</v>
      </c>
    </row>
    <row r="108" spans="1:23" x14ac:dyDescent="0.3">
      <c r="A108" s="172" t="s">
        <v>557</v>
      </c>
      <c r="W108" s="162" t="s">
        <v>558</v>
      </c>
    </row>
    <row r="109" spans="1:23" x14ac:dyDescent="0.3">
      <c r="A109" s="172" t="s">
        <v>559</v>
      </c>
      <c r="W109" s="162" t="s">
        <v>560</v>
      </c>
    </row>
    <row r="110" spans="1:23" x14ac:dyDescent="0.3">
      <c r="A110" s="172" t="s">
        <v>561</v>
      </c>
      <c r="W110" s="162" t="s">
        <v>562</v>
      </c>
    </row>
    <row r="111" spans="1:23" x14ac:dyDescent="0.3">
      <c r="A111" s="172" t="s">
        <v>197</v>
      </c>
      <c r="W111" s="162" t="s">
        <v>563</v>
      </c>
    </row>
    <row r="112" spans="1:23" x14ac:dyDescent="0.3">
      <c r="A112" s="172" t="s">
        <v>564</v>
      </c>
      <c r="W112" s="162" t="s">
        <v>565</v>
      </c>
    </row>
    <row r="113" spans="1:23" x14ac:dyDescent="0.3">
      <c r="A113" s="172" t="s">
        <v>566</v>
      </c>
      <c r="W113" s="162" t="s">
        <v>567</v>
      </c>
    </row>
    <row r="114" spans="1:23" x14ac:dyDescent="0.3">
      <c r="A114" s="172" t="s">
        <v>568</v>
      </c>
      <c r="W114" s="162" t="s">
        <v>569</v>
      </c>
    </row>
    <row r="115" spans="1:23" x14ac:dyDescent="0.3">
      <c r="A115" s="180" t="s">
        <v>570</v>
      </c>
      <c r="W115" s="162" t="s">
        <v>571</v>
      </c>
    </row>
    <row r="116" spans="1:23" x14ac:dyDescent="0.3">
      <c r="A116" s="180" t="s">
        <v>572</v>
      </c>
      <c r="W116" s="162" t="s">
        <v>573</v>
      </c>
    </row>
    <row r="117" spans="1:23" x14ac:dyDescent="0.3">
      <c r="A117" s="172" t="s">
        <v>574</v>
      </c>
      <c r="W117" s="162" t="s">
        <v>575</v>
      </c>
    </row>
    <row r="118" spans="1:23" x14ac:dyDescent="0.3">
      <c r="A118" s="172" t="s">
        <v>193</v>
      </c>
      <c r="W118" s="162" t="s">
        <v>576</v>
      </c>
    </row>
    <row r="119" spans="1:23" x14ac:dyDescent="0.3">
      <c r="A119" s="172" t="s">
        <v>577</v>
      </c>
      <c r="W119" s="162" t="s">
        <v>578</v>
      </c>
    </row>
    <row r="120" spans="1:23" x14ac:dyDescent="0.3">
      <c r="W120" s="162" t="s">
        <v>579</v>
      </c>
    </row>
    <row r="121" spans="1:23" ht="15" thickBot="1" x14ac:dyDescent="0.35">
      <c r="W121" s="162" t="s">
        <v>580</v>
      </c>
    </row>
    <row r="122" spans="1:23" x14ac:dyDescent="0.3">
      <c r="A122" s="179" t="s">
        <v>581</v>
      </c>
      <c r="W122" s="162" t="s">
        <v>582</v>
      </c>
    </row>
    <row r="123" spans="1:23" x14ac:dyDescent="0.3">
      <c r="A123" t="s">
        <v>203</v>
      </c>
      <c r="W123" s="162" t="s">
        <v>583</v>
      </c>
    </row>
    <row r="124" spans="1:23" x14ac:dyDescent="0.3">
      <c r="A124" t="s">
        <v>584</v>
      </c>
      <c r="W124" s="162" t="s">
        <v>1592</v>
      </c>
    </row>
    <row r="125" spans="1:23" x14ac:dyDescent="0.3">
      <c r="A125" t="s">
        <v>204</v>
      </c>
    </row>
    <row r="126" spans="1:23" x14ac:dyDescent="0.3">
      <c r="A126" t="s">
        <v>585</v>
      </c>
    </row>
    <row r="127" spans="1:23" x14ac:dyDescent="0.3">
      <c r="A127" t="s">
        <v>209</v>
      </c>
    </row>
    <row r="128" spans="1:23" x14ac:dyDescent="0.3">
      <c r="A128" t="s">
        <v>586</v>
      </c>
    </row>
    <row r="129" spans="1:1" x14ac:dyDescent="0.3">
      <c r="A129" t="s">
        <v>587</v>
      </c>
    </row>
    <row r="130" spans="1:1" x14ac:dyDescent="0.3">
      <c r="A130" t="s">
        <v>588</v>
      </c>
    </row>
    <row r="131" spans="1:1" x14ac:dyDescent="0.3">
      <c r="A131" t="s">
        <v>589</v>
      </c>
    </row>
    <row r="132" spans="1:1" x14ac:dyDescent="0.3">
      <c r="A132" t="s">
        <v>538</v>
      </c>
    </row>
    <row r="135" spans="1:1" x14ac:dyDescent="0.3">
      <c r="A135" s="157" t="s">
        <v>590</v>
      </c>
    </row>
    <row r="136" spans="1:1" x14ac:dyDescent="0.3">
      <c r="A136" t="s">
        <v>199</v>
      </c>
    </row>
    <row r="137" spans="1:1" x14ac:dyDescent="0.3">
      <c r="A137" t="s">
        <v>195</v>
      </c>
    </row>
    <row r="141" spans="1:1" x14ac:dyDescent="0.3">
      <c r="A141" s="157" t="s">
        <v>591</v>
      </c>
    </row>
    <row r="142" spans="1:1" x14ac:dyDescent="0.3">
      <c r="A142" t="s">
        <v>85</v>
      </c>
    </row>
    <row r="143" spans="1:1" x14ac:dyDescent="0.3">
      <c r="A143" t="s">
        <v>87</v>
      </c>
    </row>
    <row r="147" spans="1:1" x14ac:dyDescent="0.3">
      <c r="A147" s="157" t="s">
        <v>206</v>
      </c>
    </row>
    <row r="148" spans="1:1" x14ac:dyDescent="0.3">
      <c r="A148" t="s">
        <v>207</v>
      </c>
    </row>
    <row r="149" spans="1:1" x14ac:dyDescent="0.3">
      <c r="A149" t="s">
        <v>592</v>
      </c>
    </row>
    <row r="150" spans="1:1" x14ac:dyDescent="0.3">
      <c r="A150" t="s">
        <v>212</v>
      </c>
    </row>
    <row r="153" spans="1:1" x14ac:dyDescent="0.3">
      <c r="A153" s="157" t="s">
        <v>593</v>
      </c>
    </row>
    <row r="154" spans="1:1" x14ac:dyDescent="0.3">
      <c r="A154" t="s">
        <v>185</v>
      </c>
    </row>
    <row r="155" spans="1:1" x14ac:dyDescent="0.3">
      <c r="A155" t="s">
        <v>594</v>
      </c>
    </row>
    <row r="156" spans="1:1" x14ac:dyDescent="0.3">
      <c r="A156" t="s">
        <v>595</v>
      </c>
    </row>
    <row r="157" spans="1:1" x14ac:dyDescent="0.3">
      <c r="A157" t="s">
        <v>596</v>
      </c>
    </row>
    <row r="160" spans="1:1" x14ac:dyDescent="0.3">
      <c r="A160" s="157" t="s">
        <v>597</v>
      </c>
    </row>
    <row r="161" spans="1:6" x14ac:dyDescent="0.3">
      <c r="A161" s="125">
        <v>0.7</v>
      </c>
    </row>
    <row r="162" spans="1:6" x14ac:dyDescent="0.3">
      <c r="A162" s="157" t="s">
        <v>598</v>
      </c>
    </row>
    <row r="163" spans="1:6" x14ac:dyDescent="0.3">
      <c r="A163" s="125">
        <v>0.85</v>
      </c>
    </row>
    <row r="164" spans="1:6" ht="16.5" customHeight="1" x14ac:dyDescent="0.3"/>
    <row r="166" spans="1:6" x14ac:dyDescent="0.3">
      <c r="A166" s="1640" t="s">
        <v>235</v>
      </c>
      <c r="B166" s="1640"/>
      <c r="C166" s="1640"/>
      <c r="D166" s="1640"/>
      <c r="E166" t="s">
        <v>85</v>
      </c>
      <c r="F166">
        <v>0.7</v>
      </c>
    </row>
    <row r="167" spans="1:6" x14ac:dyDescent="0.3">
      <c r="A167" s="1640"/>
      <c r="B167" s="1640"/>
      <c r="C167" s="1640"/>
      <c r="D167" s="1640"/>
      <c r="E167" t="s">
        <v>87</v>
      </c>
      <c r="F167">
        <v>1</v>
      </c>
    </row>
    <row r="168" spans="1:6" x14ac:dyDescent="0.3">
      <c r="A168" s="1640" t="s">
        <v>236</v>
      </c>
      <c r="B168" s="1640"/>
      <c r="C168" s="1640"/>
      <c r="D168" s="1640"/>
      <c r="E168" t="s">
        <v>85</v>
      </c>
      <c r="F168">
        <v>0.8</v>
      </c>
    </row>
    <row r="169" spans="1:6" x14ac:dyDescent="0.3">
      <c r="A169" s="1640"/>
      <c r="B169" s="1640"/>
      <c r="C169" s="1640"/>
      <c r="D169" s="1640"/>
      <c r="E169" t="s">
        <v>87</v>
      </c>
      <c r="F169">
        <v>1</v>
      </c>
    </row>
    <row r="172" spans="1:6" x14ac:dyDescent="0.3">
      <c r="A172" s="157" t="s">
        <v>599</v>
      </c>
    </row>
    <row r="173" spans="1:6" x14ac:dyDescent="0.3">
      <c r="A173" t="s">
        <v>81</v>
      </c>
    </row>
    <row r="174" spans="1:6" x14ac:dyDescent="0.3">
      <c r="A174" t="s">
        <v>353</v>
      </c>
    </row>
    <row r="176" spans="1:6" x14ac:dyDescent="0.3">
      <c r="A176" s="157" t="s">
        <v>123</v>
      </c>
    </row>
    <row r="177" spans="1:2" x14ac:dyDescent="0.3">
      <c r="A177" t="s">
        <v>600</v>
      </c>
    </row>
    <row r="178" spans="1:2" x14ac:dyDescent="0.3">
      <c r="A178" t="s">
        <v>601</v>
      </c>
    </row>
    <row r="179" spans="1:2" x14ac:dyDescent="0.3">
      <c r="A179" t="s">
        <v>1248</v>
      </c>
      <c r="B179" s="138"/>
    </row>
    <row r="180" spans="1:2" x14ac:dyDescent="0.3">
      <c r="A180" t="s">
        <v>1776</v>
      </c>
    </row>
    <row r="181" spans="1:2" x14ac:dyDescent="0.3">
      <c r="A181" t="s">
        <v>1777</v>
      </c>
      <c r="B181" s="138"/>
    </row>
    <row r="182" spans="1:2" x14ac:dyDescent="0.3">
      <c r="A182" t="s">
        <v>602</v>
      </c>
    </row>
    <row r="183" spans="1:2" x14ac:dyDescent="0.3">
      <c r="A183" t="s">
        <v>603</v>
      </c>
    </row>
    <row r="184" spans="1:2" x14ac:dyDescent="0.3">
      <c r="A184" t="s">
        <v>604</v>
      </c>
    </row>
    <row r="185" spans="1:2" x14ac:dyDescent="0.3">
      <c r="A185" t="s">
        <v>605</v>
      </c>
    </row>
    <row r="186" spans="1:2" x14ac:dyDescent="0.3">
      <c r="A186" t="s">
        <v>1095</v>
      </c>
    </row>
    <row r="187" spans="1:2" x14ac:dyDescent="0.3">
      <c r="A187" t="s">
        <v>606</v>
      </c>
    </row>
    <row r="189" spans="1:2" x14ac:dyDescent="0.3">
      <c r="A189" s="157" t="s">
        <v>607</v>
      </c>
    </row>
    <row r="190" spans="1:2" x14ac:dyDescent="0.3">
      <c r="A190" t="s">
        <v>608</v>
      </c>
    </row>
    <row r="191" spans="1:2" x14ac:dyDescent="0.3">
      <c r="A191" t="s">
        <v>126</v>
      </c>
    </row>
    <row r="194" spans="1:2" x14ac:dyDescent="0.3">
      <c r="A194" s="157" t="s">
        <v>609</v>
      </c>
    </row>
    <row r="195" spans="1:2" x14ac:dyDescent="0.3">
      <c r="A195" t="s">
        <v>610</v>
      </c>
    </row>
    <row r="196" spans="1:2" x14ac:dyDescent="0.3">
      <c r="A196" t="s">
        <v>611</v>
      </c>
      <c r="B196">
        <v>0.5</v>
      </c>
    </row>
    <row r="197" spans="1:2" x14ac:dyDescent="0.3">
      <c r="A197" t="s">
        <v>612</v>
      </c>
      <c r="B197">
        <v>1</v>
      </c>
    </row>
    <row r="198" spans="1:2" x14ac:dyDescent="0.3">
      <c r="A198" t="s">
        <v>613</v>
      </c>
    </row>
    <row r="199" spans="1:2" x14ac:dyDescent="0.3">
      <c r="A199" t="s">
        <v>611</v>
      </c>
      <c r="B199">
        <v>3</v>
      </c>
    </row>
    <row r="200" spans="1:2" x14ac:dyDescent="0.3">
      <c r="A200" t="s">
        <v>612</v>
      </c>
      <c r="B200">
        <v>1</v>
      </c>
    </row>
    <row r="203" spans="1:2" x14ac:dyDescent="0.3">
      <c r="A203" s="157" t="s">
        <v>614</v>
      </c>
    </row>
    <row r="204" spans="1:2" x14ac:dyDescent="0.3">
      <c r="A204" t="s">
        <v>244</v>
      </c>
    </row>
    <row r="205" spans="1:2" x14ac:dyDescent="0.3">
      <c r="A205" t="s">
        <v>245</v>
      </c>
    </row>
    <row r="206" spans="1:2" x14ac:dyDescent="0.3">
      <c r="A206" t="s">
        <v>615</v>
      </c>
    </row>
    <row r="209" spans="1:1" x14ac:dyDescent="0.3">
      <c r="A209" s="157" t="s">
        <v>616</v>
      </c>
    </row>
    <row r="210" spans="1:1" x14ac:dyDescent="0.3">
      <c r="A210" t="s">
        <v>247</v>
      </c>
    </row>
    <row r="211" spans="1:1" x14ac:dyDescent="0.3">
      <c r="A211" t="s">
        <v>617</v>
      </c>
    </row>
    <row r="212" spans="1:1" x14ac:dyDescent="0.3">
      <c r="A212" t="s">
        <v>618</v>
      </c>
    </row>
    <row r="213" spans="1:1" x14ac:dyDescent="0.3">
      <c r="A213" t="s">
        <v>619</v>
      </c>
    </row>
    <row r="214" spans="1:1" x14ac:dyDescent="0.3">
      <c r="A214" t="s">
        <v>620</v>
      </c>
    </row>
    <row r="215" spans="1:1" x14ac:dyDescent="0.3">
      <c r="A215" t="s">
        <v>621</v>
      </c>
    </row>
    <row r="216" spans="1:1" x14ac:dyDescent="0.3">
      <c r="A216" t="s">
        <v>622</v>
      </c>
    </row>
    <row r="217" spans="1:1" x14ac:dyDescent="0.3">
      <c r="A217" t="s">
        <v>623</v>
      </c>
    </row>
    <row r="218" spans="1:1" x14ac:dyDescent="0.3">
      <c r="A218" t="s">
        <v>624</v>
      </c>
    </row>
    <row r="221" spans="1:1" x14ac:dyDescent="0.3">
      <c r="A221" s="157" t="s">
        <v>625</v>
      </c>
    </row>
    <row r="222" spans="1:1" x14ac:dyDescent="0.3">
      <c r="A222" t="s">
        <v>626</v>
      </c>
    </row>
    <row r="223" spans="1:1" x14ac:dyDescent="0.3">
      <c r="A223" t="s">
        <v>288</v>
      </c>
    </row>
    <row r="224" spans="1:1" x14ac:dyDescent="0.3">
      <c r="A224" t="s">
        <v>287</v>
      </c>
    </row>
    <row r="225" spans="1:1" x14ac:dyDescent="0.3">
      <c r="A225" t="s">
        <v>627</v>
      </c>
    </row>
    <row r="226" spans="1:1" x14ac:dyDescent="0.3">
      <c r="A226" t="s">
        <v>628</v>
      </c>
    </row>
    <row r="227" spans="1:1" x14ac:dyDescent="0.3">
      <c r="A227" t="s">
        <v>629</v>
      </c>
    </row>
    <row r="228" spans="1:1" x14ac:dyDescent="0.3">
      <c r="A228" t="s">
        <v>630</v>
      </c>
    </row>
    <row r="231" spans="1:1" x14ac:dyDescent="0.3">
      <c r="A231" s="157" t="s">
        <v>631</v>
      </c>
    </row>
    <row r="232" spans="1:1" x14ac:dyDescent="0.3">
      <c r="A232" t="s">
        <v>292</v>
      </c>
    </row>
    <row r="233" spans="1:1" x14ac:dyDescent="0.3">
      <c r="A233" t="s">
        <v>632</v>
      </c>
    </row>
    <row r="234" spans="1:1" x14ac:dyDescent="0.3">
      <c r="A234" t="s">
        <v>633</v>
      </c>
    </row>
    <row r="235" spans="1:1" x14ac:dyDescent="0.3">
      <c r="A235" t="s">
        <v>634</v>
      </c>
    </row>
    <row r="237" spans="1:1" x14ac:dyDescent="0.3">
      <c r="A237" t="s">
        <v>635</v>
      </c>
    </row>
    <row r="238" spans="1:1" x14ac:dyDescent="0.3">
      <c r="A238" t="s">
        <v>133</v>
      </c>
    </row>
    <row r="239" spans="1:1" x14ac:dyDescent="0.3">
      <c r="A239" t="s">
        <v>102</v>
      </c>
    </row>
    <row r="242" spans="1:14" ht="15" thickBot="1" x14ac:dyDescent="0.35">
      <c r="A242" s="157" t="s">
        <v>636</v>
      </c>
    </row>
    <row r="243" spans="1:14" ht="15" thickBot="1" x14ac:dyDescent="0.35">
      <c r="A243" s="181" t="s">
        <v>637</v>
      </c>
      <c r="B243" s="181">
        <v>0.8</v>
      </c>
    </row>
    <row r="244" spans="1:14" ht="15" thickBot="1" x14ac:dyDescent="0.35">
      <c r="A244" s="182" t="s">
        <v>638</v>
      </c>
      <c r="B244" s="182">
        <v>0.64</v>
      </c>
    </row>
    <row r="245" spans="1:14" ht="15" thickBot="1" x14ac:dyDescent="0.35">
      <c r="A245" s="182" t="s">
        <v>639</v>
      </c>
      <c r="B245" s="182">
        <v>0.48</v>
      </c>
    </row>
    <row r="248" spans="1:14" x14ac:dyDescent="0.3">
      <c r="A248" s="183" t="s">
        <v>640</v>
      </c>
      <c r="N248" s="183"/>
    </row>
    <row r="249" spans="1:14" ht="42" x14ac:dyDescent="0.3">
      <c r="C249" s="138"/>
      <c r="E249" s="184" t="s">
        <v>641</v>
      </c>
      <c r="F249" s="184" t="s">
        <v>1804</v>
      </c>
    </row>
    <row r="250" spans="1:14" ht="42" x14ac:dyDescent="0.3">
      <c r="B250" t="s">
        <v>642</v>
      </c>
      <c r="E250" s="184" t="s">
        <v>643</v>
      </c>
      <c r="F250" s="184" t="s">
        <v>1796</v>
      </c>
    </row>
    <row r="251" spans="1:14" ht="28.2" x14ac:dyDescent="0.3">
      <c r="A251" s="138">
        <v>0</v>
      </c>
      <c r="E251" s="184" t="s">
        <v>644</v>
      </c>
      <c r="F251" s="184" t="s">
        <v>1797</v>
      </c>
    </row>
    <row r="252" spans="1:14" ht="28.2" x14ac:dyDescent="0.3">
      <c r="A252" s="138">
        <v>500000</v>
      </c>
      <c r="B252" s="138">
        <v>16200</v>
      </c>
      <c r="C252" s="125">
        <v>0.01</v>
      </c>
      <c r="E252" s="545" t="s">
        <v>1798</v>
      </c>
      <c r="F252" s="184" t="s">
        <v>1799</v>
      </c>
    </row>
    <row r="253" spans="1:14" ht="28.2" x14ac:dyDescent="0.3">
      <c r="A253" s="138">
        <v>5000000</v>
      </c>
      <c r="B253" s="138">
        <v>61200</v>
      </c>
      <c r="C253" s="113">
        <v>5.0000000000000001E-3</v>
      </c>
      <c r="E253" s="545" t="s">
        <v>1801</v>
      </c>
      <c r="F253" s="184" t="s">
        <v>1800</v>
      </c>
    </row>
    <row r="254" spans="1:14" ht="28.2" x14ac:dyDescent="0.3">
      <c r="A254" s="138">
        <v>10000000</v>
      </c>
      <c r="B254" s="138">
        <v>86200</v>
      </c>
      <c r="C254" s="113">
        <v>2.5000000000000001E-3</v>
      </c>
      <c r="F254" s="185" t="s">
        <v>1802</v>
      </c>
      <c r="G254" s="138">
        <v>200000000</v>
      </c>
    </row>
    <row r="255" spans="1:14" x14ac:dyDescent="0.3">
      <c r="A255" s="138">
        <v>200000000</v>
      </c>
      <c r="B255" s="138">
        <v>561200</v>
      </c>
      <c r="C255" s="113">
        <v>2E-3</v>
      </c>
    </row>
    <row r="256" spans="1:14" x14ac:dyDescent="0.3">
      <c r="A256" s="138">
        <v>500000000</v>
      </c>
      <c r="B256" s="138">
        <v>1161200</v>
      </c>
      <c r="C256" s="113">
        <v>1E-3</v>
      </c>
    </row>
    <row r="257" spans="1:9" x14ac:dyDescent="0.3">
      <c r="A257" s="138"/>
      <c r="B257" s="138"/>
    </row>
    <row r="258" spans="1:9" x14ac:dyDescent="0.3">
      <c r="A258" s="157" t="s">
        <v>1807</v>
      </c>
      <c r="B258" s="157" t="s">
        <v>1808</v>
      </c>
      <c r="C258" s="157" t="s">
        <v>1809</v>
      </c>
      <c r="D258" s="157" t="s">
        <v>1810</v>
      </c>
      <c r="F258" s="157" t="s">
        <v>1807</v>
      </c>
      <c r="G258" s="157" t="s">
        <v>1808</v>
      </c>
      <c r="H258" s="157" t="s">
        <v>1809</v>
      </c>
      <c r="I258" s="157" t="s">
        <v>1810</v>
      </c>
    </row>
    <row r="259" spans="1:9" x14ac:dyDescent="0.3">
      <c r="A259">
        <f>egyszerűsített_kalkulátor!$B$7*1.3</f>
        <v>15600000</v>
      </c>
      <c r="B259">
        <f>VLOOKUP(egyszerűsített_kalkulátor!$B$7*1.3,A250:C256,1,TRUE)</f>
        <v>10000000</v>
      </c>
      <c r="C259" s="547">
        <f>VLOOKUP(egyszerűsített_kalkulátor!$B$7*1.3,A250:C256,2,TRUE)</f>
        <v>86200</v>
      </c>
      <c r="D259" s="113">
        <f>VLOOKUP(egyszerűsített_kalkulátor!$B$7*1.3,A250:C254,3,TRUE)</f>
        <v>2.5000000000000001E-3</v>
      </c>
      <c r="F259">
        <f>'komplex kalkulátor'!K4*1.3</f>
        <v>15600000</v>
      </c>
      <c r="G259">
        <f>VLOOKUP('komplex kalkulátor'!K4*1.3,A250:C254,1,TRUE)</f>
        <v>10000000</v>
      </c>
      <c r="H259">
        <f>VLOOKUP('komplex kalkulátor'!K4*1.3,A250:C254,2,TRUE)</f>
        <v>86200</v>
      </c>
      <c r="I259" s="113">
        <f>VLOOKUP('komplex kalkulátor'!K4*1.3,A250:C254,3,TRUE)</f>
        <v>2.5000000000000001E-3</v>
      </c>
    </row>
    <row r="260" spans="1:9" x14ac:dyDescent="0.3">
      <c r="C260" s="547"/>
      <c r="D260" s="113"/>
      <c r="H260" s="113"/>
    </row>
    <row r="261" spans="1:9" hidden="1" x14ac:dyDescent="0.3">
      <c r="A261" s="157" t="s">
        <v>1815</v>
      </c>
      <c r="D261" s="157" t="s">
        <v>1817</v>
      </c>
    </row>
    <row r="262" spans="1:9" hidden="1" x14ac:dyDescent="0.3">
      <c r="A262" t="s">
        <v>1805</v>
      </c>
      <c r="B262" s="548">
        <f>C259</f>
        <v>86200</v>
      </c>
      <c r="D262" t="s">
        <v>1805</v>
      </c>
      <c r="E262" s="548">
        <f>H259</f>
        <v>86200</v>
      </c>
    </row>
    <row r="263" spans="1:9" hidden="1" x14ac:dyDescent="0.3">
      <c r="A263" t="s">
        <v>1806</v>
      </c>
      <c r="B263" s="548">
        <f>(A259-B259)*D259</f>
        <v>14000</v>
      </c>
      <c r="D263" t="s">
        <v>1806</v>
      </c>
      <c r="E263" s="548">
        <f>(F259-G259)*I259</f>
        <v>14000</v>
      </c>
    </row>
    <row r="264" spans="1:9" hidden="1" x14ac:dyDescent="0.3">
      <c r="A264" t="s">
        <v>1811</v>
      </c>
      <c r="B264" s="548">
        <f>B262+B263</f>
        <v>100200</v>
      </c>
      <c r="D264" t="s">
        <v>1811</v>
      </c>
      <c r="E264" s="548">
        <f>SUM(E262:E263)</f>
        <v>100200</v>
      </c>
    </row>
    <row r="265" spans="1:9" hidden="1" x14ac:dyDescent="0.3">
      <c r="A265" t="s">
        <v>1812</v>
      </c>
      <c r="B265" s="548">
        <f>B264*0.3</f>
        <v>30060</v>
      </c>
      <c r="D265" t="s">
        <v>1812</v>
      </c>
      <c r="E265" s="548">
        <f>E264*0.3</f>
        <v>30060</v>
      </c>
    </row>
    <row r="266" spans="1:9" hidden="1" x14ac:dyDescent="0.3">
      <c r="A266" t="s">
        <v>1813</v>
      </c>
      <c r="B266" s="548">
        <f>B265*0.4</f>
        <v>12024</v>
      </c>
      <c r="D266" t="s">
        <v>1813</v>
      </c>
      <c r="E266" s="548">
        <f>E265*0.4</f>
        <v>12024</v>
      </c>
    </row>
    <row r="267" spans="1:9" hidden="1" x14ac:dyDescent="0.3">
      <c r="A267" t="s">
        <v>1814</v>
      </c>
      <c r="B267" s="548">
        <v>20000</v>
      </c>
      <c r="D267" t="s">
        <v>1814</v>
      </c>
      <c r="E267" s="548">
        <v>20000</v>
      </c>
    </row>
    <row r="268" spans="1:9" hidden="1" x14ac:dyDescent="0.3">
      <c r="A268" s="157" t="s">
        <v>1816</v>
      </c>
      <c r="B268" s="549">
        <f>SUM(B265:B267)</f>
        <v>62084</v>
      </c>
      <c r="D268" s="157" t="s">
        <v>1816</v>
      </c>
      <c r="E268" s="549">
        <f>SUM(E265:E267)</f>
        <v>62084</v>
      </c>
    </row>
    <row r="270" spans="1:9" x14ac:dyDescent="0.3">
      <c r="A270" s="183" t="s">
        <v>1785</v>
      </c>
    </row>
    <row r="272" spans="1:9" x14ac:dyDescent="0.3">
      <c r="B272" t="s">
        <v>1786</v>
      </c>
      <c r="D272" t="s">
        <v>1787</v>
      </c>
    </row>
    <row r="273" spans="1:4" x14ac:dyDescent="0.3">
      <c r="A273" t="s">
        <v>1790</v>
      </c>
      <c r="B273">
        <v>0</v>
      </c>
      <c r="C273" s="138">
        <v>3000000</v>
      </c>
      <c r="D273" s="138">
        <v>10000</v>
      </c>
    </row>
    <row r="274" spans="1:4" x14ac:dyDescent="0.3">
      <c r="A274" t="s">
        <v>1788</v>
      </c>
      <c r="B274" s="138">
        <v>3000000</v>
      </c>
      <c r="C274" s="138">
        <v>5000000</v>
      </c>
      <c r="D274" s="138">
        <v>14000</v>
      </c>
    </row>
    <row r="275" spans="1:4" x14ac:dyDescent="0.3">
      <c r="A275" t="s">
        <v>1789</v>
      </c>
      <c r="B275" s="138">
        <v>5000000</v>
      </c>
      <c r="C275" s="138">
        <v>10000000</v>
      </c>
      <c r="D275" s="138">
        <v>16500</v>
      </c>
    </row>
    <row r="276" spans="1:4" x14ac:dyDescent="0.3">
      <c r="A276" t="s">
        <v>1791</v>
      </c>
      <c r="B276" s="138">
        <v>10000000</v>
      </c>
      <c r="C276" s="138">
        <v>15000000</v>
      </c>
      <c r="D276" s="138">
        <v>19500</v>
      </c>
    </row>
    <row r="278" spans="1:4" x14ac:dyDescent="0.3">
      <c r="A278" t="s">
        <v>1792</v>
      </c>
    </row>
    <row r="279" spans="1:4" x14ac:dyDescent="0.3">
      <c r="A279" t="s">
        <v>1793</v>
      </c>
      <c r="B279" s="138">
        <f>egyszerűsített_kalkulátor!B7</f>
        <v>12000000</v>
      </c>
    </row>
    <row r="280" spans="1:4" x14ac:dyDescent="0.3">
      <c r="A280" t="s">
        <v>1794</v>
      </c>
      <c r="B280" s="138">
        <f>B279*1.3</f>
        <v>15600000</v>
      </c>
    </row>
    <row r="281" spans="1:4" x14ac:dyDescent="0.3">
      <c r="A281" s="157" t="s">
        <v>1795</v>
      </c>
      <c r="B281" s="546">
        <f>VLOOKUP(B280,B273:D276,3,1)</f>
        <v>19500</v>
      </c>
    </row>
    <row r="283" spans="1:4" x14ac:dyDescent="0.3">
      <c r="A283" t="s">
        <v>1803</v>
      </c>
    </row>
    <row r="284" spans="1:4" x14ac:dyDescent="0.3">
      <c r="A284" t="s">
        <v>1793</v>
      </c>
      <c r="B284" s="138">
        <f>'komplex kalkulátor'!K4</f>
        <v>12000000</v>
      </c>
    </row>
    <row r="285" spans="1:4" x14ac:dyDescent="0.3">
      <c r="A285" t="s">
        <v>1794</v>
      </c>
      <c r="B285" s="138">
        <f>B284*1.3</f>
        <v>15600000</v>
      </c>
    </row>
    <row r="286" spans="1:4" x14ac:dyDescent="0.3">
      <c r="A286" s="157" t="s">
        <v>1795</v>
      </c>
      <c r="B286" s="546">
        <f>VLOOKUP(B285,B273:D276,3,1)</f>
        <v>19500</v>
      </c>
    </row>
    <row r="289" spans="1:10" x14ac:dyDescent="0.3">
      <c r="A289" t="s">
        <v>1023</v>
      </c>
      <c r="B289" t="s">
        <v>999</v>
      </c>
      <c r="C289" t="s">
        <v>1024</v>
      </c>
      <c r="D289" t="s">
        <v>1864</v>
      </c>
      <c r="E289" t="s">
        <v>1865</v>
      </c>
      <c r="H289" t="s">
        <v>1335</v>
      </c>
    </row>
    <row r="290" spans="1:10" x14ac:dyDescent="0.3">
      <c r="A290" t="s">
        <v>1001</v>
      </c>
      <c r="B290">
        <v>990</v>
      </c>
      <c r="C290" s="113">
        <v>3.0000000000000001E-3</v>
      </c>
      <c r="D290">
        <v>0</v>
      </c>
      <c r="E290">
        <v>6000</v>
      </c>
      <c r="H290" t="s">
        <v>1271</v>
      </c>
    </row>
    <row r="291" spans="1:10" x14ac:dyDescent="0.3">
      <c r="A291" t="s">
        <v>1002</v>
      </c>
      <c r="B291">
        <v>0</v>
      </c>
      <c r="C291" s="113">
        <v>3.0000000000000001E-3</v>
      </c>
      <c r="D291">
        <v>0</v>
      </c>
      <c r="E291">
        <v>6000</v>
      </c>
      <c r="H291" t="s">
        <v>1336</v>
      </c>
    </row>
    <row r="292" spans="1:10" x14ac:dyDescent="0.3">
      <c r="A292" t="s">
        <v>1003</v>
      </c>
      <c r="B292">
        <v>0</v>
      </c>
      <c r="C292" s="434">
        <v>3.0000000000000001E-3</v>
      </c>
      <c r="D292">
        <v>0</v>
      </c>
      <c r="E292">
        <v>6000</v>
      </c>
    </row>
    <row r="293" spans="1:10" x14ac:dyDescent="0.3">
      <c r="A293" t="s">
        <v>1866</v>
      </c>
      <c r="B293">
        <v>0</v>
      </c>
      <c r="C293" s="608">
        <v>3.0000000000000001E-3</v>
      </c>
      <c r="D293">
        <v>0</v>
      </c>
      <c r="E293">
        <v>6000</v>
      </c>
    </row>
    <row r="294" spans="1:10" x14ac:dyDescent="0.3">
      <c r="A294" t="s">
        <v>1867</v>
      </c>
      <c r="B294">
        <v>0</v>
      </c>
      <c r="C294" s="608">
        <v>3.0000000000000001E-3</v>
      </c>
      <c r="D294">
        <v>0</v>
      </c>
      <c r="E294">
        <v>6000</v>
      </c>
    </row>
    <row r="295" spans="1:10" x14ac:dyDescent="0.3">
      <c r="A295" t="s">
        <v>1004</v>
      </c>
      <c r="B295">
        <v>0</v>
      </c>
      <c r="C295" s="113">
        <v>0</v>
      </c>
      <c r="D295">
        <v>0</v>
      </c>
      <c r="E295">
        <v>6000</v>
      </c>
    </row>
    <row r="296" spans="1:10" x14ac:dyDescent="0.3">
      <c r="A296" t="s">
        <v>1883</v>
      </c>
      <c r="B296">
        <v>0</v>
      </c>
      <c r="C296" s="113">
        <v>3.0000000000000001E-3</v>
      </c>
      <c r="D296">
        <v>0</v>
      </c>
      <c r="E296">
        <v>6000</v>
      </c>
    </row>
    <row r="297" spans="1:10" x14ac:dyDescent="0.3">
      <c r="A297" t="s">
        <v>1337</v>
      </c>
      <c r="B297">
        <v>0</v>
      </c>
      <c r="C297" s="113">
        <v>3.0000000000000001E-3</v>
      </c>
      <c r="D297">
        <v>0</v>
      </c>
      <c r="E297">
        <v>6000</v>
      </c>
    </row>
    <row r="298" spans="1:10" x14ac:dyDescent="0.3">
      <c r="A298" s="432" t="s">
        <v>1008</v>
      </c>
      <c r="B298">
        <v>0</v>
      </c>
      <c r="C298" s="113">
        <v>0</v>
      </c>
      <c r="D298">
        <v>0</v>
      </c>
      <c r="E298">
        <v>0</v>
      </c>
      <c r="H298" s="157" t="s">
        <v>1870</v>
      </c>
      <c r="I298" t="s">
        <v>1874</v>
      </c>
      <c r="J298" t="s">
        <v>1875</v>
      </c>
    </row>
    <row r="299" spans="1:10" x14ac:dyDescent="0.3">
      <c r="A299" s="432" t="s">
        <v>1006</v>
      </c>
      <c r="B299">
        <v>0</v>
      </c>
      <c r="C299" s="113">
        <v>0</v>
      </c>
      <c r="D299">
        <v>0</v>
      </c>
      <c r="E299">
        <v>0</v>
      </c>
      <c r="H299" t="s">
        <v>1871</v>
      </c>
      <c r="I299" t="str">
        <f>egyszerűsített_kalkulátor!B49</f>
        <v>Sztár</v>
      </c>
      <c r="J299" t="str">
        <f>'komplex kalkulátor'!E23</f>
        <v>Sztár</v>
      </c>
    </row>
    <row r="300" spans="1:10" x14ac:dyDescent="0.3">
      <c r="A300" s="432" t="s">
        <v>1009</v>
      </c>
      <c r="B300">
        <v>0</v>
      </c>
      <c r="C300" s="113">
        <v>0</v>
      </c>
      <c r="D300">
        <v>0</v>
      </c>
      <c r="E300">
        <v>0</v>
      </c>
      <c r="H300" t="s">
        <v>1876</v>
      </c>
      <c r="I300" s="610" t="str">
        <f>egyszerűsített_kalkulátor!F28</f>
        <v/>
      </c>
      <c r="J300" t="str">
        <f>'komplex kalkulátor'!N295</f>
        <v/>
      </c>
    </row>
    <row r="301" spans="1:10" x14ac:dyDescent="0.3">
      <c r="A301" s="432" t="s">
        <v>1007</v>
      </c>
      <c r="B301">
        <v>0</v>
      </c>
      <c r="C301" s="113">
        <v>0</v>
      </c>
      <c r="D301">
        <v>0</v>
      </c>
      <c r="E301">
        <v>0</v>
      </c>
      <c r="H301" t="s">
        <v>1877</v>
      </c>
      <c r="I301" s="610">
        <f>egyszerűsített_kalkulátor!F26</f>
        <v>66802.287800476523</v>
      </c>
      <c r="J301">
        <f>'komplex kalkulátor'!E292</f>
        <v>66802.287800476523</v>
      </c>
    </row>
    <row r="302" spans="1:10" x14ac:dyDescent="0.3">
      <c r="A302" s="432" t="s">
        <v>1005</v>
      </c>
      <c r="B302">
        <v>0</v>
      </c>
      <c r="C302" s="434">
        <v>3.0000000000000001E-3</v>
      </c>
      <c r="D302">
        <v>0</v>
      </c>
      <c r="E302">
        <v>6000</v>
      </c>
      <c r="H302" t="s">
        <v>999</v>
      </c>
      <c r="I302">
        <f>VLOOKUP(I299,A290:E319,2,0)</f>
        <v>0</v>
      </c>
      <c r="J302">
        <f>VLOOKUP(J299,A290:E319,2,0)</f>
        <v>0</v>
      </c>
    </row>
    <row r="303" spans="1:10" x14ac:dyDescent="0.3">
      <c r="A303" s="432" t="s">
        <v>1011</v>
      </c>
      <c r="B303">
        <v>0</v>
      </c>
      <c r="C303" s="434">
        <v>3.0000000000000001E-3</v>
      </c>
      <c r="D303">
        <v>0</v>
      </c>
      <c r="E303">
        <v>6000</v>
      </c>
      <c r="H303" t="s">
        <v>1024</v>
      </c>
      <c r="I303" s="611">
        <f>VLOOKUP(I299,A290:E319,3,0)</f>
        <v>0</v>
      </c>
      <c r="J303">
        <f>VLOOKUP(J299,A290:E319,3,0)</f>
        <v>0</v>
      </c>
    </row>
    <row r="304" spans="1:10" x14ac:dyDescent="0.3">
      <c r="A304" s="432" t="s">
        <v>1012</v>
      </c>
      <c r="B304">
        <v>0</v>
      </c>
      <c r="C304" s="434">
        <v>3.0000000000000001E-3</v>
      </c>
      <c r="D304">
        <v>0</v>
      </c>
      <c r="E304">
        <v>6000</v>
      </c>
      <c r="H304" t="s">
        <v>1872</v>
      </c>
      <c r="I304">
        <f>VLOOKUP(I299,A290:E319,4,0)</f>
        <v>0</v>
      </c>
      <c r="J304">
        <f>VLOOKUP(J299,A290:E319,4,0)</f>
        <v>0</v>
      </c>
    </row>
    <row r="305" spans="1:10" x14ac:dyDescent="0.3">
      <c r="A305" s="433" t="s">
        <v>1016</v>
      </c>
      <c r="B305">
        <v>0</v>
      </c>
      <c r="C305" s="434">
        <v>0</v>
      </c>
      <c r="D305">
        <v>0</v>
      </c>
      <c r="E305">
        <v>0</v>
      </c>
      <c r="H305" t="s">
        <v>1873</v>
      </c>
      <c r="I305">
        <f>VLOOKUP(I299,A290:E319,5,0)</f>
        <v>6000</v>
      </c>
      <c r="J305">
        <f>VLOOKUP(J299,A290:E319,5,0)</f>
        <v>6000</v>
      </c>
    </row>
    <row r="306" spans="1:10" x14ac:dyDescent="0.3">
      <c r="A306" s="432" t="s">
        <v>1010</v>
      </c>
      <c r="B306">
        <v>0</v>
      </c>
      <c r="C306" s="434">
        <v>0</v>
      </c>
      <c r="D306">
        <v>0</v>
      </c>
      <c r="E306">
        <v>0</v>
      </c>
      <c r="H306" t="s">
        <v>1878</v>
      </c>
      <c r="I306" t="e">
        <f>IF(I300*I303&lt;I304,I304,IF(I300*I303&gt;I305,I305,I300*I303))</f>
        <v>#VALUE!</v>
      </c>
      <c r="J306" t="e">
        <f>IF(J300*J303&lt;J304,J304,IF(J300*J303&gt;J305,J305,J300*J303))</f>
        <v>#VALUE!</v>
      </c>
    </row>
    <row r="307" spans="1:10" x14ac:dyDescent="0.3">
      <c r="A307" s="433" t="s">
        <v>1017</v>
      </c>
      <c r="B307">
        <v>0</v>
      </c>
      <c r="C307" s="434">
        <v>0</v>
      </c>
      <c r="D307">
        <v>0</v>
      </c>
      <c r="E307">
        <v>0</v>
      </c>
      <c r="H307" t="s">
        <v>1879</v>
      </c>
      <c r="I307">
        <f>IF(I301*I303&lt;I304,I304,IF(I301*I303&gt;I305,I305,I301*I303))</f>
        <v>0</v>
      </c>
      <c r="J307">
        <f>IF(J301*J303&lt;J304,J304,IF(J301*J303&gt;J305,J305,J301*J303))</f>
        <v>0</v>
      </c>
    </row>
    <row r="308" spans="1:10" x14ac:dyDescent="0.3">
      <c r="A308" s="432" t="s">
        <v>1015</v>
      </c>
      <c r="B308">
        <v>0</v>
      </c>
      <c r="C308" s="434">
        <v>3.0000000000000001E-3</v>
      </c>
      <c r="D308">
        <v>0</v>
      </c>
      <c r="E308">
        <v>6000</v>
      </c>
    </row>
    <row r="309" spans="1:10" x14ac:dyDescent="0.3">
      <c r="A309" s="433" t="s">
        <v>1018</v>
      </c>
      <c r="B309">
        <v>0</v>
      </c>
      <c r="C309" s="434">
        <v>0</v>
      </c>
      <c r="D309">
        <v>0</v>
      </c>
      <c r="E309">
        <v>0</v>
      </c>
    </row>
    <row r="310" spans="1:10" x14ac:dyDescent="0.3">
      <c r="A310" s="433" t="s">
        <v>1019</v>
      </c>
      <c r="B310">
        <v>0</v>
      </c>
      <c r="C310" s="434">
        <v>0</v>
      </c>
      <c r="D310">
        <v>0</v>
      </c>
      <c r="E310">
        <v>0</v>
      </c>
    </row>
    <row r="311" spans="1:10" x14ac:dyDescent="0.3">
      <c r="A311" s="433" t="s">
        <v>1020</v>
      </c>
      <c r="B311">
        <v>0</v>
      </c>
      <c r="C311" s="434">
        <v>0</v>
      </c>
      <c r="D311">
        <v>0</v>
      </c>
      <c r="E311">
        <v>0</v>
      </c>
    </row>
    <row r="312" spans="1:10" x14ac:dyDescent="0.3">
      <c r="A312" s="433" t="s">
        <v>1021</v>
      </c>
      <c r="B312">
        <v>0</v>
      </c>
      <c r="C312" s="434">
        <v>0</v>
      </c>
      <c r="D312">
        <v>0</v>
      </c>
      <c r="E312">
        <v>0</v>
      </c>
    </row>
    <row r="313" spans="1:10" x14ac:dyDescent="0.3">
      <c r="A313" s="432" t="s">
        <v>1022</v>
      </c>
      <c r="B313">
        <v>0</v>
      </c>
      <c r="C313" s="434">
        <v>0</v>
      </c>
      <c r="D313">
        <v>0</v>
      </c>
      <c r="E313">
        <v>0</v>
      </c>
    </row>
    <row r="314" spans="1:10" x14ac:dyDescent="0.3">
      <c r="A314" s="432" t="s">
        <v>1513</v>
      </c>
      <c r="B314">
        <v>0</v>
      </c>
      <c r="C314" s="434">
        <v>3.0000000000000001E-3</v>
      </c>
      <c r="D314">
        <v>0</v>
      </c>
      <c r="E314">
        <v>6000</v>
      </c>
    </row>
    <row r="315" spans="1:10" x14ac:dyDescent="0.3">
      <c r="A315" s="432" t="s">
        <v>1519</v>
      </c>
      <c r="B315">
        <v>0</v>
      </c>
      <c r="C315" s="434">
        <v>3.0000000000000001E-3</v>
      </c>
      <c r="D315">
        <v>0</v>
      </c>
      <c r="E315">
        <v>6000</v>
      </c>
    </row>
    <row r="316" spans="1:10" x14ac:dyDescent="0.3">
      <c r="A316" s="432" t="s">
        <v>1013</v>
      </c>
      <c r="B316">
        <v>0</v>
      </c>
      <c r="C316" s="434">
        <v>3.0000000000000001E-3</v>
      </c>
      <c r="D316">
        <v>0</v>
      </c>
      <c r="E316">
        <v>0</v>
      </c>
    </row>
    <row r="317" spans="1:10" x14ac:dyDescent="0.3">
      <c r="A317" s="432" t="s">
        <v>1014</v>
      </c>
      <c r="B317">
        <v>0</v>
      </c>
      <c r="C317" s="434">
        <v>3.0000000000000001E-3</v>
      </c>
      <c r="D317">
        <v>75</v>
      </c>
      <c r="E317">
        <v>6000</v>
      </c>
    </row>
    <row r="318" spans="1:10" x14ac:dyDescent="0.3">
      <c r="A318" s="609" t="s">
        <v>1868</v>
      </c>
      <c r="B318">
        <v>890</v>
      </c>
      <c r="C318" s="113">
        <v>3.0000000000000001E-3</v>
      </c>
      <c r="D318">
        <v>0</v>
      </c>
      <c r="E318">
        <v>6000</v>
      </c>
    </row>
    <row r="319" spans="1:10" x14ac:dyDescent="0.3">
      <c r="A319" s="441" t="s">
        <v>1869</v>
      </c>
      <c r="B319">
        <v>3000</v>
      </c>
      <c r="C319" s="113">
        <v>4.0000000000000001E-3</v>
      </c>
      <c r="D319">
        <v>100</v>
      </c>
      <c r="E319">
        <v>10000</v>
      </c>
    </row>
    <row r="325" spans="1:3" x14ac:dyDescent="0.3">
      <c r="A325" s="441" t="s">
        <v>1091</v>
      </c>
      <c r="C325" s="432"/>
    </row>
    <row r="326" spans="1:3" x14ac:dyDescent="0.3">
      <c r="A326">
        <v>600000</v>
      </c>
      <c r="B326" t="s">
        <v>1092</v>
      </c>
      <c r="C326" s="125">
        <v>0.5</v>
      </c>
    </row>
    <row r="327" spans="1:3" x14ac:dyDescent="0.3">
      <c r="A327">
        <v>600000</v>
      </c>
      <c r="B327" t="s">
        <v>1093</v>
      </c>
      <c r="C327" s="125">
        <v>0.6</v>
      </c>
    </row>
    <row r="329" spans="1:3" x14ac:dyDescent="0.3">
      <c r="A329" t="s">
        <v>1096</v>
      </c>
    </row>
    <row r="330" spans="1:3" x14ac:dyDescent="0.3">
      <c r="A330" t="s">
        <v>896</v>
      </c>
    </row>
    <row r="331" spans="1:3" x14ac:dyDescent="0.3">
      <c r="A331" t="s">
        <v>1097</v>
      </c>
    </row>
    <row r="332" spans="1:3" x14ac:dyDescent="0.3">
      <c r="A332" s="157" t="s">
        <v>1338</v>
      </c>
    </row>
    <row r="335" spans="1:3" x14ac:dyDescent="0.3">
      <c r="A335" s="472"/>
      <c r="B335" s="473"/>
    </row>
    <row r="336" spans="1:3" x14ac:dyDescent="0.3">
      <c r="A336" s="472"/>
      <c r="B336" s="473"/>
    </row>
    <row r="337" spans="1:3" x14ac:dyDescent="0.3">
      <c r="A337" s="472" t="s">
        <v>1416</v>
      </c>
      <c r="B337" s="473">
        <f>+Hirdetmény!F40</f>
        <v>45199</v>
      </c>
      <c r="C337">
        <f>+B337-'Személyes tájék'!C7</f>
        <v>29</v>
      </c>
    </row>
    <row r="338" spans="1:3" x14ac:dyDescent="0.3">
      <c r="A338" t="s">
        <v>1339</v>
      </c>
      <c r="B338" s="473">
        <f>+Hirdetmény!E38</f>
        <v>45199</v>
      </c>
      <c r="C338">
        <f>+B338-'Személyes tájék'!C7</f>
        <v>29</v>
      </c>
    </row>
    <row r="339" spans="1:3" x14ac:dyDescent="0.3">
      <c r="A339" t="s">
        <v>1415</v>
      </c>
      <c r="C339">
        <v>15</v>
      </c>
    </row>
    <row r="340" spans="1:3" x14ac:dyDescent="0.3">
      <c r="A340" s="474" t="s">
        <v>1340</v>
      </c>
      <c r="B340" s="157"/>
      <c r="C340" s="157">
        <f>+MIN(C337:C339)</f>
        <v>15</v>
      </c>
    </row>
    <row r="342" spans="1:3" x14ac:dyDescent="0.3">
      <c r="A342" s="157" t="s">
        <v>1377</v>
      </c>
      <c r="B342" t="s">
        <v>1299</v>
      </c>
    </row>
    <row r="343" spans="1:3" x14ac:dyDescent="0.3">
      <c r="B343" t="s">
        <v>1378</v>
      </c>
    </row>
    <row r="344" spans="1:3" x14ac:dyDescent="0.3">
      <c r="B344" t="s">
        <v>1379</v>
      </c>
    </row>
    <row r="345" spans="1:3" x14ac:dyDescent="0.3">
      <c r="B345" t="s">
        <v>1380</v>
      </c>
    </row>
    <row r="346" spans="1:3" x14ac:dyDescent="0.3">
      <c r="A346" t="s">
        <v>1341</v>
      </c>
      <c r="B346" s="471">
        <v>6.4600000000000005E-2</v>
      </c>
    </row>
    <row r="347" spans="1:3" x14ac:dyDescent="0.3">
      <c r="B347" s="471"/>
    </row>
    <row r="348" spans="1:3" x14ac:dyDescent="0.3">
      <c r="B348" s="471"/>
    </row>
    <row r="354" spans="1:2" x14ac:dyDescent="0.3">
      <c r="A354" s="157" t="s">
        <v>1381</v>
      </c>
      <c r="B354" t="s">
        <v>1382</v>
      </c>
    </row>
    <row r="355" spans="1:2" x14ac:dyDescent="0.3">
      <c r="B355" t="s">
        <v>1383</v>
      </c>
    </row>
  </sheetData>
  <sheetProtection selectLockedCells="1"/>
  <mergeCells count="4">
    <mergeCell ref="A1:C1"/>
    <mergeCell ref="E35:F35"/>
    <mergeCell ref="A166:D167"/>
    <mergeCell ref="A168:D169"/>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0"/>
  <sheetViews>
    <sheetView topLeftCell="A21" zoomScale="70" zoomScaleNormal="70" workbookViewId="0">
      <selection activeCell="U37" sqref="U37"/>
    </sheetView>
  </sheetViews>
  <sheetFormatPr defaultRowHeight="14.4" x14ac:dyDescent="0.3"/>
  <cols>
    <col min="1" max="2" width="7.33203125" customWidth="1"/>
    <col min="3" max="3" width="9.33203125" customWidth="1"/>
    <col min="4" max="4" width="4" bestFit="1" customWidth="1"/>
    <col min="5" max="5" width="5" customWidth="1"/>
    <col min="6" max="6" width="15.33203125" bestFit="1" customWidth="1"/>
    <col min="7" max="7" width="13.6640625" bestFit="1" customWidth="1"/>
    <col min="8" max="8" width="16.33203125" bestFit="1" customWidth="1"/>
    <col min="9" max="9" width="4" bestFit="1" customWidth="1"/>
    <col min="10" max="10" width="24.6640625" customWidth="1"/>
    <col min="11" max="12" width="9" bestFit="1" customWidth="1"/>
    <col min="13" max="13" width="8.44140625" customWidth="1"/>
    <col min="14" max="14" width="16.6640625" customWidth="1"/>
    <col min="15" max="15" width="13.5546875" bestFit="1" customWidth="1"/>
    <col min="16" max="16" width="20.6640625" bestFit="1" customWidth="1"/>
    <col min="17" max="17" width="14.6640625" customWidth="1"/>
    <col min="18" max="18" width="1.6640625" customWidth="1"/>
    <col min="19" max="19" width="11.44140625" customWidth="1"/>
    <col min="20" max="20" width="11" bestFit="1" customWidth="1"/>
    <col min="21" max="21" width="16.44140625" bestFit="1" customWidth="1"/>
    <col min="23" max="23" width="2.33203125" customWidth="1"/>
    <col min="24" max="24" width="6.5546875" customWidth="1"/>
    <col min="25" max="25" width="11.5546875" bestFit="1" customWidth="1"/>
    <col min="27" max="27" width="13.6640625" customWidth="1"/>
    <col min="28" max="29" width="9.44140625" bestFit="1" customWidth="1"/>
    <col min="31" max="31" width="10.44140625" bestFit="1" customWidth="1"/>
    <col min="33" max="35" width="10.33203125" bestFit="1" customWidth="1"/>
    <col min="36" max="36" width="12.33203125" bestFit="1" customWidth="1"/>
  </cols>
  <sheetData>
    <row r="1" spans="1:36" ht="61.5" customHeight="1" x14ac:dyDescent="0.7">
      <c r="C1" s="422"/>
    </row>
    <row r="3" spans="1:36" x14ac:dyDescent="0.3">
      <c r="J3" s="442" t="s">
        <v>1098</v>
      </c>
    </row>
    <row r="4" spans="1:36" x14ac:dyDescent="0.3">
      <c r="A4" s="113">
        <v>2E-3</v>
      </c>
      <c r="J4" t="s">
        <v>340</v>
      </c>
      <c r="K4" t="s">
        <v>341</v>
      </c>
      <c r="L4" t="s">
        <v>342</v>
      </c>
      <c r="M4" t="s">
        <v>343</v>
      </c>
      <c r="N4" t="s">
        <v>344</v>
      </c>
      <c r="O4" t="s">
        <v>345</v>
      </c>
      <c r="P4" t="s">
        <v>346</v>
      </c>
      <c r="Q4" t="s">
        <v>347</v>
      </c>
      <c r="S4" t="s">
        <v>348</v>
      </c>
      <c r="T4" t="s">
        <v>349</v>
      </c>
      <c r="U4" t="s">
        <v>350</v>
      </c>
      <c r="Y4" s="147" t="s">
        <v>1094</v>
      </c>
      <c r="AA4" t="s">
        <v>1101</v>
      </c>
    </row>
    <row r="5" spans="1:36" x14ac:dyDescent="0.3">
      <c r="F5" t="s">
        <v>351</v>
      </c>
      <c r="H5" s="113">
        <f>aktualisbubor</f>
        <v>0</v>
      </c>
      <c r="J5" t="s">
        <v>81</v>
      </c>
      <c r="K5" t="str">
        <f>+AB19&amp;AB18&amp;AC19&amp;AC18</f>
        <v>M1L1</v>
      </c>
      <c r="L5" s="114">
        <f>+INDEX($F$13:$H$17,IF($AB$18=0,5,$AB$18),IF($AC$18=0,2,$AC$18))</f>
        <v>0.03</v>
      </c>
      <c r="M5" s="114">
        <f>+INDEX($J$13:$L$17,IF($AB$18=0,5,$AB$18),IF($AC$18=0,2,$AC$18))</f>
        <v>0.03</v>
      </c>
      <c r="N5" s="115">
        <f>IF(P5&gt;1,H8,INDEX($O$13:$Q$17,IF($AB$18=0,5,$AB$18),IF($AC$18=0,2,$AC$18)))</f>
        <v>66802.287800476508</v>
      </c>
      <c r="O5" s="115">
        <f>+INDEX($O$13:$Q$17,IF($AB$18=0,5,$AB$18),$AC$18)</f>
        <v>66802.287800476508</v>
      </c>
      <c r="P5" s="116">
        <f>+INDEX($T$13:$V$17,IF($AB$18=0,5,$AB$18),IF($AC$18=0,2,$AC$18))</f>
        <v>0.21569664984358172</v>
      </c>
      <c r="Q5" s="115">
        <f>IF(M5&lt;&gt;0%,+N5*(1-(1/POWER(1+M5/360*(365/12),$H$6)))/(M5/360*(365/12)),H6*N5)</f>
        <v>12000000.000000039</v>
      </c>
      <c r="S5" s="114">
        <f>+N5/H8</f>
        <v>0.21569664984358172</v>
      </c>
      <c r="T5" s="113">
        <f>+INDEX(J17:L17,1,IF($AC$18=0,2,$AC$18))</f>
        <v>0.03</v>
      </c>
      <c r="U5" s="115">
        <f>IF(T5&lt;&gt;0%,+H8*(1-(1/POWER(1+T5/360*(365/12),$H$6)))/(T5/360*(365/12)),H8*H6)</f>
        <v>55633687.443463601</v>
      </c>
      <c r="Y5" s="147">
        <f>+IF('komplex kalkulátor'!E6="Új hitel felvétele",IF(('komplex kalkulátor'!N108+'komplex kalkulátor'!N187)&lt;500000,jtm400alatt*('komplex kalkulátor'!N108+'komplex kalkulátor'!N187),jtm400felett*('komplex kalkulátor'!N108+'komplex kalkulátor'!N187))-('komplex kalkulátor'!H188+'komplex kalkulátor'!H109),tr!H8)</f>
        <v>312000</v>
      </c>
      <c r="AA5" s="147">
        <f>IF('komplex kalkulátor'!N292&lt;&gt;0%,+Y5*(1-(1/POWER(1+'komplex kalkulátor'!N292/360*(365/12),$H$6)))/('komplex kalkulátor'!N292/360*(365/12)),tr!Y5*tr!H6)</f>
        <v>56045984.700142346</v>
      </c>
    </row>
    <row r="6" spans="1:36" x14ac:dyDescent="0.3">
      <c r="F6" t="s">
        <v>352</v>
      </c>
      <c r="H6" s="115">
        <f>+'komplex kalkulátor'!K5</f>
        <v>240</v>
      </c>
      <c r="J6" t="s">
        <v>353</v>
      </c>
      <c r="K6" t="str">
        <f>+AB29&amp;AB28&amp;AC29&amp;AC28</f>
        <v>M1L1</v>
      </c>
      <c r="L6" s="114">
        <f>+INDEX($F$23:$H$27,IF($AB$28=0,5,$AB$28),IF($AC$18=0,2,$AC$18))</f>
        <v>0.03</v>
      </c>
      <c r="M6" s="114">
        <f>+INDEX($J$23:$L$27,IF($AB$28=0,5,$AB$28),IF($AC$18=0,2,$AC$18))</f>
        <v>0.03</v>
      </c>
      <c r="N6" s="115">
        <f>IF(P6&gt;1,H8,INDEX($O$23:$Q$27,IF($AB$28=0,5,$AB$28),IF($AC$18=0,2,$AC$18)))</f>
        <v>66802.287800476508</v>
      </c>
      <c r="O6" s="115">
        <f>+INDEX($O$23:$Q$27,IF($AB$28=0,5,$AB$28),$AC$28)</f>
        <v>66802.287800476508</v>
      </c>
      <c r="P6" s="116">
        <f>+INDEX($T$23:$V$27,IF($AB$28=0,5,$AB$28),IF($AC$18=0,2,$AC$18))</f>
        <v>0.21569664984358172</v>
      </c>
      <c r="Q6" s="115">
        <f>IF(M6&lt;&gt;0%,+N6*(1-(1/POWER(1+M6/360*(365/12),$H$6)))/(M6/360*(365/12)),N6*H6)</f>
        <v>12000000.000000039</v>
      </c>
      <c r="S6" s="114">
        <f>+N6/H8</f>
        <v>0.21569664984358172</v>
      </c>
      <c r="T6" s="113">
        <f>+INDEX(J27:L27,1,IF($AC$18=0,2,$AC$18))</f>
        <v>0.03</v>
      </c>
      <c r="U6" s="115">
        <f>IF(T6&lt;&gt;0%,+H8*(1-(1/POWER(1+T6/360*(365/12),$H$6)))/(T6/360*(365/12)),H6*H8)</f>
        <v>55633687.443463601</v>
      </c>
      <c r="AA6" s="147"/>
    </row>
    <row r="7" spans="1:36" x14ac:dyDescent="0.3">
      <c r="F7" t="s">
        <v>354</v>
      </c>
      <c r="H7" s="115">
        <f>'komplex kalkulátor'!N18</f>
        <v>12000000</v>
      </c>
      <c r="AF7" t="s">
        <v>355</v>
      </c>
    </row>
    <row r="8" spans="1:36" x14ac:dyDescent="0.3">
      <c r="F8" t="s">
        <v>356</v>
      </c>
      <c r="H8" s="115">
        <f>+'komplex kalkulátor'!E275</f>
        <v>309704.8</v>
      </c>
      <c r="T8" s="468">
        <v>0</v>
      </c>
      <c r="U8" s="468">
        <v>0.6</v>
      </c>
      <c r="V8" s="117"/>
      <c r="AG8" t="s">
        <v>44</v>
      </c>
      <c r="AH8" t="s">
        <v>41</v>
      </c>
      <c r="AI8" t="s">
        <v>42</v>
      </c>
    </row>
    <row r="9" spans="1:36" x14ac:dyDescent="0.3">
      <c r="F9" t="s">
        <v>357</v>
      </c>
      <c r="H9" s="118">
        <f>+'komplex kalkulátor'!E280</f>
        <v>0.4</v>
      </c>
      <c r="T9" s="469">
        <v>0.6</v>
      </c>
      <c r="U9" s="469">
        <f>+IF('komplex kalkulátor'!E6="Hitelkiváltás",750%,80%)</f>
        <v>0.8</v>
      </c>
      <c r="V9" s="117"/>
      <c r="Y9" t="b">
        <v>1</v>
      </c>
      <c r="Z9" t="b">
        <v>1</v>
      </c>
      <c r="AA9" t="b">
        <v>1</v>
      </c>
      <c r="AE9" t="s">
        <v>94</v>
      </c>
      <c r="AF9" t="s">
        <v>40</v>
      </c>
      <c r="AG9" s="113">
        <f>IF('komplex kalkulátor'!$E$4="Lakáscélú hitel",tr!F13,tr!F23)</f>
        <v>0.03</v>
      </c>
      <c r="AH9" s="113">
        <f>IF('komplex kalkulátor'!$E$4="Lakáscélú hitel",tr!G13,tr!G23)</f>
        <v>0.03</v>
      </c>
      <c r="AI9" s="113">
        <f>IF('komplex kalkulátor'!$E$4="Lakáscélú hitel",tr!H13,tr!H23)</f>
        <v>0</v>
      </c>
    </row>
    <row r="10" spans="1:36" ht="15" thickBot="1" x14ac:dyDescent="0.35">
      <c r="D10" t="s">
        <v>342</v>
      </c>
      <c r="I10" t="s">
        <v>343</v>
      </c>
      <c r="N10" t="s">
        <v>358</v>
      </c>
      <c r="S10" t="s">
        <v>359</v>
      </c>
      <c r="T10" s="119">
        <v>1</v>
      </c>
      <c r="U10" s="119">
        <v>2</v>
      </c>
      <c r="V10" s="119">
        <v>3</v>
      </c>
      <c r="AE10" t="s">
        <v>343</v>
      </c>
      <c r="AF10" t="s">
        <v>40</v>
      </c>
      <c r="AG10" s="113">
        <f>IF('komplex kalkulátor'!$E$4="Lakáscélú hitel",J13,J23)</f>
        <v>0.03</v>
      </c>
      <c r="AH10" s="113">
        <f>IF('komplex kalkulátor'!$E$4="Lakáscélú hitel",K13,K23)</f>
        <v>0.03</v>
      </c>
      <c r="AI10" s="113">
        <f>IF('komplex kalkulátor'!$E$4="Lakáscélú hitel",L13,L23)</f>
        <v>0</v>
      </c>
    </row>
    <row r="11" spans="1:36" ht="16.2" thickBot="1" x14ac:dyDescent="0.35">
      <c r="D11" s="120"/>
      <c r="E11" s="120"/>
      <c r="F11" s="466" t="s">
        <v>1239</v>
      </c>
      <c r="G11" s="466" t="s">
        <v>1240</v>
      </c>
      <c r="H11" s="121"/>
      <c r="I11" s="120"/>
      <c r="J11" s="466" t="s">
        <v>1239</v>
      </c>
      <c r="K11" s="466" t="s">
        <v>1240</v>
      </c>
      <c r="L11" s="121"/>
      <c r="N11" s="120"/>
      <c r="O11" s="466" t="s">
        <v>1239</v>
      </c>
      <c r="P11" s="466" t="s">
        <v>1240</v>
      </c>
      <c r="Q11" s="121"/>
      <c r="S11" s="120"/>
      <c r="T11" s="466" t="s">
        <v>1239</v>
      </c>
      <c r="U11" s="466" t="s">
        <v>1240</v>
      </c>
      <c r="V11" s="121"/>
      <c r="Y11" s="120"/>
      <c r="Z11" s="120"/>
      <c r="AA11" s="121"/>
      <c r="AB11" s="121"/>
      <c r="AC11" s="121"/>
      <c r="AE11" t="s">
        <v>358</v>
      </c>
      <c r="AF11" t="s">
        <v>40</v>
      </c>
      <c r="AG11" s="122">
        <f>IF('komplex kalkulátor'!$E$4="Lakáscélú hitel",O13,O23)</f>
        <v>66802.287800476508</v>
      </c>
      <c r="AH11" s="122">
        <f>IF('komplex kalkulátor'!$E$4="Lakáscélú hitel",P13,P23)</f>
        <v>66802.287800476508</v>
      </c>
      <c r="AI11" s="122">
        <f>IF('komplex kalkulátor'!$E$4="Lakáscélú hitel",Q13,Q23)</f>
        <v>0</v>
      </c>
    </row>
    <row r="12" spans="1:36" ht="16.8" thickTop="1" thickBot="1" x14ac:dyDescent="0.35">
      <c r="D12" s="123"/>
      <c r="E12" s="123"/>
      <c r="F12" s="124" t="s">
        <v>44</v>
      </c>
      <c r="G12" s="124" t="s">
        <v>41</v>
      </c>
      <c r="H12" s="124" t="s">
        <v>42</v>
      </c>
      <c r="I12" s="123"/>
      <c r="J12" s="124" t="s">
        <v>44</v>
      </c>
      <c r="K12" s="124" t="s">
        <v>41</v>
      </c>
      <c r="L12" s="124" t="s">
        <v>42</v>
      </c>
      <c r="N12" s="123"/>
      <c r="O12" s="124"/>
      <c r="P12" s="124"/>
      <c r="Q12" s="124"/>
      <c r="S12" s="123"/>
      <c r="T12" s="124"/>
      <c r="U12" s="124"/>
      <c r="V12" s="124"/>
      <c r="Y12" s="123" t="s">
        <v>44</v>
      </c>
      <c r="Z12" s="123" t="s">
        <v>41</v>
      </c>
      <c r="AA12" s="124" t="s">
        <v>42</v>
      </c>
      <c r="AB12" s="124"/>
      <c r="AC12" s="124"/>
      <c r="AE12" s="125"/>
      <c r="AG12" t="str">
        <f>CONCATENATE($AF$9,AG8)</f>
        <v>M1L1</v>
      </c>
      <c r="AH12" t="str">
        <f>CONCATENATE($AF$9,AH8)</f>
        <v>M1L2</v>
      </c>
      <c r="AI12" t="str">
        <f>CONCATENATE($AF$9,AI8)</f>
        <v>M1L3</v>
      </c>
    </row>
    <row r="13" spans="1:36" ht="16.8" thickTop="1" thickBot="1" x14ac:dyDescent="0.35">
      <c r="A13" s="125">
        <v>0</v>
      </c>
      <c r="B13" s="125">
        <f>+A14</f>
        <v>0.3</v>
      </c>
      <c r="C13" s="114">
        <f>+A14-0.01%</f>
        <v>0.2999</v>
      </c>
      <c r="D13" s="126" t="s">
        <v>40</v>
      </c>
      <c r="E13" s="126" t="s">
        <v>40</v>
      </c>
      <c r="F13" s="128">
        <f>'komplex kalkulátor'!$N$292</f>
        <v>0.03</v>
      </c>
      <c r="G13" s="128">
        <f>'komplex kalkulátor'!$N$292</f>
        <v>0.03</v>
      </c>
      <c r="H13" s="128"/>
      <c r="J13" s="127">
        <f>F13</f>
        <v>0.03</v>
      </c>
      <c r="K13" s="127">
        <f>G13</f>
        <v>0.03</v>
      </c>
      <c r="L13" s="127"/>
      <c r="N13" s="126" t="s">
        <v>361</v>
      </c>
      <c r="O13" s="129">
        <f>+PMT(J13/360*(365/12),$H$6,$H$7)*-1</f>
        <v>66802.287800476508</v>
      </c>
      <c r="P13" s="129">
        <f t="shared" ref="O13:P17" si="0">+PMT(K13/360*(365/12),$H$6,$H$7)*-1</f>
        <v>66802.287800476508</v>
      </c>
      <c r="Q13" s="129"/>
      <c r="S13" s="126" t="s">
        <v>361</v>
      </c>
      <c r="T13" s="130">
        <f>+O13/$H$8</f>
        <v>0.21569664984358172</v>
      </c>
      <c r="U13" s="130">
        <f t="shared" ref="T13:U17" si="1">+P13/$H$8</f>
        <v>0.21569664984358172</v>
      </c>
      <c r="V13" s="130"/>
      <c r="X13" s="126" t="s">
        <v>361</v>
      </c>
      <c r="Y13" s="126" t="b">
        <f>+AND(T13&gt;$A13,T13&lt;=$B13,$H$9&gt;T$8,$H$9&lt;=T$9)</f>
        <v>1</v>
      </c>
      <c r="Z13" s="126" t="b">
        <f>+AND(U13&gt;$A13,U13&lt;=$B13,$H$9&gt;U$8,$H$9&lt;=U$9)</f>
        <v>0</v>
      </c>
      <c r="AA13" s="130"/>
      <c r="AB13" s="130"/>
      <c r="AC13" s="131"/>
      <c r="AE13" s="125"/>
      <c r="AG13">
        <f>IF(AND(LEN('komplex kalkulátor'!E283)&gt;0,'komplex kalkulátor'!E283=tr!AG12),1,0)</f>
        <v>0</v>
      </c>
      <c r="AH13">
        <f>IF(AND(LEN('komplex kalkulátor'!$E$283)&gt;0,'komplex kalkulátor'!$E$283=tr!AH12),1,0)</f>
        <v>0</v>
      </c>
      <c r="AI13">
        <f>IF(AND(LEN('komplex kalkulátor'!$E$283)&gt;0,'komplex kalkulátor'!$E$283=tr!AI12),1,0)</f>
        <v>0</v>
      </c>
    </row>
    <row r="14" spans="1:36" ht="16.8" thickTop="1" thickBot="1" x14ac:dyDescent="0.35">
      <c r="A14" s="125">
        <v>0.3</v>
      </c>
      <c r="B14" s="125">
        <f>+A15</f>
        <v>0.4</v>
      </c>
      <c r="C14" s="114">
        <f>+A15-0.01%</f>
        <v>0.39990000000000003</v>
      </c>
      <c r="D14" s="132" t="s">
        <v>43</v>
      </c>
      <c r="E14" s="132" t="s">
        <v>43</v>
      </c>
      <c r="F14" s="128">
        <f>'komplex kalkulátor'!$N$292</f>
        <v>0.03</v>
      </c>
      <c r="G14" s="128">
        <f>'komplex kalkulátor'!$N$292</f>
        <v>0.03</v>
      </c>
      <c r="H14" s="128"/>
      <c r="J14" s="127">
        <f t="shared" ref="J14:K17" si="2">F14</f>
        <v>0.03</v>
      </c>
      <c r="K14" s="127">
        <f t="shared" si="2"/>
        <v>0.03</v>
      </c>
      <c r="L14" s="133"/>
      <c r="N14" s="132" t="s">
        <v>362</v>
      </c>
      <c r="O14" s="129">
        <f t="shared" si="0"/>
        <v>66802.287800476508</v>
      </c>
      <c r="P14" s="129">
        <f t="shared" si="0"/>
        <v>66802.287800476508</v>
      </c>
      <c r="Q14" s="129"/>
      <c r="S14" s="132" t="s">
        <v>362</v>
      </c>
      <c r="T14" s="134">
        <f t="shared" si="1"/>
        <v>0.21569664984358172</v>
      </c>
      <c r="U14" s="134">
        <f t="shared" si="1"/>
        <v>0.21569664984358172</v>
      </c>
      <c r="V14" s="134"/>
      <c r="X14" s="132" t="s">
        <v>362</v>
      </c>
      <c r="Y14" s="132" t="b">
        <f>+AND(T14&gt;$A14,T14&lt;=$B14,$H$9&gt;T$8,$H$9&lt;=T$9)</f>
        <v>0</v>
      </c>
      <c r="Z14" s="132" t="b">
        <f t="shared" ref="Y14:Z17" si="3">+AND(U14&gt;$A14,U14&lt;=$B14,$H$9&gt;U$8,$H$9&lt;=U$9)</f>
        <v>0</v>
      </c>
      <c r="AA14" s="134"/>
      <c r="AB14" s="134"/>
      <c r="AC14" s="131"/>
      <c r="AE14" s="125" t="s">
        <v>94</v>
      </c>
      <c r="AG14" s="113">
        <f>AG9*AG13</f>
        <v>0</v>
      </c>
      <c r="AH14" s="113">
        <f>AH9*AH13</f>
        <v>0</v>
      </c>
      <c r="AI14" s="113">
        <f>AI9*AI13</f>
        <v>0</v>
      </c>
      <c r="AJ14" s="113">
        <f>MAX(AG14:AI14)</f>
        <v>0</v>
      </c>
    </row>
    <row r="15" spans="1:36" ht="16.8" thickTop="1" thickBot="1" x14ac:dyDescent="0.35">
      <c r="A15" s="125">
        <v>0.4</v>
      </c>
      <c r="B15" s="125">
        <f>+A16</f>
        <v>0.6</v>
      </c>
      <c r="C15" s="114">
        <f>+A16-0.01%</f>
        <v>0.59989999999999999</v>
      </c>
      <c r="D15" s="135" t="s">
        <v>45</v>
      </c>
      <c r="E15" s="135" t="s">
        <v>45</v>
      </c>
      <c r="F15" s="128">
        <f>'komplex kalkulátor'!$N$292</f>
        <v>0.03</v>
      </c>
      <c r="G15" s="128">
        <f>'komplex kalkulátor'!$N$292</f>
        <v>0.03</v>
      </c>
      <c r="H15" s="128"/>
      <c r="J15" s="127">
        <f t="shared" si="2"/>
        <v>0.03</v>
      </c>
      <c r="K15" s="127">
        <f t="shared" si="2"/>
        <v>0.03</v>
      </c>
      <c r="L15" s="136"/>
      <c r="N15" s="135" t="s">
        <v>363</v>
      </c>
      <c r="O15" s="129">
        <f t="shared" si="0"/>
        <v>66802.287800476508</v>
      </c>
      <c r="P15" s="129">
        <f t="shared" si="0"/>
        <v>66802.287800476508</v>
      </c>
      <c r="Q15" s="129"/>
      <c r="S15" s="135" t="s">
        <v>363</v>
      </c>
      <c r="T15" s="137">
        <f t="shared" si="1"/>
        <v>0.21569664984358172</v>
      </c>
      <c r="U15" s="137">
        <f t="shared" si="1"/>
        <v>0.21569664984358172</v>
      </c>
      <c r="V15" s="137"/>
      <c r="X15" s="135" t="s">
        <v>363</v>
      </c>
      <c r="Y15" s="135" t="b">
        <f t="shared" si="3"/>
        <v>0</v>
      </c>
      <c r="Z15" s="135" t="b">
        <f t="shared" si="3"/>
        <v>0</v>
      </c>
      <c r="AA15" s="137"/>
      <c r="AB15" s="137"/>
      <c r="AC15" s="131"/>
      <c r="AE15" s="125" t="s">
        <v>343</v>
      </c>
      <c r="AG15" s="113">
        <f>AG13*AG10</f>
        <v>0</v>
      </c>
      <c r="AH15" s="113">
        <f>AH13*AH10</f>
        <v>0</v>
      </c>
      <c r="AI15" s="113">
        <f>AI13*AI10</f>
        <v>0</v>
      </c>
      <c r="AJ15" s="113">
        <f>MAX(AG15:AI15)</f>
        <v>0</v>
      </c>
    </row>
    <row r="16" spans="1:36" ht="16.8" thickTop="1" thickBot="1" x14ac:dyDescent="0.35">
      <c r="A16" s="125">
        <v>0.6</v>
      </c>
      <c r="B16" s="125">
        <f>+A17</f>
        <v>0.8</v>
      </c>
      <c r="C16" s="114">
        <f>+A17-0.01%</f>
        <v>0.79990000000000006</v>
      </c>
      <c r="D16" s="132" t="s">
        <v>46</v>
      </c>
      <c r="E16" s="132" t="s">
        <v>46</v>
      </c>
      <c r="F16" s="128">
        <f>'komplex kalkulátor'!$N$292</f>
        <v>0.03</v>
      </c>
      <c r="G16" s="128">
        <f>'komplex kalkulátor'!$N$292</f>
        <v>0.03</v>
      </c>
      <c r="H16" s="128"/>
      <c r="J16" s="127">
        <f t="shared" si="2"/>
        <v>0.03</v>
      </c>
      <c r="K16" s="127">
        <f t="shared" si="2"/>
        <v>0.03</v>
      </c>
      <c r="L16" s="133"/>
      <c r="N16" s="132" t="s">
        <v>364</v>
      </c>
      <c r="O16" s="129">
        <f t="shared" si="0"/>
        <v>66802.287800476508</v>
      </c>
      <c r="P16" s="129">
        <f t="shared" si="0"/>
        <v>66802.287800476508</v>
      </c>
      <c r="Q16" s="129"/>
      <c r="S16" s="132" t="s">
        <v>364</v>
      </c>
      <c r="T16" s="134">
        <f t="shared" si="1"/>
        <v>0.21569664984358172</v>
      </c>
      <c r="U16" s="134">
        <f t="shared" si="1"/>
        <v>0.21569664984358172</v>
      </c>
      <c r="V16" s="134"/>
      <c r="X16" s="132" t="s">
        <v>364</v>
      </c>
      <c r="Y16" s="132" t="b">
        <f t="shared" si="3"/>
        <v>0</v>
      </c>
      <c r="Z16" s="132" t="b">
        <f t="shared" si="3"/>
        <v>0</v>
      </c>
      <c r="AA16" s="134"/>
      <c r="AB16" s="134"/>
      <c r="AC16" s="131"/>
      <c r="AE16" s="125" t="s">
        <v>358</v>
      </c>
      <c r="AG16" s="138">
        <f>AG11*AG13</f>
        <v>0</v>
      </c>
      <c r="AH16" s="138">
        <f>AH11*AH13</f>
        <v>0</v>
      </c>
      <c r="AI16" s="138">
        <f>AI11*AI13</f>
        <v>0</v>
      </c>
      <c r="AJ16" s="138">
        <f>MAX(AG16:AI16)</f>
        <v>0</v>
      </c>
    </row>
    <row r="17" spans="1:29" ht="16.8" thickTop="1" thickBot="1" x14ac:dyDescent="0.35">
      <c r="A17" s="125">
        <v>0.8</v>
      </c>
      <c r="B17" s="125">
        <f>+A19</f>
        <v>1</v>
      </c>
      <c r="C17" s="114">
        <f>+A19</f>
        <v>1</v>
      </c>
      <c r="D17" s="135" t="s">
        <v>47</v>
      </c>
      <c r="E17" s="135" t="s">
        <v>47</v>
      </c>
      <c r="F17" s="128">
        <f>'komplex kalkulátor'!$N$292</f>
        <v>0.03</v>
      </c>
      <c r="G17" s="128">
        <f>'komplex kalkulátor'!$N$292</f>
        <v>0.03</v>
      </c>
      <c r="H17" s="128"/>
      <c r="J17" s="127">
        <f t="shared" si="2"/>
        <v>0.03</v>
      </c>
      <c r="K17" s="127">
        <f t="shared" si="2"/>
        <v>0.03</v>
      </c>
      <c r="L17" s="136"/>
      <c r="N17" s="135" t="s">
        <v>365</v>
      </c>
      <c r="O17" s="129">
        <f t="shared" si="0"/>
        <v>66802.287800476508</v>
      </c>
      <c r="P17" s="129">
        <f t="shared" si="0"/>
        <v>66802.287800476508</v>
      </c>
      <c r="Q17" s="129"/>
      <c r="S17" s="135" t="s">
        <v>365</v>
      </c>
      <c r="T17" s="137">
        <f t="shared" si="1"/>
        <v>0.21569664984358172</v>
      </c>
      <c r="U17" s="137">
        <f t="shared" si="1"/>
        <v>0.21569664984358172</v>
      </c>
      <c r="V17" s="137"/>
      <c r="X17" s="135" t="s">
        <v>365</v>
      </c>
      <c r="Y17" s="135" t="b">
        <f t="shared" si="3"/>
        <v>0</v>
      </c>
      <c r="Z17" s="135" t="b">
        <f t="shared" si="3"/>
        <v>0</v>
      </c>
      <c r="AA17" s="137"/>
      <c r="AB17" s="137"/>
      <c r="AC17" s="131"/>
    </row>
    <row r="18" spans="1:29" ht="16.2" thickBot="1" x14ac:dyDescent="0.35">
      <c r="A18" s="125"/>
      <c r="B18" s="125"/>
      <c r="C18" s="114"/>
      <c r="D18" s="131"/>
      <c r="E18" s="131"/>
      <c r="F18" s="139"/>
      <c r="G18" s="139"/>
      <c r="H18" s="140"/>
      <c r="J18" s="141"/>
      <c r="K18" s="141"/>
      <c r="L18" s="141"/>
      <c r="N18" s="131"/>
      <c r="O18" s="142"/>
      <c r="P18" s="142"/>
      <c r="Q18" s="142"/>
      <c r="S18" s="131"/>
      <c r="T18" s="468">
        <v>0</v>
      </c>
      <c r="U18" s="468">
        <v>0.6</v>
      </c>
      <c r="V18" s="117"/>
      <c r="X18" s="143"/>
      <c r="Y18" s="131">
        <f>IF(ISNA(MATCH(Y$9,Y13:Y17,0))=TRUE,0,MATCH(Y$9,Y13:Y17,0))</f>
        <v>1</v>
      </c>
      <c r="Z18" s="131">
        <f>IF(ISNA(MATCH(Z$9,Z13:Z17,0))=TRUE,0,MATCH(Z$9,Z13:Z17,0))</f>
        <v>0</v>
      </c>
      <c r="AA18" s="131"/>
      <c r="AB18" s="144">
        <f>SUM(Y18:AA18)</f>
        <v>1</v>
      </c>
      <c r="AC18" s="145">
        <f>IF($H$9&lt;=T9,1,IF($H$9&lt;=U9,2,0))</f>
        <v>1</v>
      </c>
    </row>
    <row r="19" spans="1:29" ht="16.2" thickBot="1" x14ac:dyDescent="0.35">
      <c r="A19" s="125">
        <v>1</v>
      </c>
      <c r="B19" s="125"/>
      <c r="D19" s="131"/>
      <c r="E19" s="131"/>
      <c r="F19" s="141"/>
      <c r="G19" s="141"/>
      <c r="H19" s="141"/>
      <c r="I19" s="131"/>
      <c r="J19" s="141"/>
      <c r="K19" s="141"/>
      <c r="L19" s="141"/>
      <c r="N19" s="131"/>
      <c r="O19" s="141"/>
      <c r="P19" s="141"/>
      <c r="Q19" s="141"/>
      <c r="S19" s="131"/>
      <c r="T19" s="469">
        <v>0.6</v>
      </c>
      <c r="U19" s="469">
        <f>+IF('komplex kalkulátor'!E6="Hitelkiváltás",600%,75%)</f>
        <v>0.75</v>
      </c>
      <c r="V19" s="117"/>
      <c r="AB19" t="s">
        <v>366</v>
      </c>
      <c r="AC19" t="s">
        <v>367</v>
      </c>
    </row>
    <row r="20" spans="1:29" ht="16.2" thickBot="1" x14ac:dyDescent="0.35">
      <c r="D20" s="131"/>
      <c r="E20" s="131"/>
      <c r="F20" s="141"/>
      <c r="G20" s="141"/>
      <c r="H20" s="141"/>
      <c r="I20" s="131"/>
      <c r="J20" s="141"/>
      <c r="K20" s="141"/>
      <c r="L20" s="141"/>
      <c r="N20" s="131"/>
      <c r="O20" s="141"/>
      <c r="P20" s="141"/>
      <c r="Q20" s="141"/>
      <c r="S20" s="131"/>
      <c r="T20" s="119">
        <v>1</v>
      </c>
      <c r="U20" s="119">
        <v>2</v>
      </c>
      <c r="V20" s="119">
        <v>3</v>
      </c>
      <c r="Y20" s="131"/>
      <c r="Z20" s="131"/>
      <c r="AA20" s="141"/>
      <c r="AB20" s="141"/>
      <c r="AC20" s="141"/>
    </row>
    <row r="21" spans="1:29" ht="16.2" thickBot="1" x14ac:dyDescent="0.35">
      <c r="D21" s="120"/>
      <c r="E21" s="120"/>
      <c r="F21" s="466" t="s">
        <v>1239</v>
      </c>
      <c r="G21" s="466" t="s">
        <v>1240</v>
      </c>
      <c r="H21" s="467" t="s">
        <v>1240</v>
      </c>
      <c r="I21" s="120"/>
      <c r="J21" s="466" t="s">
        <v>1239</v>
      </c>
      <c r="K21" s="466" t="s">
        <v>1240</v>
      </c>
      <c r="L21" s="120"/>
      <c r="N21" s="120"/>
      <c r="O21" s="466" t="s">
        <v>1239</v>
      </c>
      <c r="P21" s="466" t="s">
        <v>1240</v>
      </c>
      <c r="Q21" s="121"/>
      <c r="S21" s="120"/>
      <c r="T21" s="466" t="s">
        <v>1239</v>
      </c>
      <c r="U21" s="466" t="s">
        <v>1240</v>
      </c>
      <c r="V21" s="121"/>
      <c r="Y21" s="120"/>
      <c r="Z21" s="120"/>
      <c r="AA21" s="120"/>
      <c r="AB21" s="120"/>
      <c r="AC21" s="120"/>
    </row>
    <row r="22" spans="1:29" ht="16.8" thickTop="1" thickBot="1" x14ac:dyDescent="0.35">
      <c r="D22" s="123"/>
      <c r="E22" s="123"/>
      <c r="F22" s="124" t="s">
        <v>44</v>
      </c>
      <c r="G22" s="124" t="s">
        <v>41</v>
      </c>
      <c r="H22" s="124" t="s">
        <v>42</v>
      </c>
      <c r="I22" s="123"/>
      <c r="J22" s="124" t="s">
        <v>44</v>
      </c>
      <c r="K22" s="124" t="s">
        <v>41</v>
      </c>
      <c r="L22" s="124" t="s">
        <v>42</v>
      </c>
      <c r="N22" s="123"/>
      <c r="O22" s="123"/>
      <c r="P22" s="123"/>
      <c r="Q22" s="123"/>
      <c r="S22" s="123"/>
      <c r="T22" s="123"/>
      <c r="U22" s="123"/>
      <c r="V22" s="123"/>
      <c r="Y22" s="123" t="s">
        <v>44</v>
      </c>
      <c r="Z22" s="123" t="s">
        <v>41</v>
      </c>
      <c r="AA22" s="124" t="s">
        <v>42</v>
      </c>
      <c r="AB22" s="123"/>
      <c r="AC22" s="123"/>
    </row>
    <row r="23" spans="1:29" ht="16.8" thickTop="1" thickBot="1" x14ac:dyDescent="0.35">
      <c r="A23" s="125">
        <f t="shared" ref="A23:B27" si="4">+A13</f>
        <v>0</v>
      </c>
      <c r="B23" s="125">
        <f t="shared" si="4"/>
        <v>0.3</v>
      </c>
      <c r="C23" s="114">
        <f>+A24-0.01%</f>
        <v>0.2999</v>
      </c>
      <c r="D23" s="126" t="s">
        <v>361</v>
      </c>
      <c r="E23" s="126" t="s">
        <v>361</v>
      </c>
      <c r="F23" s="128">
        <f t="shared" ref="F23:G27" si="5">+F13+szabfelár</f>
        <v>0.03</v>
      </c>
      <c r="G23" s="128">
        <f t="shared" si="5"/>
        <v>0.03</v>
      </c>
      <c r="H23" s="128"/>
      <c r="J23" s="128">
        <f>+F23+$H$5</f>
        <v>0.03</v>
      </c>
      <c r="K23" s="128">
        <f t="shared" ref="J23:K27" si="6">+G23+$H$5</f>
        <v>0.03</v>
      </c>
      <c r="L23" s="128"/>
      <c r="N23" s="126" t="s">
        <v>361</v>
      </c>
      <c r="O23" s="129">
        <f t="shared" ref="O23:P27" si="7">+PMT(J23/360*(365/12),$H$6,$H$7)*-1</f>
        <v>66802.287800476508</v>
      </c>
      <c r="P23" s="129">
        <f t="shared" si="7"/>
        <v>66802.287800476508</v>
      </c>
      <c r="Q23" s="129"/>
      <c r="S23" s="126" t="s">
        <v>361</v>
      </c>
      <c r="T23" s="146">
        <f t="shared" ref="T23:U27" si="8">+O23/$H$8</f>
        <v>0.21569664984358172</v>
      </c>
      <c r="U23" s="146">
        <f t="shared" si="8"/>
        <v>0.21569664984358172</v>
      </c>
      <c r="V23" s="146"/>
      <c r="X23" s="126" t="s">
        <v>361</v>
      </c>
      <c r="Y23" s="126" t="b">
        <f t="shared" ref="Y23:Z27" si="9">+AND(T23&gt;$A23,T23&lt;=$B23,$H$9&gt;T$18,$H$9&lt;=T$19)</f>
        <v>1</v>
      </c>
      <c r="Z23" s="126" t="b">
        <f t="shared" si="9"/>
        <v>0</v>
      </c>
      <c r="AA23" s="130"/>
      <c r="AB23" s="146"/>
      <c r="AC23" s="131">
        <f>IF(ISNA(MATCH(Y$9,Y23:Z23,0))=TRUE,0,MATCH(Y$9,Y23:Z23,0))</f>
        <v>1</v>
      </c>
    </row>
    <row r="24" spans="1:29" ht="16.8" thickTop="1" thickBot="1" x14ac:dyDescent="0.35">
      <c r="A24" s="125">
        <f>+A14</f>
        <v>0.3</v>
      </c>
      <c r="B24" s="125">
        <f t="shared" si="4"/>
        <v>0.4</v>
      </c>
      <c r="C24" s="114">
        <f>+A25-0.01%</f>
        <v>0.39990000000000003</v>
      </c>
      <c r="D24" s="132" t="s">
        <v>362</v>
      </c>
      <c r="E24" s="132" t="s">
        <v>362</v>
      </c>
      <c r="F24" s="128">
        <f t="shared" si="5"/>
        <v>0.03</v>
      </c>
      <c r="G24" s="128">
        <f t="shared" si="5"/>
        <v>0.03</v>
      </c>
      <c r="H24" s="128"/>
      <c r="J24" s="128">
        <f t="shared" si="6"/>
        <v>0.03</v>
      </c>
      <c r="K24" s="128">
        <f t="shared" si="6"/>
        <v>0.03</v>
      </c>
      <c r="L24" s="128"/>
      <c r="N24" s="132" t="s">
        <v>362</v>
      </c>
      <c r="O24" s="129">
        <f t="shared" si="7"/>
        <v>66802.287800476508</v>
      </c>
      <c r="P24" s="129">
        <f t="shared" si="7"/>
        <v>66802.287800476508</v>
      </c>
      <c r="Q24" s="129"/>
      <c r="S24" s="132" t="s">
        <v>362</v>
      </c>
      <c r="T24" s="146">
        <f t="shared" si="8"/>
        <v>0.21569664984358172</v>
      </c>
      <c r="U24" s="146">
        <f t="shared" si="8"/>
        <v>0.21569664984358172</v>
      </c>
      <c r="V24" s="146"/>
      <c r="X24" s="132" t="s">
        <v>362</v>
      </c>
      <c r="Y24" s="132" t="b">
        <f t="shared" si="9"/>
        <v>0</v>
      </c>
      <c r="Z24" s="132" t="b">
        <f t="shared" si="9"/>
        <v>0</v>
      </c>
      <c r="AA24" s="134"/>
      <c r="AB24" s="146"/>
      <c r="AC24" s="131">
        <f>IF(ISNA(MATCH(Y$9,Y24:Z24,0))=TRUE,0,MATCH(Y$9,Y24:Z24,0))</f>
        <v>0</v>
      </c>
    </row>
    <row r="25" spans="1:29" ht="16.8" thickTop="1" thickBot="1" x14ac:dyDescent="0.35">
      <c r="A25" s="125">
        <f t="shared" si="4"/>
        <v>0.4</v>
      </c>
      <c r="B25" s="125">
        <f t="shared" si="4"/>
        <v>0.6</v>
      </c>
      <c r="C25" s="114">
        <f>+A26-0.01%</f>
        <v>0.59989999999999999</v>
      </c>
      <c r="D25" s="135" t="s">
        <v>363</v>
      </c>
      <c r="E25" s="135" t="s">
        <v>363</v>
      </c>
      <c r="F25" s="128">
        <f t="shared" si="5"/>
        <v>0.03</v>
      </c>
      <c r="G25" s="128">
        <f t="shared" si="5"/>
        <v>0.03</v>
      </c>
      <c r="H25" s="128"/>
      <c r="J25" s="128">
        <f t="shared" si="6"/>
        <v>0.03</v>
      </c>
      <c r="K25" s="128">
        <f t="shared" si="6"/>
        <v>0.03</v>
      </c>
      <c r="L25" s="128"/>
      <c r="N25" s="135" t="s">
        <v>363</v>
      </c>
      <c r="O25" s="129">
        <f t="shared" si="7"/>
        <v>66802.287800476508</v>
      </c>
      <c r="P25" s="129">
        <f t="shared" si="7"/>
        <v>66802.287800476508</v>
      </c>
      <c r="Q25" s="129"/>
      <c r="S25" s="135" t="s">
        <v>363</v>
      </c>
      <c r="T25" s="146">
        <f t="shared" si="8"/>
        <v>0.21569664984358172</v>
      </c>
      <c r="U25" s="146">
        <f t="shared" si="8"/>
        <v>0.21569664984358172</v>
      </c>
      <c r="V25" s="146"/>
      <c r="X25" s="135" t="s">
        <v>363</v>
      </c>
      <c r="Y25" s="135" t="b">
        <f t="shared" si="9"/>
        <v>0</v>
      </c>
      <c r="Z25" s="135" t="b">
        <f t="shared" si="9"/>
        <v>0</v>
      </c>
      <c r="AA25" s="137"/>
      <c r="AB25" s="146"/>
      <c r="AC25" s="131">
        <f>IF(ISNA(MATCH(Y$9,Y25:Z25,0))=TRUE,0,MATCH(Y$9,Y25:Z25,0))</f>
        <v>0</v>
      </c>
    </row>
    <row r="26" spans="1:29" ht="16.8" thickTop="1" thickBot="1" x14ac:dyDescent="0.35">
      <c r="A26" s="125">
        <f t="shared" si="4"/>
        <v>0.6</v>
      </c>
      <c r="B26" s="125">
        <f t="shared" si="4"/>
        <v>0.8</v>
      </c>
      <c r="C26" s="114">
        <f>+A27-0.01%</f>
        <v>0.79990000000000006</v>
      </c>
      <c r="D26" s="132" t="s">
        <v>364</v>
      </c>
      <c r="E26" s="132" t="s">
        <v>364</v>
      </c>
      <c r="F26" s="128">
        <f t="shared" si="5"/>
        <v>0.03</v>
      </c>
      <c r="G26" s="128">
        <f t="shared" si="5"/>
        <v>0.03</v>
      </c>
      <c r="H26" s="128"/>
      <c r="J26" s="128">
        <f t="shared" si="6"/>
        <v>0.03</v>
      </c>
      <c r="K26" s="128">
        <f t="shared" si="6"/>
        <v>0.03</v>
      </c>
      <c r="L26" s="128"/>
      <c r="N26" s="132" t="s">
        <v>364</v>
      </c>
      <c r="O26" s="129">
        <f t="shared" si="7"/>
        <v>66802.287800476508</v>
      </c>
      <c r="P26" s="129">
        <f t="shared" si="7"/>
        <v>66802.287800476508</v>
      </c>
      <c r="Q26" s="129"/>
      <c r="S26" s="132" t="s">
        <v>364</v>
      </c>
      <c r="T26" s="146">
        <f t="shared" si="8"/>
        <v>0.21569664984358172</v>
      </c>
      <c r="U26" s="146">
        <f t="shared" si="8"/>
        <v>0.21569664984358172</v>
      </c>
      <c r="V26" s="146"/>
      <c r="X26" s="132" t="s">
        <v>364</v>
      </c>
      <c r="Y26" s="132" t="b">
        <f t="shared" si="9"/>
        <v>0</v>
      </c>
      <c r="Z26" s="132" t="b">
        <f t="shared" si="9"/>
        <v>0</v>
      </c>
      <c r="AA26" s="134"/>
      <c r="AB26" s="146"/>
      <c r="AC26" s="131">
        <f>IF(ISNA(MATCH(Y$9,Y26:Z26,0))=TRUE,0,MATCH(Y$9,Y26:Z26,0))</f>
        <v>0</v>
      </c>
    </row>
    <row r="27" spans="1:29" ht="16.8" thickTop="1" thickBot="1" x14ac:dyDescent="0.35">
      <c r="A27" s="125">
        <f t="shared" si="4"/>
        <v>0.8</v>
      </c>
      <c r="B27" s="125">
        <f t="shared" si="4"/>
        <v>1</v>
      </c>
      <c r="C27" s="114">
        <f>+A28</f>
        <v>1</v>
      </c>
      <c r="D27" s="135" t="s">
        <v>365</v>
      </c>
      <c r="E27" s="135" t="s">
        <v>365</v>
      </c>
      <c r="F27" s="128">
        <f t="shared" si="5"/>
        <v>0.03</v>
      </c>
      <c r="G27" s="128">
        <f t="shared" si="5"/>
        <v>0.03</v>
      </c>
      <c r="H27" s="128"/>
      <c r="J27" s="128">
        <f t="shared" si="6"/>
        <v>0.03</v>
      </c>
      <c r="K27" s="128">
        <f t="shared" si="6"/>
        <v>0.03</v>
      </c>
      <c r="L27" s="128"/>
      <c r="N27" s="135" t="s">
        <v>365</v>
      </c>
      <c r="O27" s="129">
        <f t="shared" si="7"/>
        <v>66802.287800476508</v>
      </c>
      <c r="P27" s="129">
        <f t="shared" si="7"/>
        <v>66802.287800476508</v>
      </c>
      <c r="Q27" s="129"/>
      <c r="S27" s="135" t="s">
        <v>365</v>
      </c>
      <c r="T27" s="146">
        <f t="shared" si="8"/>
        <v>0.21569664984358172</v>
      </c>
      <c r="U27" s="146">
        <f t="shared" si="8"/>
        <v>0.21569664984358172</v>
      </c>
      <c r="V27" s="146"/>
      <c r="X27" s="135" t="s">
        <v>365</v>
      </c>
      <c r="Y27" s="135" t="b">
        <f t="shared" si="9"/>
        <v>0</v>
      </c>
      <c r="Z27" s="135" t="b">
        <f t="shared" si="9"/>
        <v>0</v>
      </c>
      <c r="AA27" s="137"/>
      <c r="AB27" s="137"/>
      <c r="AC27" s="131">
        <f>IF(ISNA(MATCH(Y$9,Y27:Z27,0))=TRUE,0,MATCH(Y$9,Y27:Z27,0))</f>
        <v>0</v>
      </c>
    </row>
    <row r="28" spans="1:29" ht="15.6" x14ac:dyDescent="0.3">
      <c r="A28" s="125">
        <f>+A19</f>
        <v>1</v>
      </c>
      <c r="B28" s="125">
        <f>+B19</f>
        <v>0</v>
      </c>
      <c r="Y28" s="131">
        <f>IF(ISNA(MATCH(Y$9,Y23:Y27,0))=TRUE,0,MATCH(Y$9,Y23:Y27,0))</f>
        <v>1</v>
      </c>
      <c r="Z28" s="131">
        <f>IF(ISNA(MATCH(Z$9,Z23:Z27,0))=TRUE,0,MATCH(Z$9,Z23:Z27,0))</f>
        <v>0</v>
      </c>
      <c r="AA28" s="131"/>
      <c r="AB28" s="144">
        <f>SUM(Y28:AA28)</f>
        <v>1</v>
      </c>
      <c r="AC28" s="145">
        <f>IF($H$9&lt;=T19,1,IF($H$9&lt;=U19,2,0))</f>
        <v>1</v>
      </c>
    </row>
    <row r="29" spans="1:29" x14ac:dyDescent="0.3">
      <c r="F29" s="113"/>
      <c r="G29" s="113"/>
      <c r="AB29" t="s">
        <v>366</v>
      </c>
      <c r="AC29" t="s">
        <v>367</v>
      </c>
    </row>
    <row r="30" spans="1:29" x14ac:dyDescent="0.3">
      <c r="F30" s="113"/>
      <c r="G30" s="113"/>
    </row>
    <row r="31" spans="1:29" x14ac:dyDescent="0.3">
      <c r="F31" s="460">
        <f>IF(AND(kompl_rendszeresjöv="igen",kompl_haromotvenfelett="igen"),Hirdetmény!$C$44-haromotvenkedvezmeny,IF(kompl_rendszeresjöv="igen",Hirdetmény!$C$44,Hirdetmény!$C$44+munkabérátutaláskedv))</f>
        <v>0.03</v>
      </c>
      <c r="G31" s="113"/>
    </row>
    <row r="32" spans="1:29" x14ac:dyDescent="0.3">
      <c r="F32" s="460">
        <f>IF(AND(rendszeresjöv="igen",haromotvenfelett="igen"),Hirdetmény!$C$44-haromotvenkedvezmeny,IF(rendszeresjöv="igen",Hirdetmény!$C$44,Hirdetmény!$C$44+munkabérátutaláskedv))</f>
        <v>0.03</v>
      </c>
      <c r="G32" s="113"/>
    </row>
    <row r="33" spans="1:43" x14ac:dyDescent="0.3">
      <c r="F33" s="113"/>
      <c r="G33" s="113"/>
      <c r="J33" s="442" t="s">
        <v>368</v>
      </c>
    </row>
    <row r="34" spans="1:43" x14ac:dyDescent="0.3">
      <c r="A34" s="113">
        <v>2E-3</v>
      </c>
      <c r="J34" t="s">
        <v>340</v>
      </c>
      <c r="K34" t="s">
        <v>341</v>
      </c>
      <c r="L34" t="s">
        <v>342</v>
      </c>
      <c r="M34" t="s">
        <v>343</v>
      </c>
      <c r="N34" t="s">
        <v>344</v>
      </c>
      <c r="O34" t="s">
        <v>345</v>
      </c>
      <c r="P34" t="s">
        <v>346</v>
      </c>
      <c r="Q34" t="s">
        <v>347</v>
      </c>
      <c r="S34" t="s">
        <v>348</v>
      </c>
      <c r="T34" t="s">
        <v>349</v>
      </c>
      <c r="U34" t="s">
        <v>350</v>
      </c>
      <c r="Y34" s="147" t="s">
        <v>1094</v>
      </c>
    </row>
    <row r="35" spans="1:43" x14ac:dyDescent="0.3">
      <c r="F35" t="s">
        <v>351</v>
      </c>
      <c r="H35" s="113">
        <f>+egyszerűsített_kalkulátor!F10</f>
        <v>0.14489675614077413</v>
      </c>
      <c r="J35" t="s">
        <v>81</v>
      </c>
      <c r="K35" t="str">
        <f>+AB49&amp;AB48&amp;AC49&amp;AC48</f>
        <v>M1L2</v>
      </c>
      <c r="L35" s="423">
        <f>+INDEX($F$43:$G$47,IF($AB$48=0,5,$AB$48),IF($AC$58=0,2,$AC$58))</f>
        <v>0.03</v>
      </c>
      <c r="M35" s="423">
        <f>+INDEX($J$43:$K$47,IF($AB$48=0,5,$AB$48),IF($AC$58=0,2,$AC$58))</f>
        <v>0.03</v>
      </c>
      <c r="N35" s="424">
        <f>IF(P35&gt;1,H38,INDEX($O$43:$P$47,IF($AB$48=0,5,$AB$48),IF($AC$58=0,2,$AC$58)))</f>
        <v>66802.287800476508</v>
      </c>
      <c r="O35" s="424">
        <f>+INDEX($O$43:$P$47,IF($AB$48=0,5,$AB$48),$AC$48)</f>
        <v>66802.287800476508</v>
      </c>
      <c r="P35" s="425">
        <f>+INDEX($T$43:$V$47,IF($AB$48=0,5,$AB$48),IF($AC$48=0,2,$AC$48))</f>
        <v>0.11565825437586418</v>
      </c>
      <c r="Q35" s="424">
        <f>IF(M35&lt;&gt;0%,+N35*(1-(1/POWER(1+M35/360*(365/12),$H$36)))/(M35/360*(365/12)),N35*H36)</f>
        <v>12000000.000000039</v>
      </c>
      <c r="S35" s="423">
        <f>+N35/H38</f>
        <v>0.11565825437586418</v>
      </c>
      <c r="T35" s="113">
        <f>+INDEX(J47:L47,1,IF($AC$58=0,2,$AC$58))</f>
        <v>0.03</v>
      </c>
      <c r="U35" s="424">
        <f>IF(T35&lt;&gt;0%,+H38*(1-(1/POWER(1+T35/360*(365/12),$H$36)))/(T35/360*(365/12)),H36*H38)</f>
        <v>103753943.58800064</v>
      </c>
      <c r="Y35" s="147">
        <f>+IF(egyszerűsített_kalkulátor!B5="Új hitel felvétele",IF(egyszerűsített_kalkulátor!B41&lt;500000,jtm400alatt*egyszerűsített_kalkulátor!B41,jtm400felett*egyszerűsített_kalkulátor!B41)-egyszerűsített_kalkulátor!B43,tr!H38)</f>
        <v>600000</v>
      </c>
    </row>
    <row r="36" spans="1:43" x14ac:dyDescent="0.3">
      <c r="F36" t="s">
        <v>352</v>
      </c>
      <c r="H36" s="115">
        <f>+egyszerűsített_kalkulátor!B10</f>
        <v>240</v>
      </c>
      <c r="J36" t="s">
        <v>353</v>
      </c>
      <c r="K36" t="str">
        <f>+AB59&amp;AB58&amp;AC59&amp;AC58</f>
        <v>M0L0</v>
      </c>
      <c r="L36" s="423">
        <f>+INDEX($F$53:$G$57,IF($AB$58=0,5,$AB$58),IF($AC$58=0,2,$AC$58))</f>
        <v>0.03</v>
      </c>
      <c r="M36" s="423">
        <f>+INDEX($J$53:$K$57,IF($AB$58=0,5,$AB$58),IF($AC$58=0,2,$AC$58))</f>
        <v>0.03</v>
      </c>
      <c r="N36" s="424">
        <f>IF(P36&gt;1,H38,INDEX($O$53:$P$57,IF($AB$58=0,5,$AB$58),IF($AC$58=0,2,$AC$58)))</f>
        <v>66802.287800476508</v>
      </c>
      <c r="O36" s="424">
        <f>+INDEX($O$53:$P$57,IF($AB$58=0,5,$AB$58),$AC$58)</f>
        <v>66802.287800476508</v>
      </c>
      <c r="P36" s="425">
        <f>+INDEX($T$53:$V$57,IF($AB$58=0,5,$AB$58),IF($AC$58=0,2,$AC$58))</f>
        <v>0.11565825437586418</v>
      </c>
      <c r="Q36" s="424">
        <f>IF(M36&lt;&gt;0%,+N36*(1-(1/POWER(1+M36/360*(365/12),$H$36)))/(M36/360*(365/12)),N36*H36)</f>
        <v>12000000.000000039</v>
      </c>
      <c r="S36" s="423">
        <f>+N36/H38</f>
        <v>0.11565825437586418</v>
      </c>
      <c r="T36" s="113">
        <f>+INDEX(J57:L57,1,IF($AC$58=0,2,$AC$58))</f>
        <v>0.03</v>
      </c>
      <c r="U36" s="424">
        <f>IF(T36&lt;&gt;0%,+H38*(1-(1/POWER(1+T36/360*(365/12),$H$36)))/(T36/360*(365/12)),H36*H38)</f>
        <v>103753943.58800064</v>
      </c>
    </row>
    <row r="37" spans="1:43" x14ac:dyDescent="0.3">
      <c r="F37" t="s">
        <v>354</v>
      </c>
      <c r="H37" s="115">
        <f>+egyszerűsített_kalkulátor!F66</f>
        <v>12000000</v>
      </c>
      <c r="AM37" s="148">
        <v>1</v>
      </c>
    </row>
    <row r="38" spans="1:43" x14ac:dyDescent="0.3">
      <c r="F38" t="s">
        <v>356</v>
      </c>
      <c r="H38" s="115">
        <f>+egyszerűsített_kalkulátor!B76</f>
        <v>577583.4</v>
      </c>
      <c r="T38" s="468">
        <v>0</v>
      </c>
      <c r="U38" s="468">
        <v>0.6</v>
      </c>
      <c r="V38" s="117"/>
      <c r="AM38" s="119">
        <v>3</v>
      </c>
    </row>
    <row r="39" spans="1:43" x14ac:dyDescent="0.3">
      <c r="F39" t="s">
        <v>357</v>
      </c>
      <c r="H39" s="118">
        <f>+egyszerűsített_kalkulátor!H7</f>
        <v>0.8</v>
      </c>
      <c r="T39" s="469">
        <v>0.6</v>
      </c>
      <c r="U39" s="469">
        <f>+IF(egyszerűsített_kalkulátor!B5="Hitelkiváltás",800%,80%)</f>
        <v>0.8</v>
      </c>
      <c r="V39" s="117"/>
      <c r="Y39" t="b">
        <v>1</v>
      </c>
      <c r="Z39" t="b">
        <v>1</v>
      </c>
      <c r="AA39" t="b">
        <v>1</v>
      </c>
      <c r="AN39">
        <f>+AM37+AM38</f>
        <v>4</v>
      </c>
      <c r="AO39">
        <v>10</v>
      </c>
      <c r="AP39">
        <v>20</v>
      </c>
      <c r="AQ39">
        <v>30</v>
      </c>
    </row>
    <row r="40" spans="1:43" ht="15" thickBot="1" x14ac:dyDescent="0.35">
      <c r="D40" t="s">
        <v>342</v>
      </c>
      <c r="I40" t="s">
        <v>343</v>
      </c>
      <c r="N40" t="s">
        <v>358</v>
      </c>
      <c r="S40" t="s">
        <v>359</v>
      </c>
      <c r="T40" s="119">
        <v>1</v>
      </c>
      <c r="U40" s="119">
        <v>2</v>
      </c>
      <c r="V40" s="119">
        <v>3</v>
      </c>
      <c r="AN40">
        <v>30</v>
      </c>
      <c r="AO40">
        <f t="dataTable" ref="AO40:AQ42" dt2D="1" dtr="0" r1="AM37" r2="AM38"/>
        <v>40</v>
      </c>
      <c r="AP40">
        <v>50</v>
      </c>
      <c r="AQ40">
        <v>60</v>
      </c>
    </row>
    <row r="41" spans="1:43" ht="16.2" thickBot="1" x14ac:dyDescent="0.35">
      <c r="D41" s="120"/>
      <c r="E41" s="120"/>
      <c r="F41" s="466" t="s">
        <v>1239</v>
      </c>
      <c r="G41" s="466" t="s">
        <v>1240</v>
      </c>
      <c r="H41" s="121"/>
      <c r="I41" s="120"/>
      <c r="J41" s="466" t="s">
        <v>1239</v>
      </c>
      <c r="K41" s="466" t="s">
        <v>1240</v>
      </c>
      <c r="L41" s="121"/>
      <c r="N41" s="120"/>
      <c r="O41" s="466" t="s">
        <v>1239</v>
      </c>
      <c r="P41" s="466" t="s">
        <v>1240</v>
      </c>
      <c r="Q41" s="121"/>
      <c r="S41" s="120"/>
      <c r="T41" s="466" t="s">
        <v>1239</v>
      </c>
      <c r="U41" s="466" t="s">
        <v>1240</v>
      </c>
      <c r="V41" s="121"/>
      <c r="Y41" s="120"/>
      <c r="Z41" s="120"/>
      <c r="AA41" s="121"/>
      <c r="AB41" s="121"/>
      <c r="AC41" s="121"/>
      <c r="AG41" s="149">
        <f>+egyszerűsített_kalkulátor!F22</f>
        <v>3.0992772469999208E-2</v>
      </c>
      <c r="AH41">
        <v>1</v>
      </c>
      <c r="AI41">
        <v>2</v>
      </c>
      <c r="AJ41">
        <v>3</v>
      </c>
      <c r="AN41">
        <v>40</v>
      </c>
      <c r="AO41">
        <v>50</v>
      </c>
      <c r="AP41">
        <v>60</v>
      </c>
      <c r="AQ41">
        <v>70</v>
      </c>
    </row>
    <row r="42" spans="1:43" ht="16.8" thickTop="1" thickBot="1" x14ac:dyDescent="0.35">
      <c r="D42" s="123"/>
      <c r="E42" s="123"/>
      <c r="F42" s="124" t="s">
        <v>44</v>
      </c>
      <c r="G42" s="124" t="s">
        <v>41</v>
      </c>
      <c r="H42" s="124" t="s">
        <v>42</v>
      </c>
      <c r="I42" s="123"/>
      <c r="J42" s="124" t="s">
        <v>44</v>
      </c>
      <c r="K42" s="124" t="s">
        <v>41</v>
      </c>
      <c r="L42" s="124" t="s">
        <v>42</v>
      </c>
      <c r="N42" s="123"/>
      <c r="O42" s="124"/>
      <c r="P42" s="124"/>
      <c r="Q42" s="124"/>
      <c r="S42" s="123"/>
      <c r="T42" s="124"/>
      <c r="U42" s="124"/>
      <c r="V42" s="124"/>
      <c r="Y42" s="123" t="s">
        <v>44</v>
      </c>
      <c r="Z42" s="123" t="s">
        <v>41</v>
      </c>
      <c r="AA42" s="124" t="s">
        <v>42</v>
      </c>
      <c r="AB42" s="124"/>
      <c r="AC42" s="124"/>
      <c r="AE42" s="125"/>
      <c r="AG42" t="s">
        <v>40</v>
      </c>
      <c r="AN42">
        <v>50</v>
      </c>
      <c r="AO42">
        <v>60</v>
      </c>
      <c r="AP42">
        <v>70</v>
      </c>
      <c r="AQ42">
        <v>80</v>
      </c>
    </row>
    <row r="43" spans="1:43" ht="16.8" thickTop="1" thickBot="1" x14ac:dyDescent="0.35">
      <c r="A43" s="125">
        <f t="shared" ref="A43:B47" si="10">+A13</f>
        <v>0</v>
      </c>
      <c r="B43" s="125">
        <f t="shared" si="10"/>
        <v>0.3</v>
      </c>
      <c r="C43" s="114">
        <f>+A44-0.01%</f>
        <v>0.2999</v>
      </c>
      <c r="D43" s="126" t="s">
        <v>361</v>
      </c>
      <c r="E43" s="126" t="s">
        <v>361</v>
      </c>
      <c r="F43" s="128">
        <f>egyszerűsített_kalkulátor!$F$7</f>
        <v>0.03</v>
      </c>
      <c r="G43" s="128">
        <f>egyszerűsített_kalkulátor!$F$7</f>
        <v>0.03</v>
      </c>
      <c r="H43" s="127"/>
      <c r="J43" s="127">
        <f>F43</f>
        <v>0.03</v>
      </c>
      <c r="K43" s="127">
        <f>G43</f>
        <v>0.03</v>
      </c>
      <c r="L43" s="127"/>
      <c r="N43" s="126" t="s">
        <v>361</v>
      </c>
      <c r="O43" s="129">
        <f>+PMT(J43/360*(365/12),$H$36,$H$37)*-1</f>
        <v>66802.287800476508</v>
      </c>
      <c r="P43" s="129">
        <f t="shared" ref="O43:P47" si="11">+PMT(K43/360*(365/12),$H$36,$H$37)*-1</f>
        <v>66802.287800476508</v>
      </c>
      <c r="Q43" s="129"/>
      <c r="S43" s="126" t="s">
        <v>361</v>
      </c>
      <c r="T43" s="130">
        <f>+O43/$H$38</f>
        <v>0.11565825437586418</v>
      </c>
      <c r="U43" s="130">
        <f t="shared" ref="T43:U47" si="12">+P43/$H$38</f>
        <v>0.11565825437586418</v>
      </c>
      <c r="V43" s="130"/>
      <c r="X43" s="126" t="s">
        <v>361</v>
      </c>
      <c r="Y43" s="126" t="b">
        <f t="shared" ref="Y43:Z47" si="13">+AND(T43&gt;$A43,T43&lt;=$B43,$H$39&gt;T$38,$H$39&lt;=T$39)</f>
        <v>0</v>
      </c>
      <c r="Z43" s="126" t="b">
        <f t="shared" si="13"/>
        <v>1</v>
      </c>
      <c r="AA43" s="126"/>
      <c r="AB43" s="130"/>
      <c r="AC43" s="131"/>
      <c r="AE43" s="125"/>
      <c r="AG43" t="s">
        <v>43</v>
      </c>
    </row>
    <row r="44" spans="1:43" ht="16.8" thickTop="1" thickBot="1" x14ac:dyDescent="0.35">
      <c r="A44" s="125">
        <f t="shared" si="10"/>
        <v>0.3</v>
      </c>
      <c r="B44" s="125">
        <f t="shared" si="10"/>
        <v>0.4</v>
      </c>
      <c r="C44" s="114">
        <f>+A45-0.01%</f>
        <v>0.39990000000000003</v>
      </c>
      <c r="D44" s="132" t="s">
        <v>362</v>
      </c>
      <c r="E44" s="132" t="s">
        <v>362</v>
      </c>
      <c r="F44" s="128">
        <f>egyszerűsített_kalkulátor!$F$7</f>
        <v>0.03</v>
      </c>
      <c r="G44" s="128">
        <f>egyszerűsített_kalkulátor!$F$7</f>
        <v>0.03</v>
      </c>
      <c r="H44" s="127"/>
      <c r="J44" s="127">
        <f t="shared" ref="J44:K47" si="14">F44</f>
        <v>0.03</v>
      </c>
      <c r="K44" s="127">
        <f t="shared" si="14"/>
        <v>0.03</v>
      </c>
      <c r="L44" s="133"/>
      <c r="N44" s="132" t="s">
        <v>362</v>
      </c>
      <c r="O44" s="129">
        <f t="shared" si="11"/>
        <v>66802.287800476508</v>
      </c>
      <c r="P44" s="129">
        <f t="shared" si="11"/>
        <v>66802.287800476508</v>
      </c>
      <c r="Q44" s="129"/>
      <c r="S44" s="132" t="s">
        <v>362</v>
      </c>
      <c r="T44" s="130">
        <f t="shared" si="12"/>
        <v>0.11565825437586418</v>
      </c>
      <c r="U44" s="130">
        <f>+P44/$H$38</f>
        <v>0.11565825437586418</v>
      </c>
      <c r="V44" s="130"/>
      <c r="X44" s="132" t="s">
        <v>362</v>
      </c>
      <c r="Y44" s="126" t="b">
        <f t="shared" si="13"/>
        <v>0</v>
      </c>
      <c r="Z44" s="126" t="b">
        <f t="shared" si="13"/>
        <v>0</v>
      </c>
      <c r="AA44" s="126"/>
      <c r="AB44" s="134"/>
      <c r="AC44" s="131"/>
      <c r="AE44" s="125"/>
      <c r="AG44" t="s">
        <v>45</v>
      </c>
    </row>
    <row r="45" spans="1:43" ht="16.8" thickTop="1" thickBot="1" x14ac:dyDescent="0.35">
      <c r="A45" s="125">
        <f t="shared" si="10"/>
        <v>0.4</v>
      </c>
      <c r="B45" s="125">
        <f t="shared" si="10"/>
        <v>0.6</v>
      </c>
      <c r="C45" s="114">
        <f>+A46-0.01%</f>
        <v>0.59989999999999999</v>
      </c>
      <c r="D45" s="135" t="s">
        <v>363</v>
      </c>
      <c r="E45" s="135" t="s">
        <v>363</v>
      </c>
      <c r="F45" s="128">
        <f>egyszerűsített_kalkulátor!$F$7</f>
        <v>0.03</v>
      </c>
      <c r="G45" s="128">
        <f>egyszerűsített_kalkulátor!$F$7</f>
        <v>0.03</v>
      </c>
      <c r="H45" s="127"/>
      <c r="J45" s="127">
        <f t="shared" si="14"/>
        <v>0.03</v>
      </c>
      <c r="K45" s="127">
        <f t="shared" si="14"/>
        <v>0.03</v>
      </c>
      <c r="L45" s="136"/>
      <c r="N45" s="135" t="s">
        <v>363</v>
      </c>
      <c r="O45" s="129">
        <f t="shared" si="11"/>
        <v>66802.287800476508</v>
      </c>
      <c r="P45" s="129">
        <f t="shared" si="11"/>
        <v>66802.287800476508</v>
      </c>
      <c r="Q45" s="129"/>
      <c r="S45" s="135" t="s">
        <v>363</v>
      </c>
      <c r="T45" s="130">
        <f t="shared" si="12"/>
        <v>0.11565825437586418</v>
      </c>
      <c r="U45" s="130">
        <f t="shared" si="12"/>
        <v>0.11565825437586418</v>
      </c>
      <c r="V45" s="130"/>
      <c r="X45" s="135" t="s">
        <v>363</v>
      </c>
      <c r="Y45" s="126" t="b">
        <f t="shared" si="13"/>
        <v>0</v>
      </c>
      <c r="Z45" s="126" t="b">
        <f t="shared" si="13"/>
        <v>0</v>
      </c>
      <c r="AA45" s="126"/>
      <c r="AB45" s="137"/>
      <c r="AC45" s="131"/>
      <c r="AG45" t="s">
        <v>46</v>
      </c>
    </row>
    <row r="46" spans="1:43" ht="16.8" thickTop="1" thickBot="1" x14ac:dyDescent="0.35">
      <c r="A46" s="125">
        <f t="shared" si="10"/>
        <v>0.6</v>
      </c>
      <c r="B46" s="125">
        <f t="shared" si="10"/>
        <v>0.8</v>
      </c>
      <c r="C46" s="114">
        <f>+A47-0.01%</f>
        <v>0.79990000000000006</v>
      </c>
      <c r="D46" s="132" t="s">
        <v>364</v>
      </c>
      <c r="E46" s="132" t="s">
        <v>364</v>
      </c>
      <c r="F46" s="128">
        <f>egyszerűsített_kalkulátor!$F$7</f>
        <v>0.03</v>
      </c>
      <c r="G46" s="128">
        <f>egyszerűsített_kalkulátor!$F$7</f>
        <v>0.03</v>
      </c>
      <c r="H46" s="127"/>
      <c r="J46" s="127">
        <f t="shared" si="14"/>
        <v>0.03</v>
      </c>
      <c r="K46" s="127">
        <f t="shared" si="14"/>
        <v>0.03</v>
      </c>
      <c r="L46" s="133"/>
      <c r="N46" s="132" t="s">
        <v>364</v>
      </c>
      <c r="O46" s="129">
        <f t="shared" si="11"/>
        <v>66802.287800476508</v>
      </c>
      <c r="P46" s="129">
        <f t="shared" si="11"/>
        <v>66802.287800476508</v>
      </c>
      <c r="Q46" s="129"/>
      <c r="S46" s="132" t="s">
        <v>364</v>
      </c>
      <c r="T46" s="130">
        <f t="shared" si="12"/>
        <v>0.11565825437586418</v>
      </c>
      <c r="U46" s="130">
        <f t="shared" si="12"/>
        <v>0.11565825437586418</v>
      </c>
      <c r="V46" s="130"/>
      <c r="X46" s="132" t="s">
        <v>364</v>
      </c>
      <c r="Y46" s="126" t="b">
        <f t="shared" si="13"/>
        <v>0</v>
      </c>
      <c r="Z46" s="126" t="b">
        <f t="shared" si="13"/>
        <v>0</v>
      </c>
      <c r="AA46" s="126"/>
      <c r="AB46" s="134"/>
      <c r="AC46" s="131"/>
      <c r="AG46" t="s">
        <v>47</v>
      </c>
    </row>
    <row r="47" spans="1:43" ht="16.8" thickTop="1" thickBot="1" x14ac:dyDescent="0.35">
      <c r="A47" s="125">
        <f t="shared" si="10"/>
        <v>0.8</v>
      </c>
      <c r="B47" s="125">
        <f t="shared" si="10"/>
        <v>1</v>
      </c>
      <c r="C47" s="114">
        <f>+A48</f>
        <v>1</v>
      </c>
      <c r="D47" s="135" t="s">
        <v>365</v>
      </c>
      <c r="E47" s="135" t="s">
        <v>365</v>
      </c>
      <c r="F47" s="128">
        <f>egyszerűsített_kalkulátor!$F$7</f>
        <v>0.03</v>
      </c>
      <c r="G47" s="128">
        <f>egyszerűsített_kalkulátor!$F$7</f>
        <v>0.03</v>
      </c>
      <c r="H47" s="127"/>
      <c r="J47" s="127">
        <f t="shared" si="14"/>
        <v>0.03</v>
      </c>
      <c r="K47" s="127">
        <f t="shared" si="14"/>
        <v>0.03</v>
      </c>
      <c r="L47" s="136"/>
      <c r="N47" s="135" t="s">
        <v>365</v>
      </c>
      <c r="O47" s="129">
        <f t="shared" si="11"/>
        <v>66802.287800476508</v>
      </c>
      <c r="P47" s="129">
        <f t="shared" si="11"/>
        <v>66802.287800476508</v>
      </c>
      <c r="Q47" s="129"/>
      <c r="S47" s="135" t="s">
        <v>365</v>
      </c>
      <c r="T47" s="130">
        <f t="shared" si="12"/>
        <v>0.11565825437586418</v>
      </c>
      <c r="U47" s="130">
        <f t="shared" si="12"/>
        <v>0.11565825437586418</v>
      </c>
      <c r="V47" s="130"/>
      <c r="X47" s="135" t="s">
        <v>365</v>
      </c>
      <c r="Y47" s="126" t="b">
        <f t="shared" si="13"/>
        <v>0</v>
      </c>
      <c r="Z47" s="126" t="b">
        <f t="shared" si="13"/>
        <v>0</v>
      </c>
      <c r="AA47" s="126"/>
      <c r="AB47" s="137"/>
      <c r="AC47" s="131"/>
    </row>
    <row r="48" spans="1:43" ht="16.2" thickBot="1" x14ac:dyDescent="0.35">
      <c r="A48" s="125">
        <f>+A19</f>
        <v>1</v>
      </c>
      <c r="B48" s="125">
        <f>+B19</f>
        <v>0</v>
      </c>
      <c r="D48" s="131"/>
      <c r="E48" s="131"/>
      <c r="F48" s="141"/>
      <c r="G48" s="141"/>
      <c r="H48" s="141"/>
      <c r="I48" s="131"/>
      <c r="J48" s="141"/>
      <c r="K48" s="141"/>
      <c r="L48" s="141"/>
      <c r="N48" s="131"/>
      <c r="O48" s="141"/>
      <c r="P48" s="141"/>
      <c r="Q48" s="141"/>
      <c r="S48" s="131"/>
      <c r="T48" s="468">
        <v>0</v>
      </c>
      <c r="U48" s="468">
        <v>0.6</v>
      </c>
      <c r="V48" s="117"/>
      <c r="Y48" s="131">
        <f>IF(ISNA(MATCH(Y$9,Y43:Y47,0))=TRUE,0,MATCH(Y$9,Y43:Y47,0))</f>
        <v>0</v>
      </c>
      <c r="Z48" s="131">
        <f>IF(ISNA(MATCH(Z$9,Z43:Z47,0))=TRUE,0,MATCH(Z$9,Z43:Z47,0))</f>
        <v>1</v>
      </c>
      <c r="AA48" s="131"/>
      <c r="AB48" s="144">
        <f>SUM(Y48:AA48)</f>
        <v>1</v>
      </c>
      <c r="AC48" s="145">
        <f>IF($H$39&lt;=T39,1,IF($H$39&lt;=U39,2,0))</f>
        <v>2</v>
      </c>
    </row>
    <row r="49" spans="1:29" ht="16.2" thickBot="1" x14ac:dyDescent="0.35">
      <c r="A49" s="125"/>
      <c r="B49" s="125"/>
      <c r="D49" s="131"/>
      <c r="E49" s="131"/>
      <c r="F49" s="141"/>
      <c r="G49" s="141"/>
      <c r="H49" s="141"/>
      <c r="I49" s="131"/>
      <c r="J49" s="141"/>
      <c r="K49" s="141"/>
      <c r="L49" s="141"/>
      <c r="N49" s="131"/>
      <c r="O49" s="141"/>
      <c r="P49" s="141"/>
      <c r="Q49" s="141"/>
      <c r="S49" s="131"/>
      <c r="T49" s="469">
        <v>0.6</v>
      </c>
      <c r="U49" s="469">
        <f>+IF(egyszerűsített_kalkulátor!B5="Hitelkiváltás",750%,75%)</f>
        <v>0.75</v>
      </c>
      <c r="V49" s="117"/>
      <c r="Y49" s="131"/>
      <c r="Z49" s="131"/>
      <c r="AA49" s="131"/>
      <c r="AB49" t="s">
        <v>366</v>
      </c>
      <c r="AC49" t="s">
        <v>367</v>
      </c>
    </row>
    <row r="50" spans="1:29" ht="16.2" thickBot="1" x14ac:dyDescent="0.35">
      <c r="D50" s="131"/>
      <c r="E50" s="131"/>
      <c r="F50" s="141"/>
      <c r="G50" s="141"/>
      <c r="H50" s="141"/>
      <c r="I50" s="131"/>
      <c r="J50" s="141"/>
      <c r="K50" s="141"/>
      <c r="L50" s="141"/>
      <c r="N50" s="131"/>
      <c r="O50" s="141"/>
      <c r="P50" s="141"/>
      <c r="Q50" s="141"/>
      <c r="S50" s="131"/>
      <c r="T50" s="119">
        <v>1</v>
      </c>
      <c r="U50" s="119">
        <v>2</v>
      </c>
      <c r="V50" s="119">
        <v>3</v>
      </c>
      <c r="Y50" s="131"/>
      <c r="Z50" s="131"/>
      <c r="AA50" s="141"/>
      <c r="AB50" s="141"/>
      <c r="AC50" s="141"/>
    </row>
    <row r="51" spans="1:29" ht="16.2" thickBot="1" x14ac:dyDescent="0.35">
      <c r="D51" s="120"/>
      <c r="E51" s="120"/>
      <c r="F51" s="466" t="s">
        <v>1239</v>
      </c>
      <c r="G51" s="466" t="s">
        <v>1240</v>
      </c>
      <c r="H51" s="121"/>
      <c r="I51" s="120"/>
      <c r="J51" s="466" t="s">
        <v>1239</v>
      </c>
      <c r="K51" s="466" t="s">
        <v>1240</v>
      </c>
      <c r="L51" s="121"/>
      <c r="N51" s="120"/>
      <c r="O51" s="466" t="s">
        <v>1239</v>
      </c>
      <c r="P51" s="466" t="s">
        <v>1240</v>
      </c>
      <c r="Q51" s="121"/>
      <c r="S51" s="120"/>
      <c r="T51" s="466" t="s">
        <v>1239</v>
      </c>
      <c r="U51" s="466" t="s">
        <v>1240</v>
      </c>
      <c r="V51" s="121"/>
      <c r="Y51" s="120"/>
      <c r="Z51" s="120"/>
      <c r="AA51" s="120"/>
      <c r="AB51" s="120"/>
      <c r="AC51" s="120"/>
    </row>
    <row r="52" spans="1:29" ht="16.8" thickTop="1" thickBot="1" x14ac:dyDescent="0.35">
      <c r="D52" s="123"/>
      <c r="E52" s="123"/>
      <c r="F52" s="124" t="s">
        <v>44</v>
      </c>
      <c r="G52" s="124" t="s">
        <v>41</v>
      </c>
      <c r="H52" s="124" t="s">
        <v>42</v>
      </c>
      <c r="I52" s="123"/>
      <c r="J52" s="124" t="s">
        <v>44</v>
      </c>
      <c r="K52" s="124" t="s">
        <v>41</v>
      </c>
      <c r="L52" s="124" t="s">
        <v>42</v>
      </c>
      <c r="N52" s="123"/>
      <c r="O52" s="123"/>
      <c r="P52" s="123"/>
      <c r="Q52" s="123"/>
      <c r="S52" s="123"/>
      <c r="T52" s="123"/>
      <c r="U52" s="123"/>
      <c r="V52" s="123"/>
      <c r="Y52" s="123" t="s">
        <v>44</v>
      </c>
      <c r="Z52" s="123" t="s">
        <v>41</v>
      </c>
      <c r="AA52" s="124" t="s">
        <v>42</v>
      </c>
      <c r="AB52" s="123"/>
      <c r="AC52" s="123"/>
    </row>
    <row r="53" spans="1:29" ht="16.8" thickTop="1" thickBot="1" x14ac:dyDescent="0.35">
      <c r="A53" s="125">
        <f t="shared" ref="A53:B57" si="15">+A13</f>
        <v>0</v>
      </c>
      <c r="B53" s="125">
        <f t="shared" si="15"/>
        <v>0.3</v>
      </c>
      <c r="C53" s="114">
        <f>+A54-0.01%</f>
        <v>0.2999</v>
      </c>
      <c r="D53" s="126" t="s">
        <v>361</v>
      </c>
      <c r="E53" s="126" t="s">
        <v>361</v>
      </c>
      <c r="F53" s="128">
        <f>+F43+szabfelár</f>
        <v>0.03</v>
      </c>
      <c r="G53" s="128">
        <f>+G43+szabfelár</f>
        <v>0.03</v>
      </c>
      <c r="H53" s="128"/>
      <c r="J53" s="128">
        <f t="shared" ref="J53:K57" si="16">+F53+$H$5</f>
        <v>0.03</v>
      </c>
      <c r="K53" s="128">
        <f t="shared" si="16"/>
        <v>0.03</v>
      </c>
      <c r="L53" s="128"/>
      <c r="N53" s="126" t="s">
        <v>361</v>
      </c>
      <c r="O53" s="129">
        <f t="shared" ref="O53:P57" si="17">+PMT(J53/360*(365/12),$H$36,$H$37)*-1</f>
        <v>66802.287800476508</v>
      </c>
      <c r="P53" s="129">
        <f t="shared" si="17"/>
        <v>66802.287800476508</v>
      </c>
      <c r="Q53" s="129"/>
      <c r="S53" s="126" t="s">
        <v>361</v>
      </c>
      <c r="T53" s="130">
        <f t="shared" ref="T53:U57" si="18">+O53/$H$38</f>
        <v>0.11565825437586418</v>
      </c>
      <c r="U53" s="130">
        <f t="shared" si="18"/>
        <v>0.11565825437586418</v>
      </c>
      <c r="V53" s="130"/>
      <c r="X53" s="126" t="s">
        <v>361</v>
      </c>
      <c r="Y53" s="126" t="b">
        <f t="shared" ref="Y53:Z57" si="19">+AND(T53&gt;$A53,T53&lt;=$B53,$H$39&gt;T$48,$H$39&lt;=T$49)</f>
        <v>0</v>
      </c>
      <c r="Z53" s="126" t="b">
        <f t="shared" si="19"/>
        <v>0</v>
      </c>
      <c r="AA53" s="126"/>
      <c r="AB53" s="146"/>
      <c r="AC53" s="131"/>
    </row>
    <row r="54" spans="1:29" ht="16.8" thickTop="1" thickBot="1" x14ac:dyDescent="0.35">
      <c r="A54" s="125">
        <f t="shared" si="15"/>
        <v>0.3</v>
      </c>
      <c r="B54" s="125">
        <f t="shared" si="15"/>
        <v>0.4</v>
      </c>
      <c r="C54" s="114">
        <f>+A55-0.01%</f>
        <v>0.39990000000000003</v>
      </c>
      <c r="D54" s="132" t="s">
        <v>362</v>
      </c>
      <c r="E54" s="132" t="s">
        <v>362</v>
      </c>
      <c r="F54" s="128">
        <f>+F44+szabfelár</f>
        <v>0.03</v>
      </c>
      <c r="G54" s="128">
        <f t="shared" ref="F54:G57" si="20">+G44+szabfelár</f>
        <v>0.03</v>
      </c>
      <c r="H54" s="128"/>
      <c r="J54" s="128">
        <f t="shared" si="16"/>
        <v>0.03</v>
      </c>
      <c r="K54" s="128">
        <f t="shared" si="16"/>
        <v>0.03</v>
      </c>
      <c r="L54" s="128"/>
      <c r="N54" s="132" t="s">
        <v>362</v>
      </c>
      <c r="O54" s="129">
        <f t="shared" si="17"/>
        <v>66802.287800476508</v>
      </c>
      <c r="P54" s="129">
        <f t="shared" si="17"/>
        <v>66802.287800476508</v>
      </c>
      <c r="Q54" s="129"/>
      <c r="S54" s="132" t="s">
        <v>362</v>
      </c>
      <c r="T54" s="130">
        <f t="shared" si="18"/>
        <v>0.11565825437586418</v>
      </c>
      <c r="U54" s="130">
        <f t="shared" si="18"/>
        <v>0.11565825437586418</v>
      </c>
      <c r="V54" s="130"/>
      <c r="X54" s="132" t="s">
        <v>362</v>
      </c>
      <c r="Y54" s="126" t="b">
        <f t="shared" si="19"/>
        <v>0</v>
      </c>
      <c r="Z54" s="126" t="b">
        <f t="shared" si="19"/>
        <v>0</v>
      </c>
      <c r="AA54" s="126"/>
      <c r="AB54" s="146"/>
      <c r="AC54" s="131"/>
    </row>
    <row r="55" spans="1:29" ht="16.8" thickTop="1" thickBot="1" x14ac:dyDescent="0.35">
      <c r="A55" s="125">
        <f t="shared" si="15"/>
        <v>0.4</v>
      </c>
      <c r="B55" s="125">
        <f t="shared" si="15"/>
        <v>0.6</v>
      </c>
      <c r="C55" s="114">
        <f>+A56-0.01%</f>
        <v>0.59989999999999999</v>
      </c>
      <c r="D55" s="135" t="s">
        <v>363</v>
      </c>
      <c r="E55" s="135" t="s">
        <v>363</v>
      </c>
      <c r="F55" s="128">
        <f t="shared" si="20"/>
        <v>0.03</v>
      </c>
      <c r="G55" s="128">
        <f t="shared" si="20"/>
        <v>0.03</v>
      </c>
      <c r="H55" s="128"/>
      <c r="J55" s="128">
        <f t="shared" si="16"/>
        <v>0.03</v>
      </c>
      <c r="K55" s="128">
        <f t="shared" si="16"/>
        <v>0.03</v>
      </c>
      <c r="L55" s="128"/>
      <c r="N55" s="135" t="s">
        <v>363</v>
      </c>
      <c r="O55" s="129">
        <f t="shared" si="17"/>
        <v>66802.287800476508</v>
      </c>
      <c r="P55" s="129">
        <f t="shared" si="17"/>
        <v>66802.287800476508</v>
      </c>
      <c r="Q55" s="129"/>
      <c r="S55" s="135" t="s">
        <v>363</v>
      </c>
      <c r="T55" s="130">
        <f t="shared" si="18"/>
        <v>0.11565825437586418</v>
      </c>
      <c r="U55" s="130">
        <f t="shared" si="18"/>
        <v>0.11565825437586418</v>
      </c>
      <c r="V55" s="130"/>
      <c r="X55" s="135" t="s">
        <v>363</v>
      </c>
      <c r="Y55" s="126" t="b">
        <f t="shared" si="19"/>
        <v>0</v>
      </c>
      <c r="Z55" s="126" t="b">
        <f t="shared" si="19"/>
        <v>0</v>
      </c>
      <c r="AA55" s="126"/>
      <c r="AB55" s="146"/>
      <c r="AC55" s="131"/>
    </row>
    <row r="56" spans="1:29" ht="16.8" thickTop="1" thickBot="1" x14ac:dyDescent="0.35">
      <c r="A56" s="125">
        <f t="shared" si="15"/>
        <v>0.6</v>
      </c>
      <c r="B56" s="125">
        <f t="shared" si="15"/>
        <v>0.8</v>
      </c>
      <c r="C56" s="114">
        <f>+A57-0.01%</f>
        <v>0.79990000000000006</v>
      </c>
      <c r="D56" s="132" t="s">
        <v>364</v>
      </c>
      <c r="E56" s="132" t="s">
        <v>364</v>
      </c>
      <c r="F56" s="128">
        <f t="shared" si="20"/>
        <v>0.03</v>
      </c>
      <c r="G56" s="128">
        <f t="shared" si="20"/>
        <v>0.03</v>
      </c>
      <c r="H56" s="128"/>
      <c r="J56" s="128">
        <f t="shared" si="16"/>
        <v>0.03</v>
      </c>
      <c r="K56" s="128">
        <f t="shared" si="16"/>
        <v>0.03</v>
      </c>
      <c r="L56" s="128"/>
      <c r="N56" s="132" t="s">
        <v>364</v>
      </c>
      <c r="O56" s="129">
        <f t="shared" si="17"/>
        <v>66802.287800476508</v>
      </c>
      <c r="P56" s="129">
        <f t="shared" si="17"/>
        <v>66802.287800476508</v>
      </c>
      <c r="Q56" s="129"/>
      <c r="S56" s="132" t="s">
        <v>364</v>
      </c>
      <c r="T56" s="130">
        <f t="shared" si="18"/>
        <v>0.11565825437586418</v>
      </c>
      <c r="U56" s="130">
        <f t="shared" si="18"/>
        <v>0.11565825437586418</v>
      </c>
      <c r="V56" s="130"/>
      <c r="X56" s="132" t="s">
        <v>364</v>
      </c>
      <c r="Y56" s="126" t="b">
        <f t="shared" si="19"/>
        <v>0</v>
      </c>
      <c r="Z56" s="126" t="b">
        <f t="shared" si="19"/>
        <v>0</v>
      </c>
      <c r="AA56" s="126"/>
      <c r="AB56" s="146"/>
      <c r="AC56" s="131"/>
    </row>
    <row r="57" spans="1:29" ht="16.8" thickTop="1" thickBot="1" x14ac:dyDescent="0.35">
      <c r="A57" s="125">
        <f t="shared" si="15"/>
        <v>0.8</v>
      </c>
      <c r="B57" s="125">
        <f t="shared" si="15"/>
        <v>1</v>
      </c>
      <c r="C57" s="114">
        <f>+A58</f>
        <v>1</v>
      </c>
      <c r="D57" s="135" t="s">
        <v>365</v>
      </c>
      <c r="E57" s="135" t="s">
        <v>365</v>
      </c>
      <c r="F57" s="128">
        <f t="shared" si="20"/>
        <v>0.03</v>
      </c>
      <c r="G57" s="128">
        <f t="shared" si="20"/>
        <v>0.03</v>
      </c>
      <c r="H57" s="128"/>
      <c r="J57" s="128">
        <f t="shared" si="16"/>
        <v>0.03</v>
      </c>
      <c r="K57" s="128">
        <f t="shared" si="16"/>
        <v>0.03</v>
      </c>
      <c r="L57" s="128"/>
      <c r="N57" s="135" t="s">
        <v>365</v>
      </c>
      <c r="O57" s="129">
        <f t="shared" si="17"/>
        <v>66802.287800476508</v>
      </c>
      <c r="P57" s="129">
        <f t="shared" si="17"/>
        <v>66802.287800476508</v>
      </c>
      <c r="Q57" s="129"/>
      <c r="S57" s="135" t="s">
        <v>365</v>
      </c>
      <c r="T57" s="130">
        <f t="shared" si="18"/>
        <v>0.11565825437586418</v>
      </c>
      <c r="U57" s="130">
        <f t="shared" si="18"/>
        <v>0.11565825437586418</v>
      </c>
      <c r="V57" s="130"/>
      <c r="X57" s="135" t="s">
        <v>365</v>
      </c>
      <c r="Y57" s="126" t="b">
        <f t="shared" si="19"/>
        <v>0</v>
      </c>
      <c r="Z57" s="126" t="b">
        <f t="shared" si="19"/>
        <v>0</v>
      </c>
      <c r="AA57" s="126"/>
      <c r="AB57" s="137"/>
      <c r="AC57" s="131"/>
    </row>
    <row r="58" spans="1:29" ht="15.6" x14ac:dyDescent="0.3">
      <c r="A58" s="125">
        <f>+A19</f>
        <v>1</v>
      </c>
      <c r="B58" s="125">
        <f>+B19</f>
        <v>0</v>
      </c>
      <c r="Y58" s="131">
        <f>IF(ISNA(MATCH(Y$9,Y53:Y57,0))=TRUE,0,MATCH(Y$9,Y53:Y57,0))</f>
        <v>0</v>
      </c>
      <c r="Z58" s="131">
        <f>IF(ISNA(MATCH(Z$9,Z53:Z57,0))=TRUE,0,MATCH(Z$9,Z53:Z57,0))</f>
        <v>0</v>
      </c>
      <c r="AA58" s="131"/>
      <c r="AB58" s="144">
        <f>SUM(Y58:AA58)</f>
        <v>0</v>
      </c>
      <c r="AC58" s="145">
        <f>IF($H$39&lt;=T49,1,IF($H$39&lt;=U49,2,0))</f>
        <v>0</v>
      </c>
    </row>
    <row r="59" spans="1:29" x14ac:dyDescent="0.3">
      <c r="AB59" t="s">
        <v>366</v>
      </c>
      <c r="AC59" t="s">
        <v>367</v>
      </c>
    </row>
    <row r="62" spans="1:29" hidden="1" x14ac:dyDescent="0.3">
      <c r="F62" t="s">
        <v>369</v>
      </c>
    </row>
    <row r="63" spans="1:29" ht="16.2" hidden="1" thickBot="1" x14ac:dyDescent="0.35">
      <c r="E63" s="120"/>
      <c r="F63" s="120" t="s">
        <v>370</v>
      </c>
      <c r="G63" s="120" t="s">
        <v>371</v>
      </c>
      <c r="H63" s="120" t="s">
        <v>360</v>
      </c>
      <c r="J63" s="113">
        <f>SUM(J64:J68)</f>
        <v>1</v>
      </c>
      <c r="K63" s="150" t="s">
        <v>372</v>
      </c>
    </row>
    <row r="64" spans="1:29" ht="16.8" hidden="1" thickTop="1" thickBot="1" x14ac:dyDescent="0.35">
      <c r="E64" s="126" t="s">
        <v>361</v>
      </c>
      <c r="F64" s="128">
        <v>0.03</v>
      </c>
      <c r="G64" s="128">
        <v>0.04</v>
      </c>
      <c r="H64" s="128">
        <v>0.05</v>
      </c>
      <c r="J64" s="113">
        <f>SUM(F64:I64)</f>
        <v>0.12000000000000001</v>
      </c>
      <c r="K64" s="114">
        <v>0.02</v>
      </c>
      <c r="L64" s="114">
        <f>+SUM(F73:H73)/J64</f>
        <v>1.7499999999999998E-2</v>
      </c>
    </row>
    <row r="65" spans="5:13" ht="16.2" hidden="1" thickBot="1" x14ac:dyDescent="0.35">
      <c r="E65" s="132" t="s">
        <v>362</v>
      </c>
      <c r="F65" s="151">
        <v>0.06</v>
      </c>
      <c r="G65" s="151">
        <v>7.0000000000000007E-2</v>
      </c>
      <c r="H65" s="151">
        <v>0.08</v>
      </c>
      <c r="J65" s="113">
        <f>SUM(F65:I65)</f>
        <v>0.21000000000000002</v>
      </c>
      <c r="K65" s="114">
        <f>+K64+0.4%</f>
        <v>2.4E-2</v>
      </c>
      <c r="L65" s="114">
        <f>+SUM(F74:H74)/J65</f>
        <v>1.8571428571428572E-2</v>
      </c>
      <c r="M65" s="113">
        <f>+L65-L64</f>
        <v>1.0714285714285739E-3</v>
      </c>
    </row>
    <row r="66" spans="5:13" ht="16.2" hidden="1" thickBot="1" x14ac:dyDescent="0.35">
      <c r="E66" s="135" t="s">
        <v>363</v>
      </c>
      <c r="F66" s="151">
        <v>0.09</v>
      </c>
      <c r="G66" s="151">
        <v>0.1</v>
      </c>
      <c r="H66" s="151">
        <v>0.12</v>
      </c>
      <c r="J66" s="113">
        <f>SUM(F66:I66)</f>
        <v>0.31</v>
      </c>
      <c r="K66" s="114">
        <f>+K65+0.4%</f>
        <v>2.8000000000000001E-2</v>
      </c>
      <c r="L66" s="114">
        <f>+SUM(F75:H75)/J66</f>
        <v>1.8387096774193548E-2</v>
      </c>
      <c r="M66" s="113">
        <f>+L66-L65</f>
        <v>-1.8433179723502391E-4</v>
      </c>
    </row>
    <row r="67" spans="5:13" ht="16.2" hidden="1" thickBot="1" x14ac:dyDescent="0.35">
      <c r="E67" s="132" t="s">
        <v>364</v>
      </c>
      <c r="F67" s="151">
        <v>0.05</v>
      </c>
      <c r="G67" s="151">
        <v>0.1</v>
      </c>
      <c r="H67" s="151">
        <v>0.12</v>
      </c>
      <c r="J67" s="113">
        <f>SUM(F67:I67)</f>
        <v>0.27</v>
      </c>
      <c r="K67" s="114">
        <f>+K66+0.4%</f>
        <v>3.2000000000000001E-2</v>
      </c>
      <c r="L67" s="114">
        <f>+SUM(F76:H76)/J67</f>
        <v>1.6666666666666666E-2</v>
      </c>
      <c r="M67" s="113">
        <f>+L67-L66</f>
        <v>-1.7204301075268817E-3</v>
      </c>
    </row>
    <row r="68" spans="5:13" ht="16.2" hidden="1" thickBot="1" x14ac:dyDescent="0.35">
      <c r="E68" s="135" t="s">
        <v>365</v>
      </c>
      <c r="F68" s="151">
        <v>0.02</v>
      </c>
      <c r="G68" s="151">
        <v>0.03</v>
      </c>
      <c r="H68" s="151">
        <v>0.04</v>
      </c>
      <c r="J68" s="113">
        <f>SUM(F68:I68)</f>
        <v>0.09</v>
      </c>
      <c r="K68" s="114">
        <f>+K67+0.4%</f>
        <v>3.6000000000000004E-2</v>
      </c>
      <c r="L68" s="114">
        <f>+SUM(F77:H77)/J68</f>
        <v>1.6666666666666666E-2</v>
      </c>
      <c r="M68" s="113">
        <f>+L68-L67</f>
        <v>0</v>
      </c>
    </row>
    <row r="69" spans="5:13" hidden="1" x14ac:dyDescent="0.3">
      <c r="K69" s="116">
        <f>+SUMPRODUCT(J64:J68,K64:K68)</f>
        <v>2.8000000000000004E-2</v>
      </c>
      <c r="L69" s="114">
        <f>+SUMPRODUCT(J64:J68,L64:L68)</f>
        <v>1.77E-2</v>
      </c>
    </row>
    <row r="70" spans="5:13" hidden="1" x14ac:dyDescent="0.3"/>
    <row r="71" spans="5:13" hidden="1" x14ac:dyDescent="0.3">
      <c r="F71" t="s">
        <v>373</v>
      </c>
    </row>
    <row r="72" spans="5:13" ht="16.2" hidden="1" thickBot="1" x14ac:dyDescent="0.35">
      <c r="E72" s="120"/>
      <c r="F72" s="120" t="s">
        <v>370</v>
      </c>
      <c r="G72" s="120" t="s">
        <v>371</v>
      </c>
      <c r="H72" s="120" t="s">
        <v>360</v>
      </c>
    </row>
    <row r="73" spans="5:13" ht="16.8" hidden="1" thickTop="1" thickBot="1" x14ac:dyDescent="0.35">
      <c r="E73" s="126" t="s">
        <v>361</v>
      </c>
      <c r="F73" s="128">
        <f t="shared" ref="F73:H77" si="21">+F64*F13</f>
        <v>8.9999999999999998E-4</v>
      </c>
      <c r="G73" s="128">
        <f t="shared" si="21"/>
        <v>1.1999999999999999E-3</v>
      </c>
      <c r="H73" s="128">
        <f t="shared" si="21"/>
        <v>0</v>
      </c>
    </row>
    <row r="74" spans="5:13" ht="16.8" hidden="1" thickTop="1" thickBot="1" x14ac:dyDescent="0.35">
      <c r="E74" s="132" t="s">
        <v>362</v>
      </c>
      <c r="F74" s="128">
        <f t="shared" si="21"/>
        <v>1.8E-3</v>
      </c>
      <c r="G74" s="128">
        <f t="shared" si="21"/>
        <v>2.1000000000000003E-3</v>
      </c>
      <c r="H74" s="128">
        <f t="shared" si="21"/>
        <v>0</v>
      </c>
    </row>
    <row r="75" spans="5:13" ht="16.8" hidden="1" thickTop="1" thickBot="1" x14ac:dyDescent="0.35">
      <c r="E75" s="135" t="s">
        <v>363</v>
      </c>
      <c r="F75" s="128">
        <f t="shared" si="21"/>
        <v>2.6999999999999997E-3</v>
      </c>
      <c r="G75" s="128">
        <f t="shared" si="21"/>
        <v>3.0000000000000001E-3</v>
      </c>
      <c r="H75" s="128">
        <f t="shared" si="21"/>
        <v>0</v>
      </c>
    </row>
    <row r="76" spans="5:13" ht="16.8" hidden="1" thickTop="1" thickBot="1" x14ac:dyDescent="0.35">
      <c r="E76" s="132" t="s">
        <v>364</v>
      </c>
      <c r="F76" s="128">
        <f t="shared" si="21"/>
        <v>1.5E-3</v>
      </c>
      <c r="G76" s="128">
        <f t="shared" si="21"/>
        <v>3.0000000000000001E-3</v>
      </c>
      <c r="H76" s="128">
        <f t="shared" si="21"/>
        <v>0</v>
      </c>
    </row>
    <row r="77" spans="5:13" ht="16.8" hidden="1" thickTop="1" thickBot="1" x14ac:dyDescent="0.35">
      <c r="E77" s="135" t="s">
        <v>365</v>
      </c>
      <c r="F77" s="128">
        <f t="shared" si="21"/>
        <v>5.9999999999999995E-4</v>
      </c>
      <c r="G77" s="128">
        <f t="shared" si="21"/>
        <v>8.9999999999999998E-4</v>
      </c>
      <c r="H77" s="128">
        <f t="shared" si="21"/>
        <v>0</v>
      </c>
    </row>
    <row r="78" spans="5:13" hidden="1" x14ac:dyDescent="0.3"/>
    <row r="79" spans="5:13" hidden="1" x14ac:dyDescent="0.3"/>
    <row r="80" spans="5:13" hidden="1" x14ac:dyDescent="0.3">
      <c r="F80" s="113">
        <f>SUM(F73:H77)</f>
        <v>1.77E-2</v>
      </c>
    </row>
  </sheetData>
  <sheetProtection selectLockedCells="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4"/>
  <sheetViews>
    <sheetView showRuler="0" zoomScale="70" zoomScaleNormal="70" zoomScalePageLayoutView="70" workbookViewId="0">
      <selection activeCell="A25" sqref="A25"/>
    </sheetView>
  </sheetViews>
  <sheetFormatPr defaultColWidth="9.33203125" defaultRowHeight="15" x14ac:dyDescent="0.35"/>
  <cols>
    <col min="1" max="1" width="44" style="922" customWidth="1"/>
    <col min="2" max="2" width="127" style="921" customWidth="1"/>
    <col min="3" max="3" width="44.44140625" style="7" hidden="1" customWidth="1"/>
    <col min="4" max="4" width="56.33203125" style="7" hidden="1" customWidth="1"/>
    <col min="5" max="5" width="55.33203125" style="7" hidden="1" customWidth="1"/>
    <col min="6" max="57" width="9.33203125" style="7" hidden="1" customWidth="1"/>
    <col min="58" max="145" width="9.33203125" style="7" customWidth="1"/>
    <col min="146" max="16384" width="9.33203125" style="7"/>
  </cols>
  <sheetData>
    <row r="1" spans="1:5" ht="14.4" x14ac:dyDescent="0.25">
      <c r="A1" s="1642" t="s">
        <v>1249</v>
      </c>
      <c r="B1" s="1643"/>
    </row>
    <row r="2" spans="1:5" ht="28.8" x14ac:dyDescent="0.25">
      <c r="A2" s="899" t="s">
        <v>1250</v>
      </c>
      <c r="B2" s="900" t="s">
        <v>1926</v>
      </c>
    </row>
    <row r="3" spans="1:5" ht="29.25" hidden="1" customHeight="1" x14ac:dyDescent="0.25">
      <c r="A3" s="899" t="s">
        <v>1251</v>
      </c>
      <c r="B3" s="901"/>
    </row>
    <row r="4" spans="1:5" ht="14.4" x14ac:dyDescent="0.25">
      <c r="A4" s="1644" t="s">
        <v>1252</v>
      </c>
      <c r="B4" s="1645"/>
    </row>
    <row r="5" spans="1:5" ht="276.75" customHeight="1" x14ac:dyDescent="0.25">
      <c r="A5" s="899" t="s">
        <v>833</v>
      </c>
      <c r="B5" s="902" t="s">
        <v>1927</v>
      </c>
    </row>
    <row r="6" spans="1:5" ht="296.39999999999998" customHeight="1" x14ac:dyDescent="0.25">
      <c r="A6" s="899" t="s">
        <v>1253</v>
      </c>
      <c r="B6" s="903" t="s">
        <v>1928</v>
      </c>
    </row>
    <row r="7" spans="1:5" ht="37.5" customHeight="1" x14ac:dyDescent="0.25">
      <c r="A7" s="899" t="s">
        <v>1254</v>
      </c>
      <c r="B7" s="903" t="s">
        <v>1353</v>
      </c>
    </row>
    <row r="8" spans="1:5" ht="261.60000000000002" customHeight="1" x14ac:dyDescent="0.25">
      <c r="A8" s="904" t="s">
        <v>1255</v>
      </c>
      <c r="B8" s="905" t="s">
        <v>1929</v>
      </c>
    </row>
    <row r="9" spans="1:5" ht="154.19999999999999" customHeight="1" x14ac:dyDescent="0.25">
      <c r="A9" s="906"/>
      <c r="B9" s="907" t="s">
        <v>1930</v>
      </c>
    </row>
    <row r="10" spans="1:5" ht="169.2" customHeight="1" x14ac:dyDescent="0.25">
      <c r="A10" s="908" t="s">
        <v>1463</v>
      </c>
      <c r="B10" s="909" t="s">
        <v>1774</v>
      </c>
    </row>
    <row r="11" spans="1:5" ht="47.25" customHeight="1" x14ac:dyDescent="0.25">
      <c r="A11" s="899" t="s">
        <v>1464</v>
      </c>
      <c r="B11" s="903" t="s">
        <v>1256</v>
      </c>
    </row>
    <row r="12" spans="1:5" ht="409.5" customHeight="1" x14ac:dyDescent="0.25">
      <c r="A12" s="1648" t="s">
        <v>1465</v>
      </c>
      <c r="B12" s="1650" t="str">
        <f>CONCATENATE("Türelmi idő nélkül: '
Hitel teljes összege: ",TEXT(Hirdetmény!AN23,"# ##0 Ft")," 
Hitel futamideje (törlesztőrészletek száma): 240 hónap 
Ügyleti (bruttó) kamat mértéke: öt éves ÁKKH (jelenleg ",TEXT(Hirdetmény!E39,"0,00%"),") * 130% + 3%, összesen: ",TEXT(Hirdetmény!AA46,"0,00%")," 
Ügyfél által fizetendő (nettó) kamat: 3,00% (a kamattámogatás időszaka alatt) 
Hitelkamat típusa: Kamatperiódusonként (5 évre) rögzített változó kamat. 
A hitel teljes díja: ",TEXT(Hirdetmény!AN25,"# ##0 Ft"),"  (amely magában foglalja: a díjmentes Elektronikus kamatértesítőt; 0 Ft Folyósítási jutalékot; 1 db 42 000 Ft Fedezetértékelési díjat, amely teljes összegben visszatérítésre kerül; 1 db 12 600 Ft Fedezet bejegyzési díjat; 1 db 6 250 Ft "," papír alapú hiteles Tulajdoni lap díjat; 0,00%, 0 Ft max. 0 Ft Hiteltörlesztés beszedési díjat és a Sztár számlacsomag 0 Ft Számlavezetési díját) 
A fogyasztó által fizetendő teljes összeg: ",TEXT(Hirdetmény!AN26,"# ##0 Ft")," 
Törlesztőrészlet összege: ",TEXT(Hirdetmény!AP223,"# ##0 Ft")," 
A teljes hiteldíj mutató (THM): ",TEXT(Hirdetmény!AN27,"0,00%"),"
A reprezentatív példa államilag támogatott Otthonteremtési Kamattámogatású Jelzáloghitel esetében a papír alapú tulajdoni lap díját figyelembe véve, a kölcsön egyösszegű folyósítását és GRÁNIT Sztár számlacsomag igénylését feltételezve készült. ","
A THM meghatározása az aktuális feltételek, illetve a hatályos jogszabályok figyelembevételével történt és a feltételek változása esetén mértéke módosulhat. 
A THM mutató mértéke nem tükrözi a hitel kamatkockázatát. ","
A kamattámogatás nyújtásának feltétele, hogy az ügyfél ne rendelkezzen lejárt tőketartozással illetve az esetlegesen vállalt gyermekek a gyermekvállalási határidő lejárta előtt megszülessenek. ","
Lejárt tőketartozásnak minősül a kölcsönszerződés felmondása miatt esedékessé vált tőketartozás, valamint a fel nem mondott kölcsönszerződésből eredő lejárt tőketartozás, amelynek törlesztési késedelme a 30 napot meghaladja.","
Türelmi idővel: '
Hitel teljes összege: ",TEXT(Hirdetmény!AN23,"# ##0 Ft")," 
Hitel futamideje (törlesztőrészletek száma): 240 hónap 
Ügyleti (bruttó) kamat mértéke: öt éves ÁKKH (jelenleg ",TEXT(Hirdetmény!E39,"0,00%"),") * 130% + 3%, összesen: ",TEXT(Hirdetmény!AA46,"0,00%")," 
Ügyfél által fizetendő (nettó) kamat: 3,00% (a kamattámogatás időszaka alatt) 
Hitelkamat típusa: Kamatperiódusonként (5 évre) rögzített változó kamat. 
A hitel teljes díja: ",TEXT(Hirdetmény!AN28,"# ##0 Ft"),"  (amely magában foglalja: a díjmentes Elektronikus kamatértesítőt; 0 Ft Folyósítási jutalékot; 1 db 42 000 Ft Fedezetértékelési díjat, amely teljes összegben visszatérítésre kerül; 1 db 12 600 Ft Fedezet bejegyzési díjat; 1 db 6 250 Ft ","  hiteles papír alapú Tulajdoni lap díjat; 0,00%, 0 Ft max. 0 Ft Hiteltörlesztés beszedési díjat és a Sztár számlacsomag 0 Ft Számlavezetési díját) 
A fogyasztó által fizetendő teljes összeg: ",TEXT(Hirdetmény!AN29,"# ##0 Ft")," 
Törlesztőrészlet összege: ",TEXT(Hirdetmény!AZ247,"# ##0 Ft")," 
Törlesztőrészlet a türelmi idő alatt: ",TEXT(Hirdetmény!AZ223,"# ##0 Ft")," 
A teljes hiteldíj mutató (THM): ",TEXT(Hirdetmény!AN30,"0,00%"),"
A reprezentatív példa államilag támogatott Otthonteremtési Kamattámogatású Jelzáloghitel esetében a papír alapú tulajdoni lap díját figyelembe véve, a kölcsön egyösszegű folyósítását és GRÁNIT Sztár számlacsomag igénylését feltételezve készült. ","
A THM meghatározása az aktuális feltételek, illetve a hatályos jogszabályok figyelembevételével történt és a feltételek változása esetén mértéke módosulhat. 
A THM mutató mértéke nem tükrözi a hitel kamatkockázatát. ","
A kamattámogatás nyújtásának feltétele, hogy az ügyfél ne rendelkezzen lejárt tőketartozással illetve az esetlegesen vállalt gyermekek a gyermekvállalási határidő lejárta előtt megszülessenek. ","
Lejárt tőketartozásnak minősül a kölcsönszerződés felmondása miatt esedékessé vált tőketartozás, valamint a fel nem mondott kölcsönszerződésből eredő lejárt tőketartozás, amelynek törlesztési késedelme a 30 napot meghaladja.")</f>
        <v>Türelmi idő nélkül: '
Hitel teljes összege: 12 000 000 Ft 
Hitel futamideje (törlesztőrészletek száma): 240 hónap 
Ügyleti (bruttó) kamat mértéke: öt éves ÁKKH (jelenleg 8,00%) * 130% + 3%, összesen: 13,40% 
Ügyfél által fizetendő (nettó) kamat: 3,00% (a kamattámogatás időszaka alatt) 
Hitelkamat típusa: Kamatperiódusonként (5 évre) rögzített változó kamat. 
A hitel teljes díja: 4 048 149 Ft  (amely magában foglalja: a díjmentes Elektronikus kamatértesítőt; 0 Ft Folyósítási jutalékot; 1 db 42 000 Ft Fedezetértékelési díjat, amely teljes összegben visszatérítésre kerül; 1 db 12 600 Ft Fedezet bejegyzési díjat; 1 db 6 250 Ft  papír alapú hiteles Tulajdoni lap díjat; 0,00%, 0 Ft max. 0 Ft Hiteltörlesztés beszedési díjat és a Sztár számlacsomag 0 Ft Számlavezetési díját) 
A fogyasztó által fizetendő teljes összeg: 16 048 149 Ft 
Törlesztőrészlet összege: 66 802 Ft 
A teljes hiteldíj mutató (THM): 3,10%
A reprezentatív példa államilag támogatott Otthonteremtési Kamattámogatású Jelzáloghitel esetében a papír alapú tulajdoni lap díját figyelembe véve, a kölcsön egyösszegű folyósítását és GRÁNIT Sztár számlacsomag igénylését feltételezve készült. 
A THM meghatározása az aktuális feltételek, illetve a hatályos jogszabályok figyelembevételével történt és a feltételek változása esetén mértéke módosulhat. 
A THM mutató mértéke nem tükrözi a hitel kamatkockázatát. 
A kamattámogatás nyújtásának feltétele, hogy az ügyfél ne rendelkezzen lejárt tőketartozással illetve az esetlegesen vállalt gyermekek a gyermekvállalási határidő lejárta előtt megszülessenek. 
Lejárt tőketartozásnak minősül a kölcsönszerződés felmondása miatt esedékessé vált tőketartozás, valamint a fel nem mondott kölcsönszerződésből eredő lejárt tőketartozás, amelynek törlesztési késedelme a 30 napot meghaladja.
Türelmi idővel: '
Hitel teljes összege: 12 000 000 Ft 
Hitel futamideje (törlesztőrészletek száma): 240 hónap 
Ügyleti (bruttó) kamat mértéke: öt éves ÁKKH (jelenleg 8,00%) * 130% + 3%, összesen: 13,40% 
Ügyfél által fizetendő (nettó) kamat: 3,00% (a kamattámogatás időszaka alatt) 
Hitelkamat típusa: Kamatperiódusonként (5 évre) rögzített változó kamat. 
A hitel teljes díja: 4 343 698 Ft  (amely magában foglalja: a díjmentes Elektronikus kamatértesítőt; 0 Ft Folyósítási jutalékot; 1 db 42 000 Ft Fedezetértékelési díjat, amely teljes összegben visszatérítésre kerül; 1 db 12 600 Ft Fedezet bejegyzési díjat; 1 db 6 250 Ft   hiteles papír alapú Tulajdoni lap díjat; 0,00%, 0 Ft max. 0 Ft Hiteltörlesztés beszedési díjat és a Sztár számlacsomag 0 Ft Számlavezetési díját) 
A fogyasztó által fizetendő teljes összeg: 16 343 698 Ft 
Törlesztőrészlet összege: 72 213 Ft 
Törlesztőrészlet a türelmi idő alatt: 30 417 Ft 
A teljes hiteldíj mutató (THM): 3,10%
A reprezentatív példa államilag támogatott Otthonteremtési Kamattámogatású Jelzáloghitel esetében a papír alapú tulajdoni lap díját figyelembe véve, a kölcsön egyösszegű folyósítását és GRÁNIT Sztár számlacsomag igénylését feltételezve készült. 
A THM meghatározása az aktuális feltételek, illetve a hatályos jogszabályok figyelembevételével történt és a feltételek változása esetén mértéke módosulhat. 
A THM mutató mértéke nem tükrözi a hitel kamatkockázatát. 
A kamattámogatás nyújtásának feltétele, hogy az ügyfél ne rendelkezzen lejárt tőketartozással illetve az esetlegesen vállalt gyermekek a gyermekvállalási határidő lejárta előtt megszülessenek. 
Lejárt tőketartozásnak minősül a kölcsönszerződés felmondása miatt esedékessé vált tőketartozás, valamint a fel nem mondott kölcsönszerződésből eredő lejárt tőketartozás, amelynek törlesztési késedelme a 30 napot meghaladja.</v>
      </c>
      <c r="C12" s="1641"/>
      <c r="D12" s="583"/>
      <c r="E12" s="583"/>
    </row>
    <row r="13" spans="1:5" ht="270" customHeight="1" x14ac:dyDescent="0.25">
      <c r="A13" s="1649"/>
      <c r="B13" s="1651"/>
      <c r="C13" s="1641"/>
      <c r="D13" s="583"/>
      <c r="E13" s="583"/>
    </row>
    <row r="14" spans="1:5" ht="320.39999999999998" customHeight="1" x14ac:dyDescent="0.25">
      <c r="A14" s="899" t="s">
        <v>1466</v>
      </c>
      <c r="B14" s="903" t="s">
        <v>1903</v>
      </c>
    </row>
    <row r="15" spans="1:5" ht="76.5" customHeight="1" x14ac:dyDescent="0.25">
      <c r="A15" s="899" t="s">
        <v>1467</v>
      </c>
      <c r="B15" s="910" t="s">
        <v>1257</v>
      </c>
    </row>
    <row r="16" spans="1:5" ht="231.6" customHeight="1" x14ac:dyDescent="0.25">
      <c r="A16" s="899" t="s">
        <v>1468</v>
      </c>
      <c r="B16" s="911" t="s">
        <v>1931</v>
      </c>
    </row>
    <row r="17" spans="1:2" ht="81.75" customHeight="1" x14ac:dyDescent="0.25">
      <c r="A17" s="899" t="s">
        <v>1469</v>
      </c>
      <c r="B17" s="903" t="s">
        <v>1475</v>
      </c>
    </row>
    <row r="18" spans="1:2" ht="245.4" customHeight="1" x14ac:dyDescent="0.25">
      <c r="A18" s="899" t="s">
        <v>1470</v>
      </c>
      <c r="B18" s="903" t="s">
        <v>1932</v>
      </c>
    </row>
    <row r="19" spans="1:2" ht="229.2" customHeight="1" x14ac:dyDescent="0.25">
      <c r="A19" s="899" t="s">
        <v>1471</v>
      </c>
      <c r="B19" s="903" t="s">
        <v>1474</v>
      </c>
    </row>
    <row r="20" spans="1:2" ht="244.2" customHeight="1" x14ac:dyDescent="0.25">
      <c r="A20" s="904" t="s">
        <v>1472</v>
      </c>
      <c r="B20" s="912" t="s">
        <v>1775</v>
      </c>
    </row>
    <row r="21" spans="1:2" ht="67.2" customHeight="1" x14ac:dyDescent="0.25">
      <c r="A21" s="913" t="s">
        <v>1473</v>
      </c>
      <c r="B21" s="914" t="s">
        <v>1933</v>
      </c>
    </row>
    <row r="22" spans="1:2" ht="14.4" x14ac:dyDescent="0.25">
      <c r="A22" s="915"/>
      <c r="B22" s="916"/>
    </row>
    <row r="23" spans="1:2" ht="43.5" customHeight="1" x14ac:dyDescent="0.3">
      <c r="A23" s="1646" t="s">
        <v>1258</v>
      </c>
      <c r="B23" s="1647"/>
    </row>
    <row r="25" spans="1:2" ht="23.25" customHeight="1" x14ac:dyDescent="0.3">
      <c r="A25" s="917" t="s">
        <v>1122</v>
      </c>
      <c r="B25" s="847"/>
    </row>
    <row r="26" spans="1:2" ht="23.25" customHeight="1" x14ac:dyDescent="0.3">
      <c r="A26" s="917" t="s">
        <v>337</v>
      </c>
      <c r="B26" s="847"/>
    </row>
    <row r="27" spans="1:2" ht="23.25" customHeight="1" x14ac:dyDescent="0.3">
      <c r="A27" s="917" t="s">
        <v>1123</v>
      </c>
      <c r="B27" s="847"/>
    </row>
    <row r="28" spans="1:2" ht="14.4" x14ac:dyDescent="0.3">
      <c r="A28" s="847"/>
      <c r="B28" s="918" t="s">
        <v>834</v>
      </c>
    </row>
    <row r="29" spans="1:2" ht="16.2" x14ac:dyDescent="0.35">
      <c r="A29" s="847"/>
      <c r="B29" s="919" t="s">
        <v>339</v>
      </c>
    </row>
    <row r="30" spans="1:2" ht="14.4" x14ac:dyDescent="0.3">
      <c r="A30" s="775"/>
      <c r="B30" s="847"/>
    </row>
    <row r="31" spans="1:2" ht="16.2" x14ac:dyDescent="0.35">
      <c r="A31" s="920" t="s">
        <v>1417</v>
      </c>
      <c r="B31" s="847"/>
    </row>
    <row r="32" spans="1:2" ht="16.2" x14ac:dyDescent="0.35">
      <c r="A32" s="890"/>
    </row>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row r="60" hidden="1" x14ac:dyDescent="0.35"/>
    <row r="61" hidden="1" x14ac:dyDescent="0.35"/>
    <row r="62" hidden="1" x14ac:dyDescent="0.35"/>
    <row r="63" hidden="1" x14ac:dyDescent="0.35"/>
    <row r="64" hidden="1" x14ac:dyDescent="0.35"/>
    <row r="65" hidden="1" x14ac:dyDescent="0.35"/>
    <row r="66" hidden="1" x14ac:dyDescent="0.35"/>
    <row r="67" hidden="1" x14ac:dyDescent="0.35"/>
    <row r="68" hidden="1" x14ac:dyDescent="0.35"/>
    <row r="69" hidden="1" x14ac:dyDescent="0.35"/>
    <row r="70" hidden="1" x14ac:dyDescent="0.35"/>
    <row r="71" hidden="1" x14ac:dyDescent="0.35"/>
    <row r="72" hidden="1" x14ac:dyDescent="0.35"/>
    <row r="73" hidden="1" x14ac:dyDescent="0.35"/>
    <row r="74" hidden="1" x14ac:dyDescent="0.35"/>
    <row r="75" hidden="1" x14ac:dyDescent="0.35"/>
    <row r="76" hidden="1" x14ac:dyDescent="0.35"/>
    <row r="77" hidden="1" x14ac:dyDescent="0.35"/>
    <row r="78" hidden="1" x14ac:dyDescent="0.35"/>
    <row r="79" hidden="1" x14ac:dyDescent="0.35"/>
    <row r="80" hidden="1" x14ac:dyDescent="0.35"/>
    <row r="81" hidden="1" x14ac:dyDescent="0.35"/>
    <row r="82" hidden="1" x14ac:dyDescent="0.35"/>
    <row r="83" hidden="1" x14ac:dyDescent="0.35"/>
    <row r="84" hidden="1" x14ac:dyDescent="0.35"/>
    <row r="85" hidden="1" x14ac:dyDescent="0.35"/>
    <row r="86" hidden="1" x14ac:dyDescent="0.35"/>
    <row r="87" hidden="1" x14ac:dyDescent="0.35"/>
    <row r="88" hidden="1" x14ac:dyDescent="0.35"/>
    <row r="89" hidden="1" x14ac:dyDescent="0.35"/>
    <row r="90" hidden="1" x14ac:dyDescent="0.35"/>
    <row r="91" hidden="1" x14ac:dyDescent="0.35"/>
    <row r="92" hidden="1" x14ac:dyDescent="0.35"/>
    <row r="93" hidden="1" x14ac:dyDescent="0.35"/>
    <row r="94" hidden="1" x14ac:dyDescent="0.35"/>
    <row r="95" hidden="1" x14ac:dyDescent="0.35"/>
    <row r="96"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hidden="1" x14ac:dyDescent="0.35"/>
    <row r="114" hidden="1" x14ac:dyDescent="0.35"/>
    <row r="115" hidden="1" x14ac:dyDescent="0.35"/>
    <row r="116" hidden="1" x14ac:dyDescent="0.35"/>
    <row r="117" hidden="1" x14ac:dyDescent="0.35"/>
    <row r="118" hidden="1" x14ac:dyDescent="0.35"/>
    <row r="119" hidden="1" x14ac:dyDescent="0.35"/>
    <row r="120" hidden="1" x14ac:dyDescent="0.35"/>
    <row r="121" hidden="1" x14ac:dyDescent="0.35"/>
    <row r="122" hidden="1" x14ac:dyDescent="0.35"/>
    <row r="123" hidden="1" x14ac:dyDescent="0.35"/>
    <row r="124" hidden="1" x14ac:dyDescent="0.35"/>
    <row r="125" hidden="1" x14ac:dyDescent="0.35"/>
    <row r="126" hidden="1" x14ac:dyDescent="0.35"/>
    <row r="127" hidden="1" x14ac:dyDescent="0.35"/>
    <row r="128"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row r="153" hidden="1" x14ac:dyDescent="0.35"/>
    <row r="154" hidden="1" x14ac:dyDescent="0.35"/>
    <row r="155" hidden="1" x14ac:dyDescent="0.35"/>
    <row r="156" hidden="1" x14ac:dyDescent="0.35"/>
    <row r="157" hidden="1" x14ac:dyDescent="0.35"/>
    <row r="158" hidden="1" x14ac:dyDescent="0.35"/>
    <row r="159" hidden="1" x14ac:dyDescent="0.35"/>
    <row r="160" hidden="1"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8"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row r="201" hidden="1" x14ac:dyDescent="0.35"/>
    <row r="202" hidden="1" x14ac:dyDescent="0.35"/>
    <row r="203" hidden="1" x14ac:dyDescent="0.35"/>
    <row r="204" hidden="1" x14ac:dyDescent="0.35"/>
    <row r="205" hidden="1" x14ac:dyDescent="0.35"/>
    <row r="206" hidden="1" x14ac:dyDescent="0.35"/>
    <row r="207" hidden="1" x14ac:dyDescent="0.35"/>
    <row r="208" hidden="1" x14ac:dyDescent="0.35"/>
    <row r="209" hidden="1" x14ac:dyDescent="0.35"/>
    <row r="210" hidden="1" x14ac:dyDescent="0.35"/>
    <row r="211" hidden="1" x14ac:dyDescent="0.35"/>
    <row r="212" hidden="1" x14ac:dyDescent="0.35"/>
    <row r="213" hidden="1" x14ac:dyDescent="0.35"/>
    <row r="214" hidden="1" x14ac:dyDescent="0.35"/>
    <row r="215" hidden="1" x14ac:dyDescent="0.35"/>
    <row r="216" hidden="1" x14ac:dyDescent="0.35"/>
    <row r="217" hidden="1" x14ac:dyDescent="0.35"/>
    <row r="218" hidden="1" x14ac:dyDescent="0.35"/>
    <row r="219" hidden="1" x14ac:dyDescent="0.35"/>
    <row r="220" hidden="1" x14ac:dyDescent="0.35"/>
    <row r="221" hidden="1" x14ac:dyDescent="0.35"/>
    <row r="222" hidden="1" x14ac:dyDescent="0.35"/>
    <row r="223" hidden="1" x14ac:dyDescent="0.35"/>
    <row r="224" hidden="1" x14ac:dyDescent="0.35"/>
    <row r="225" hidden="1" x14ac:dyDescent="0.35"/>
    <row r="226" hidden="1" x14ac:dyDescent="0.35"/>
    <row r="227" hidden="1" x14ac:dyDescent="0.35"/>
    <row r="228" hidden="1" x14ac:dyDescent="0.35"/>
    <row r="229" hidden="1" x14ac:dyDescent="0.35"/>
    <row r="230" hidden="1" x14ac:dyDescent="0.35"/>
    <row r="231" hidden="1" x14ac:dyDescent="0.35"/>
    <row r="232" hidden="1" x14ac:dyDescent="0.35"/>
    <row r="233" hidden="1" x14ac:dyDescent="0.35"/>
    <row r="234" hidden="1" x14ac:dyDescent="0.35"/>
    <row r="235" hidden="1" x14ac:dyDescent="0.35"/>
    <row r="236" hidden="1" x14ac:dyDescent="0.35"/>
    <row r="237" hidden="1" x14ac:dyDescent="0.35"/>
    <row r="238" hidden="1" x14ac:dyDescent="0.35"/>
    <row r="239" hidden="1" x14ac:dyDescent="0.35"/>
    <row r="240" hidden="1" x14ac:dyDescent="0.35"/>
    <row r="241" hidden="1" x14ac:dyDescent="0.35"/>
    <row r="242" hidden="1" x14ac:dyDescent="0.35"/>
    <row r="243" hidden="1" x14ac:dyDescent="0.35"/>
    <row r="244" hidden="1" x14ac:dyDescent="0.35"/>
    <row r="245" hidden="1" x14ac:dyDescent="0.35"/>
    <row r="246" hidden="1" x14ac:dyDescent="0.35"/>
    <row r="247" hidden="1" x14ac:dyDescent="0.35"/>
    <row r="248" hidden="1" x14ac:dyDescent="0.35"/>
    <row r="249" hidden="1" x14ac:dyDescent="0.35"/>
    <row r="250" hidden="1" x14ac:dyDescent="0.35"/>
    <row r="251" hidden="1" x14ac:dyDescent="0.35"/>
    <row r="252" hidden="1" x14ac:dyDescent="0.35"/>
    <row r="253" hidden="1" x14ac:dyDescent="0.35"/>
    <row r="254" hidden="1" x14ac:dyDescent="0.35"/>
    <row r="255" hidden="1" x14ac:dyDescent="0.35"/>
    <row r="256" hidden="1" x14ac:dyDescent="0.35"/>
    <row r="257" hidden="1" x14ac:dyDescent="0.35"/>
    <row r="258" hidden="1" x14ac:dyDescent="0.35"/>
    <row r="259" hidden="1" x14ac:dyDescent="0.35"/>
    <row r="260" hidden="1" x14ac:dyDescent="0.35"/>
    <row r="261" hidden="1" x14ac:dyDescent="0.35"/>
    <row r="262" hidden="1" x14ac:dyDescent="0.35"/>
    <row r="263" hidden="1" x14ac:dyDescent="0.35"/>
    <row r="264" hidden="1" x14ac:dyDescent="0.35"/>
    <row r="265" hidden="1" x14ac:dyDescent="0.35"/>
    <row r="266" hidden="1" x14ac:dyDescent="0.35"/>
    <row r="267" hidden="1" x14ac:dyDescent="0.35"/>
    <row r="268" hidden="1" x14ac:dyDescent="0.35"/>
    <row r="269" hidden="1" x14ac:dyDescent="0.35"/>
    <row r="270" hidden="1" x14ac:dyDescent="0.35"/>
    <row r="271" hidden="1" x14ac:dyDescent="0.35"/>
    <row r="272" hidden="1" x14ac:dyDescent="0.35"/>
    <row r="273" hidden="1" x14ac:dyDescent="0.35"/>
    <row r="274" hidden="1" x14ac:dyDescent="0.35"/>
    <row r="275" hidden="1" x14ac:dyDescent="0.35"/>
    <row r="276" hidden="1" x14ac:dyDescent="0.35"/>
    <row r="277" hidden="1" x14ac:dyDescent="0.35"/>
    <row r="278" hidden="1" x14ac:dyDescent="0.35"/>
    <row r="279" hidden="1" x14ac:dyDescent="0.35"/>
    <row r="280" hidden="1" x14ac:dyDescent="0.35"/>
    <row r="281" hidden="1" x14ac:dyDescent="0.35"/>
    <row r="282" hidden="1" x14ac:dyDescent="0.35"/>
    <row r="283" hidden="1" x14ac:dyDescent="0.35"/>
    <row r="284" hidden="1" x14ac:dyDescent="0.35"/>
    <row r="285" hidden="1" x14ac:dyDescent="0.35"/>
    <row r="286" hidden="1" x14ac:dyDescent="0.35"/>
    <row r="287" hidden="1" x14ac:dyDescent="0.35"/>
    <row r="288" hidden="1" x14ac:dyDescent="0.35"/>
    <row r="289" hidden="1" x14ac:dyDescent="0.35"/>
    <row r="290" hidden="1" x14ac:dyDescent="0.35"/>
    <row r="291" hidden="1" x14ac:dyDescent="0.35"/>
    <row r="292" hidden="1" x14ac:dyDescent="0.35"/>
    <row r="293" hidden="1" x14ac:dyDescent="0.35"/>
    <row r="294" hidden="1" x14ac:dyDescent="0.35"/>
    <row r="295" hidden="1" x14ac:dyDescent="0.35"/>
    <row r="296" hidden="1" x14ac:dyDescent="0.35"/>
    <row r="297" hidden="1" x14ac:dyDescent="0.35"/>
    <row r="298" hidden="1" x14ac:dyDescent="0.35"/>
    <row r="299" hidden="1" x14ac:dyDescent="0.35"/>
    <row r="300" hidden="1" x14ac:dyDescent="0.35"/>
    <row r="301" hidden="1" x14ac:dyDescent="0.35"/>
    <row r="302" hidden="1" x14ac:dyDescent="0.35"/>
    <row r="303" hidden="1" x14ac:dyDescent="0.35"/>
    <row r="304" hidden="1" x14ac:dyDescent="0.35"/>
    <row r="305" hidden="1" x14ac:dyDescent="0.35"/>
    <row r="306" hidden="1" x14ac:dyDescent="0.35"/>
    <row r="307" hidden="1" x14ac:dyDescent="0.35"/>
    <row r="308" hidden="1" x14ac:dyDescent="0.35"/>
    <row r="309" hidden="1" x14ac:dyDescent="0.35"/>
    <row r="310" hidden="1" x14ac:dyDescent="0.35"/>
    <row r="311" hidden="1" x14ac:dyDescent="0.35"/>
    <row r="312" hidden="1" x14ac:dyDescent="0.35"/>
    <row r="313" hidden="1" x14ac:dyDescent="0.35"/>
    <row r="314" hidden="1" x14ac:dyDescent="0.35"/>
  </sheetData>
  <sheetProtection algorithmName="SHA-512" hashValue="UZ7+YGANV725BOK18SmbZaCS6IpXpg35MpuO30eQqTnXa17TvRQWp9djRO7JFOJl0lLhKgZZO7lJh/oXFm0ktg==" saltValue="MwgkwPE0BB1WlERDernCmA==" spinCount="100000" sheet="1" selectLockedCells="1"/>
  <mergeCells count="6">
    <mergeCell ref="C12:C13"/>
    <mergeCell ref="A1:B1"/>
    <mergeCell ref="A4:B4"/>
    <mergeCell ref="A23:B23"/>
    <mergeCell ref="A12:A13"/>
    <mergeCell ref="B12:B13"/>
  </mergeCells>
  <printOptions horizontalCentered="1"/>
  <pageMargins left="0.31496062992125984" right="0.31496062992125984" top="1.0236220472440944" bottom="0.15748031496062992" header="0.35433070866141736" footer="0.31496062992125984"/>
  <pageSetup paperSize="9" scale="37" fitToHeight="2" orientation="portrait" r:id="rId1"/>
  <headerFooter>
    <oddHeader>&amp;L&amp;G&amp;C&amp;"Trebuchet MS,Félkövér"&amp;K000000Általános tájékoztató a jelzáloghitelről 
(a jelzáloghitelre vonatkozó tájékoztatás szabályairól szóló 3/2016. (I. 7.) NGM rendelet alapján)</oddHeader>
    <oddFooter>&amp;P. oldal</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427"/>
  <sheetViews>
    <sheetView zoomScale="77" zoomScaleNormal="77" zoomScaleSheetLayoutView="100" zoomScalePageLayoutView="69" workbookViewId="0">
      <selection activeCell="CX11" sqref="CX11"/>
    </sheetView>
  </sheetViews>
  <sheetFormatPr defaultColWidth="9.33203125" defaultRowHeight="14.4" x14ac:dyDescent="0.3"/>
  <cols>
    <col min="1" max="1" width="29.33203125" style="14" customWidth="1"/>
    <col min="2" max="2" width="32.6640625" style="775" customWidth="1"/>
    <col min="3" max="3" width="32.33203125" style="775" customWidth="1"/>
    <col min="4" max="4" width="27.6640625" style="775" customWidth="1"/>
    <col min="5" max="5" width="29.33203125" style="775" customWidth="1"/>
    <col min="6" max="7" width="27.6640625" style="775" customWidth="1"/>
    <col min="8" max="8" width="2" style="14" customWidth="1"/>
    <col min="9" max="9" width="9.33203125" style="14" hidden="1" customWidth="1"/>
    <col min="10" max="10" width="29" style="14" hidden="1" customWidth="1"/>
    <col min="11" max="11" width="32.6640625" style="14" hidden="1" customWidth="1"/>
    <col min="12" max="12" width="28" style="14" hidden="1" customWidth="1"/>
    <col min="13" max="13" width="30" style="14" hidden="1" customWidth="1"/>
    <col min="14" max="14" width="27.5546875" style="14" hidden="1" customWidth="1"/>
    <col min="15" max="15" width="29" style="11" hidden="1" customWidth="1"/>
    <col min="16" max="16" width="24.33203125" style="11" hidden="1" customWidth="1"/>
    <col min="17" max="17" width="33.44140625" style="11" hidden="1" customWidth="1"/>
    <col min="18" max="99" width="9.33203125" style="11" hidden="1" customWidth="1"/>
    <col min="100" max="124" width="9.33203125" style="11" customWidth="1"/>
    <col min="125" max="147" width="9.33203125" style="14" customWidth="1"/>
    <col min="148" max="16384" width="9.33203125" style="14"/>
  </cols>
  <sheetData>
    <row r="1" spans="1:12" ht="15" thickBot="1" x14ac:dyDescent="0.35">
      <c r="A1" s="550" t="s">
        <v>835</v>
      </c>
      <c r="B1" s="923"/>
      <c r="C1" s="924" t="s">
        <v>645</v>
      </c>
      <c r="J1" s="14" t="s">
        <v>645</v>
      </c>
      <c r="K1" s="14" t="b">
        <f>EXACT($C$1,J1)</f>
        <v>1</v>
      </c>
      <c r="L1" s="14">
        <f>IF(K1=TRUE,1,0)</f>
        <v>1</v>
      </c>
    </row>
    <row r="2" spans="1:12" x14ac:dyDescent="0.3">
      <c r="J2" s="14" t="s">
        <v>646</v>
      </c>
      <c r="K2" s="14" t="b">
        <f>EXACT($C$1,J2)</f>
        <v>0</v>
      </c>
      <c r="L2" s="14">
        <f>IF(K2=TRUE,2,0)</f>
        <v>0</v>
      </c>
    </row>
    <row r="3" spans="1:12" ht="15.6" x14ac:dyDescent="0.3">
      <c r="A3" s="551"/>
      <c r="L3" s="14">
        <f>SUM(L1:L2)</f>
        <v>1</v>
      </c>
    </row>
    <row r="4" spans="1:12" ht="34.5" customHeight="1" x14ac:dyDescent="0.25">
      <c r="A4" s="1652" t="s">
        <v>836</v>
      </c>
      <c r="B4" s="1652"/>
      <c r="C4" s="1653"/>
      <c r="D4" s="1653"/>
      <c r="E4" s="1653"/>
      <c r="F4" s="1653"/>
      <c r="G4" s="1653"/>
      <c r="J4" s="14" t="s">
        <v>1259</v>
      </c>
      <c r="K4" s="538">
        <f>IF($L$3=1,egyszerűsített_kalkulátor!B41,'komplex kalkulátor'!$E$96)</f>
        <v>1000000</v>
      </c>
    </row>
    <row r="5" spans="1:12" ht="13.8" x14ac:dyDescent="0.25">
      <c r="A5" s="1652" t="s">
        <v>837</v>
      </c>
      <c r="B5" s="1652"/>
      <c r="C5" s="1653"/>
      <c r="D5" s="1653"/>
      <c r="E5" s="1653"/>
      <c r="F5" s="1653"/>
      <c r="G5" s="1653"/>
      <c r="J5" s="14" t="s">
        <v>1260</v>
      </c>
      <c r="K5" s="538">
        <f>+$D$19</f>
        <v>12000000</v>
      </c>
    </row>
    <row r="6" spans="1:12" ht="12" customHeight="1" thickBot="1" x14ac:dyDescent="0.35">
      <c r="A6" s="552"/>
      <c r="B6" s="925"/>
      <c r="C6" s="926"/>
      <c r="D6" s="926"/>
      <c r="E6" s="926"/>
      <c r="F6" s="926"/>
      <c r="G6" s="926"/>
      <c r="J6" s="14" t="s">
        <v>1261</v>
      </c>
      <c r="K6" s="553">
        <f>IF($L$3=1,egyszerűsített_kalkulátor!$F$33,'komplex kalkulátor'!$E$294)</f>
        <v>4048149.0721143493</v>
      </c>
    </row>
    <row r="7" spans="1:12" ht="14.25" customHeight="1" x14ac:dyDescent="0.25">
      <c r="A7" s="1654" t="s">
        <v>1262</v>
      </c>
      <c r="B7" s="927" t="s">
        <v>1263</v>
      </c>
      <c r="C7" s="928">
        <f>+IF(C1="egyszerűsített",egyszerűsített_kalkulátor!B60,'komplex kalkulátor'!G1)</f>
        <v>45170</v>
      </c>
      <c r="D7" s="929" t="s">
        <v>1264</v>
      </c>
      <c r="E7" s="930" t="str">
        <f>+IF($L$3=1,egyszerűsített_kalkulátor!$B$62,'komplex kalkulátor'!$E$34)&amp;" részére készült."</f>
        <v>TESZT ANNA részére készült.</v>
      </c>
      <c r="F7" s="780"/>
      <c r="G7" s="931"/>
      <c r="J7" s="14" t="s">
        <v>1265</v>
      </c>
      <c r="K7" s="553">
        <f>IF($L$3=1,egyszerűsített_kalkulátor!$B$26,'komplex kalkulátor'!$E$279)</f>
        <v>15000000</v>
      </c>
    </row>
    <row r="8" spans="1:12" ht="14.25" customHeight="1" x14ac:dyDescent="0.25">
      <c r="A8" s="1655"/>
      <c r="B8" s="927" t="s">
        <v>1266</v>
      </c>
      <c r="C8" s="932"/>
      <c r="D8" s="933"/>
      <c r="E8" s="934"/>
      <c r="F8" s="780"/>
      <c r="G8" s="931"/>
      <c r="J8" s="14" t="s">
        <v>1267</v>
      </c>
      <c r="K8" s="554" t="str">
        <f>IF($L$3=1,egyszerűsített_kalkulátor!$B$5,'komplex kalkulátor'!$E$6)</f>
        <v>Új hitel felvétele</v>
      </c>
    </row>
    <row r="9" spans="1:12" ht="13.5" customHeight="1" x14ac:dyDescent="0.25">
      <c r="A9" s="1655"/>
      <c r="B9" s="935" t="s">
        <v>1344</v>
      </c>
      <c r="C9" s="936"/>
      <c r="D9" s="936">
        <f>+$C$7+paraméterek!$C$340</f>
        <v>45185</v>
      </c>
      <c r="E9" s="937" t="s">
        <v>1354</v>
      </c>
      <c r="F9" s="938"/>
      <c r="G9" s="939"/>
      <c r="J9" s="14" t="s">
        <v>1023</v>
      </c>
      <c r="K9" s="554" t="str">
        <f>IF($L$3=1,egyszerűsített_kalkulátor!$B$49,'komplex kalkulátor'!$E$23)</f>
        <v>Sztár</v>
      </c>
    </row>
    <row r="10" spans="1:12" ht="32.25" customHeight="1" thickBot="1" x14ac:dyDescent="0.3">
      <c r="A10" s="1655"/>
      <c r="B10" s="1670" t="s">
        <v>1345</v>
      </c>
      <c r="C10" s="1671"/>
      <c r="D10" s="1671"/>
      <c r="E10" s="1671"/>
      <c r="F10" s="1671"/>
      <c r="G10" s="1675"/>
      <c r="J10" s="14" t="s">
        <v>1452</v>
      </c>
      <c r="K10" s="554">
        <f>IF($L$3=1,egyszerűsített_kalkulátor!$F$52,'komplex kalkulátor'!$N$27)</f>
        <v>0</v>
      </c>
    </row>
    <row r="11" spans="1:12" ht="100.5" customHeight="1" thickBot="1" x14ac:dyDescent="0.35">
      <c r="A11" s="555" t="s">
        <v>1268</v>
      </c>
      <c r="B11" s="1656" t="s">
        <v>1934</v>
      </c>
      <c r="C11" s="1657"/>
      <c r="D11" s="1657"/>
      <c r="E11" s="1657"/>
      <c r="F11" s="1657"/>
      <c r="G11" s="1658"/>
    </row>
    <row r="12" spans="1:12" ht="13.5" hidden="1" customHeight="1" x14ac:dyDescent="0.25">
      <c r="A12" s="1654" t="s">
        <v>1269</v>
      </c>
      <c r="B12" s="940" t="s">
        <v>829</v>
      </c>
      <c r="C12" s="1676"/>
      <c r="D12" s="1677"/>
      <c r="E12" s="1678"/>
      <c r="F12" s="941"/>
      <c r="G12" s="942"/>
      <c r="J12" s="556"/>
    </row>
    <row r="13" spans="1:12" ht="13.5" hidden="1" customHeight="1" x14ac:dyDescent="0.25">
      <c r="A13" s="1655"/>
      <c r="B13" s="943" t="s">
        <v>831</v>
      </c>
      <c r="C13" s="1679"/>
      <c r="D13" s="1680"/>
      <c r="E13" s="1681"/>
      <c r="F13" s="944"/>
      <c r="G13" s="945"/>
      <c r="K13" s="557"/>
    </row>
    <row r="14" spans="1:12" ht="15" hidden="1" customHeight="1" x14ac:dyDescent="0.25">
      <c r="A14" s="1655"/>
      <c r="B14" s="943" t="s">
        <v>1270</v>
      </c>
      <c r="C14" s="1682"/>
      <c r="D14" s="1683"/>
      <c r="E14" s="1684"/>
      <c r="F14" s="944"/>
      <c r="G14" s="945"/>
      <c r="J14" s="556"/>
      <c r="K14" s="557"/>
    </row>
    <row r="15" spans="1:12" ht="32.25" hidden="1" customHeight="1" x14ac:dyDescent="0.25">
      <c r="A15" s="1655"/>
      <c r="B15" s="1685" t="s">
        <v>1271</v>
      </c>
      <c r="C15" s="1686"/>
      <c r="D15" s="1686"/>
      <c r="E15" s="1686"/>
      <c r="F15" s="1686"/>
      <c r="G15" s="1687"/>
      <c r="J15" s="556"/>
    </row>
    <row r="16" spans="1:12" ht="14.25" hidden="1" customHeight="1" x14ac:dyDescent="0.25">
      <c r="A16" s="1655"/>
      <c r="B16" s="1670" t="s">
        <v>1272</v>
      </c>
      <c r="C16" s="1671"/>
      <c r="D16" s="1671"/>
      <c r="E16" s="1671"/>
      <c r="F16" s="1671"/>
      <c r="G16" s="1675"/>
    </row>
    <row r="17" spans="1:124" ht="15.75" hidden="1" customHeight="1" x14ac:dyDescent="0.25">
      <c r="A17" s="1655"/>
      <c r="B17" s="943" t="s">
        <v>1273</v>
      </c>
      <c r="C17" s="946">
        <v>0.02</v>
      </c>
      <c r="D17" s="947" t="s">
        <v>1274</v>
      </c>
      <c r="E17" s="948">
        <f>+IF($L$3=1,egyszerűsített_kalkulátor!$B$7*$C$17,'komplex kalkulátor'!$K$4*$C$17)</f>
        <v>240000</v>
      </c>
      <c r="F17" s="947" t="s">
        <v>1275</v>
      </c>
      <c r="G17" s="949"/>
    </row>
    <row r="18" spans="1:124" ht="27.75" hidden="1" customHeight="1" thickBot="1" x14ac:dyDescent="0.3">
      <c r="A18" s="1659"/>
      <c r="B18" s="1672" t="str">
        <f>+"Ennek 80%-a az ún. szerzési jutalék, amely a hitel folyósításakor esedékes, a maradék 20%a az ún. fenntartási jutalék, amely évente egyenlő részletekben esedékes a kölcsön folyósítását követő évtől kezdődően "&amp;IF(D20&gt;240,7,4)&amp;" éven keresztül."</f>
        <v>Ennek 80%-a az ún. szerzési jutalék, amely a hitel folyósításakor esedékes, a maradék 20%a az ún. fenntartási jutalék, amely évente egyenlő részletekben esedékes a kölcsön folyósítását követő évtől kezdődően 4 éven keresztül.</v>
      </c>
      <c r="C18" s="1673"/>
      <c r="D18" s="1673"/>
      <c r="E18" s="1673"/>
      <c r="F18" s="1673"/>
      <c r="G18" s="1674"/>
      <c r="J18" s="558"/>
    </row>
    <row r="19" spans="1:124" ht="14.25" customHeight="1" x14ac:dyDescent="0.25">
      <c r="A19" s="1654" t="s">
        <v>1440</v>
      </c>
      <c r="B19" s="927" t="s">
        <v>1276</v>
      </c>
      <c r="C19" s="927"/>
      <c r="D19" s="950">
        <f>IF($L$3=1,egyszerűsített_kalkulátor!F66,'komplex kalkulátor'!$N$18)</f>
        <v>12000000</v>
      </c>
      <c r="E19" s="951"/>
      <c r="F19" s="927"/>
      <c r="G19" s="952"/>
    </row>
    <row r="20" spans="1:124" ht="14.25" customHeight="1" x14ac:dyDescent="0.25">
      <c r="A20" s="1655"/>
      <c r="B20" s="927" t="s">
        <v>1110</v>
      </c>
      <c r="C20" s="927"/>
      <c r="D20" s="953">
        <f>IF($L$3=1,egyszerűsített_kalkulátor!B10,'komplex kalkulátor'!$K$5)</f>
        <v>240</v>
      </c>
      <c r="E20" s="954"/>
      <c r="F20" s="927"/>
      <c r="G20" s="952"/>
    </row>
    <row r="21" spans="1:124" ht="14.25" customHeight="1" x14ac:dyDescent="0.25">
      <c r="A21" s="1655"/>
      <c r="B21" s="927" t="s">
        <v>1108</v>
      </c>
      <c r="C21" s="954" t="s">
        <v>1355</v>
      </c>
      <c r="D21" s="955" t="str">
        <f>IF($L$3=1,egyszerűsített_kalkulátor!B3,'komplex kalkulátor'!$E$4)</f>
        <v>Lakáscélú hitel</v>
      </c>
      <c r="E21" s="956" t="str">
        <f>+$K$8</f>
        <v>Új hitel felvétele</v>
      </c>
      <c r="F21" s="954" t="str">
        <f>IF(OR(AND(C1=J2,'komplex kalkulátor'!K6="igen"),AND('Személyes tájék'!C1='Személyes tájék'!J1,egyszerűsített_kalkulátor!B15="igen")),"Türelmi idős","")</f>
        <v/>
      </c>
      <c r="G21" s="952"/>
    </row>
    <row r="22" spans="1:124" ht="132.75" customHeight="1" x14ac:dyDescent="0.25">
      <c r="A22" s="1655"/>
      <c r="B22" s="1670" t="str">
        <f>IF(OR(AND(C1=J2,'komplex kalkulátor'!K6="igen"),AND('Személyes tájék'!C1='Személyes tájék'!J1,egyszerűsített_kalkulátor!B15="igen")),K22,J22)</f>
        <v>A kölcsön törlesztése havonta történik, annuitásos törlesztés alkalmazásával.  A Bank a törlesztés esedékességkor - az ügyfél kölcsönszerződésében foglalt felhatalmazása alapján - megterheli a kölcsönfelvevő GRÁNIT Banknál vezetett bankszámláját. 
Annuitásos törlesztés:  Annuitásos kölcsön esetén a hitelfelvevő minden kamatperiódusban azonos összegű törlesztő részletet fizet. Annuitásos törlesztés esetén a futamidő elején a törlesztő részlet nagyobb része kamattartalom, kisebb hányada a tőkét csökkenti. A futamidő előrehaladtával a havi azonos összegű törlesztő részletből egyre nagyobb összeg fordítódik a tőketörlesztésre és fokozatosan mérséklődik a kamattörlesztés nagysága. A  kölcsönt és annak járulékait minden naptári hónap 10. napján esedékes havi törlesztő részletekben kell megfizetni. Az első törlesztés részlet esedékessége az (első rész)folyósítást követő naptári hónap 10. napja. Amennyiben hónap 10-e nem banki munkanap, akkor az azt megelőző utolsó banki munkanapon már biztosítani kell a lakossági bankszámlán a törlesztéshez szükséges fedezetet.</v>
      </c>
      <c r="C22" s="1671"/>
      <c r="D22" s="1671"/>
      <c r="E22" s="1671"/>
      <c r="F22" s="1671"/>
      <c r="G22" s="1675"/>
      <c r="J22" s="286" t="s">
        <v>1847</v>
      </c>
      <c r="K22" s="286" t="s">
        <v>1851</v>
      </c>
    </row>
    <row r="23" spans="1:124" ht="168" customHeight="1" x14ac:dyDescent="0.25">
      <c r="A23" s="1655"/>
      <c r="B23" s="1805" t="s">
        <v>1935</v>
      </c>
      <c r="C23" s="1806"/>
      <c r="D23" s="1806"/>
      <c r="E23" s="1806"/>
      <c r="F23" s="1806"/>
      <c r="G23" s="1807"/>
    </row>
    <row r="24" spans="1:124" ht="138.75" customHeight="1" x14ac:dyDescent="0.25">
      <c r="A24" s="1655"/>
      <c r="B24" s="1670" t="s">
        <v>1936</v>
      </c>
      <c r="C24" s="1671"/>
      <c r="D24" s="1671"/>
      <c r="E24" s="1671"/>
      <c r="F24" s="1671"/>
      <c r="G24" s="1675"/>
    </row>
    <row r="25" spans="1:124" ht="14.25" customHeight="1" x14ac:dyDescent="0.25">
      <c r="A25" s="1655"/>
      <c r="B25" s="1660" t="s">
        <v>1853</v>
      </c>
      <c r="C25" s="1661"/>
      <c r="D25" s="957">
        <f>+$K$5+$K$6</f>
        <v>16048149.072114348</v>
      </c>
      <c r="E25" s="958"/>
      <c r="F25" s="959"/>
      <c r="G25" s="960"/>
    </row>
    <row r="26" spans="1:124" s="559" customFormat="1" ht="19.5" customHeight="1" x14ac:dyDescent="0.3">
      <c r="A26" s="1655"/>
      <c r="B26" s="961" t="s">
        <v>1277</v>
      </c>
      <c r="C26" s="962">
        <f>+$K$5</f>
        <v>12000000</v>
      </c>
      <c r="D26" s="937" t="s">
        <v>1278</v>
      </c>
      <c r="E26" s="963"/>
      <c r="F26" s="964">
        <f>+$K$5+$K$6</f>
        <v>16048149.072114348</v>
      </c>
      <c r="G26" s="965" t="s">
        <v>1279</v>
      </c>
      <c r="O26" s="584"/>
      <c r="P26" s="584"/>
      <c r="Q26" s="584"/>
      <c r="R26" s="584"/>
      <c r="S26" s="584"/>
      <c r="T26" s="584"/>
      <c r="U26" s="584"/>
      <c r="V26" s="584"/>
      <c r="W26" s="584"/>
      <c r="X26" s="584"/>
      <c r="Y26" s="584"/>
      <c r="Z26" s="584"/>
      <c r="AA26" s="584"/>
      <c r="AB26" s="584"/>
      <c r="AC26" s="584"/>
      <c r="AD26" s="584"/>
      <c r="AE26" s="584"/>
      <c r="AF26" s="584"/>
      <c r="AG26" s="584"/>
      <c r="AH26" s="584"/>
      <c r="AI26" s="584"/>
      <c r="AJ26" s="584"/>
      <c r="AK26" s="584"/>
      <c r="AL26" s="584"/>
      <c r="AM26" s="584"/>
      <c r="AN26" s="584"/>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4"/>
      <c r="CX26" s="584"/>
      <c r="CY26" s="584"/>
      <c r="CZ26" s="584"/>
      <c r="DA26" s="584"/>
      <c r="DB26" s="584"/>
      <c r="DC26" s="584"/>
      <c r="DD26" s="584"/>
      <c r="DE26" s="584"/>
      <c r="DF26" s="584"/>
      <c r="DG26" s="584"/>
      <c r="DH26" s="584"/>
      <c r="DI26" s="584"/>
      <c r="DJ26" s="584"/>
      <c r="DK26" s="584"/>
      <c r="DL26" s="584"/>
      <c r="DM26" s="584"/>
      <c r="DN26" s="584"/>
      <c r="DO26" s="584"/>
      <c r="DP26" s="584"/>
      <c r="DQ26" s="584"/>
      <c r="DR26" s="584"/>
      <c r="DS26" s="584"/>
      <c r="DT26" s="584"/>
    </row>
    <row r="27" spans="1:124" ht="19.5" customHeight="1" x14ac:dyDescent="0.25">
      <c r="A27" s="1655"/>
      <c r="B27" s="1662" t="s">
        <v>1506</v>
      </c>
      <c r="C27" s="1663"/>
      <c r="D27" s="1663"/>
      <c r="E27" s="1663"/>
      <c r="F27" s="1663"/>
      <c r="G27" s="1664"/>
    </row>
    <row r="28" spans="1:124" ht="31.5" customHeight="1" x14ac:dyDescent="0.25">
      <c r="A28" s="1655"/>
      <c r="B28" s="1665" t="s">
        <v>1432</v>
      </c>
      <c r="C28" s="1666"/>
      <c r="D28" s="1666"/>
      <c r="E28" s="1666"/>
      <c r="F28" s="1666"/>
      <c r="G28" s="1667"/>
    </row>
    <row r="29" spans="1:124" ht="13.5" customHeight="1" x14ac:dyDescent="0.25">
      <c r="A29" s="1655"/>
      <c r="B29" s="1660" t="s">
        <v>1280</v>
      </c>
      <c r="C29" s="1661"/>
      <c r="D29" s="966">
        <f>+$K$7</f>
        <v>15000000</v>
      </c>
      <c r="E29" s="967" t="s">
        <v>1281</v>
      </c>
      <c r="F29" s="1668"/>
      <c r="G29" s="1669"/>
    </row>
    <row r="30" spans="1:124" s="559" customFormat="1" ht="15" customHeight="1" x14ac:dyDescent="0.3">
      <c r="A30" s="1655"/>
      <c r="B30" s="1670" t="s">
        <v>1282</v>
      </c>
      <c r="C30" s="1671"/>
      <c r="D30" s="1671"/>
      <c r="E30" s="947" t="str">
        <f>+IF($E$21="Hitelkiváltás","105%",IF($D$21="Lakáscélú hitel","80%","75%")) &amp;", azaz:"</f>
        <v>80%, azaz:</v>
      </c>
      <c r="F30" s="968">
        <f>+IF($E$21="Hitelkiváltás",$D$29*1.05,IF($D$21="Lakáscélú hitel",$D$29*0.8,$D$29*0.75))</f>
        <v>12000000</v>
      </c>
      <c r="G30" s="965"/>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c r="AL30" s="584"/>
      <c r="AM30" s="584"/>
      <c r="AN30" s="584"/>
      <c r="AO30" s="584"/>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4"/>
      <c r="CX30" s="584"/>
      <c r="CY30" s="584"/>
      <c r="CZ30" s="584"/>
      <c r="DA30" s="584"/>
      <c r="DB30" s="584"/>
      <c r="DC30" s="584"/>
      <c r="DD30" s="584"/>
      <c r="DE30" s="584"/>
      <c r="DF30" s="584"/>
      <c r="DG30" s="584"/>
      <c r="DH30" s="584"/>
      <c r="DI30" s="584"/>
      <c r="DJ30" s="584"/>
      <c r="DK30" s="584"/>
      <c r="DL30" s="584"/>
      <c r="DM30" s="584"/>
      <c r="DN30" s="584"/>
      <c r="DO30" s="584"/>
      <c r="DP30" s="584"/>
      <c r="DQ30" s="584"/>
      <c r="DR30" s="584"/>
      <c r="DS30" s="584"/>
      <c r="DT30" s="584"/>
    </row>
    <row r="31" spans="1:124" ht="30" customHeight="1" thickBot="1" x14ac:dyDescent="0.35">
      <c r="A31" s="1659"/>
      <c r="B31" s="1688" t="s">
        <v>1283</v>
      </c>
      <c r="C31" s="1689"/>
      <c r="D31" s="1689"/>
      <c r="E31" s="1689"/>
      <c r="F31" s="1689"/>
      <c r="G31" s="1690"/>
    </row>
    <row r="32" spans="1:124" ht="14.25" customHeight="1" x14ac:dyDescent="0.25">
      <c r="A32" s="1691" t="s">
        <v>1441</v>
      </c>
      <c r="B32" s="1694" t="s">
        <v>1284</v>
      </c>
      <c r="C32" s="1695"/>
      <c r="D32" s="1695"/>
      <c r="E32" s="1695"/>
      <c r="F32" s="1695"/>
      <c r="G32" s="1696"/>
    </row>
    <row r="33" spans="1:124" s="559" customFormat="1" ht="14.25" customHeight="1" x14ac:dyDescent="0.3">
      <c r="A33" s="1692"/>
      <c r="B33" s="1662" t="s">
        <v>1358</v>
      </c>
      <c r="C33" s="1663"/>
      <c r="D33" s="1663"/>
      <c r="E33" s="969">
        <f>IF($L$3=1,egyszerűsített_kalkulátor!$F$24,'komplex kalkulátor'!$E$293)</f>
        <v>3.0992772469999208E-2</v>
      </c>
      <c r="F33" s="970"/>
      <c r="G33" s="971"/>
      <c r="O33" s="584"/>
      <c r="P33" s="584"/>
      <c r="Q33" s="584"/>
      <c r="R33" s="584"/>
      <c r="S33" s="584"/>
      <c r="T33" s="584"/>
      <c r="U33" s="584"/>
      <c r="V33" s="584"/>
      <c r="W33" s="584"/>
      <c r="X33" s="584"/>
      <c r="Y33" s="584"/>
      <c r="Z33" s="584"/>
      <c r="AA33" s="584"/>
      <c r="AB33" s="584"/>
      <c r="AC33" s="584"/>
      <c r="AD33" s="584"/>
      <c r="AE33" s="584"/>
      <c r="AF33" s="584"/>
      <c r="AG33" s="584"/>
      <c r="AH33" s="584"/>
      <c r="AI33" s="584"/>
      <c r="AJ33" s="584"/>
      <c r="AK33" s="584"/>
      <c r="AL33" s="584"/>
      <c r="AM33" s="584"/>
      <c r="AN33" s="584"/>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c r="CX33" s="584"/>
      <c r="CY33" s="584"/>
      <c r="CZ33" s="584"/>
      <c r="DA33" s="584"/>
      <c r="DB33" s="584"/>
      <c r="DC33" s="584"/>
      <c r="DD33" s="584"/>
      <c r="DE33" s="584"/>
      <c r="DF33" s="584"/>
      <c r="DG33" s="584"/>
      <c r="DH33" s="584"/>
      <c r="DI33" s="584"/>
      <c r="DJ33" s="584"/>
      <c r="DK33" s="584"/>
      <c r="DL33" s="584"/>
      <c r="DM33" s="584"/>
      <c r="DN33" s="584"/>
      <c r="DO33" s="584"/>
      <c r="DP33" s="584"/>
      <c r="DQ33" s="584"/>
      <c r="DR33" s="584"/>
      <c r="DS33" s="584"/>
      <c r="DT33" s="584"/>
    </row>
    <row r="34" spans="1:124" s="559" customFormat="1" ht="14.25" customHeight="1" x14ac:dyDescent="0.3">
      <c r="A34" s="1692"/>
      <c r="B34" s="1662" t="s">
        <v>1360</v>
      </c>
      <c r="C34" s="1663"/>
      <c r="D34" s="1663"/>
      <c r="E34" s="969">
        <f>IF($L$3=1,egyszerűsített_kalkulátor!$X$79,'komplex kalkulátor'!$X$355)</f>
        <v>0.14489675614077413</v>
      </c>
      <c r="F34" s="970"/>
      <c r="G34" s="971"/>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c r="CX34" s="584"/>
      <c r="CY34" s="584"/>
      <c r="CZ34" s="584"/>
      <c r="DA34" s="584"/>
      <c r="DB34" s="584"/>
      <c r="DC34" s="584"/>
      <c r="DD34" s="584"/>
      <c r="DE34" s="584"/>
      <c r="DF34" s="584"/>
      <c r="DG34" s="584"/>
      <c r="DH34" s="584"/>
      <c r="DI34" s="584"/>
      <c r="DJ34" s="584"/>
      <c r="DK34" s="584"/>
      <c r="DL34" s="584"/>
      <c r="DM34" s="584"/>
      <c r="DN34" s="584"/>
      <c r="DO34" s="584"/>
      <c r="DP34" s="584"/>
      <c r="DQ34" s="584"/>
      <c r="DR34" s="584"/>
      <c r="DS34" s="584"/>
      <c r="DT34" s="584"/>
    </row>
    <row r="35" spans="1:124" s="559" customFormat="1" ht="45.75" customHeight="1" x14ac:dyDescent="0.3">
      <c r="A35" s="1692"/>
      <c r="B35" s="1670" t="s">
        <v>1285</v>
      </c>
      <c r="C35" s="1671"/>
      <c r="D35" s="1671"/>
      <c r="E35" s="1671"/>
      <c r="F35" s="1671"/>
      <c r="G35" s="1675"/>
      <c r="O35" s="584"/>
      <c r="P35" s="584"/>
      <c r="Q35" s="584"/>
      <c r="R35" s="584"/>
      <c r="S35" s="584"/>
      <c r="T35" s="584"/>
      <c r="U35" s="584"/>
      <c r="V35" s="584"/>
      <c r="W35" s="584"/>
      <c r="X35" s="584"/>
      <c r="Y35" s="584"/>
      <c r="Z35" s="584"/>
      <c r="AA35" s="584"/>
      <c r="AB35" s="584"/>
      <c r="AC35" s="584"/>
      <c r="AD35" s="584"/>
      <c r="AE35" s="584"/>
      <c r="AF35" s="584"/>
      <c r="AG35" s="584"/>
      <c r="AH35" s="584"/>
      <c r="AI35" s="584"/>
      <c r="AJ35" s="584"/>
      <c r="AK35" s="584"/>
      <c r="AL35" s="584"/>
      <c r="AM35" s="584"/>
      <c r="AN35" s="584"/>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c r="CX35" s="584"/>
      <c r="CY35" s="584"/>
      <c r="CZ35" s="584"/>
      <c r="DA35" s="584"/>
      <c r="DB35" s="584"/>
      <c r="DC35" s="584"/>
      <c r="DD35" s="584"/>
      <c r="DE35" s="584"/>
      <c r="DF35" s="584"/>
      <c r="DG35" s="584"/>
      <c r="DH35" s="584"/>
      <c r="DI35" s="584"/>
      <c r="DJ35" s="584"/>
      <c r="DK35" s="584"/>
      <c r="DL35" s="584"/>
      <c r="DM35" s="584"/>
      <c r="DN35" s="584"/>
      <c r="DO35" s="584"/>
      <c r="DP35" s="584"/>
      <c r="DQ35" s="584"/>
      <c r="DR35" s="584"/>
      <c r="DS35" s="584"/>
      <c r="DT35" s="584"/>
    </row>
    <row r="36" spans="1:124" s="559" customFormat="1" ht="24.75" customHeight="1" x14ac:dyDescent="0.3">
      <c r="A36" s="1692"/>
      <c r="B36" s="972" t="s">
        <v>1286</v>
      </c>
      <c r="C36" s="938"/>
      <c r="D36" s="938"/>
      <c r="E36" s="973"/>
      <c r="F36" s="973"/>
      <c r="G36" s="974"/>
      <c r="O36" s="584"/>
      <c r="P36" s="584"/>
      <c r="Q36" s="584"/>
      <c r="R36" s="584"/>
      <c r="S36" s="584"/>
      <c r="T36" s="584"/>
      <c r="U36" s="584"/>
      <c r="V36" s="584"/>
      <c r="W36" s="584"/>
      <c r="X36" s="584"/>
      <c r="Y36" s="584"/>
      <c r="Z36" s="584"/>
      <c r="AA36" s="584"/>
      <c r="AB36" s="584"/>
      <c r="AC36" s="584"/>
      <c r="AD36" s="584"/>
      <c r="AE36" s="584"/>
      <c r="AF36" s="584"/>
      <c r="AG36" s="584"/>
      <c r="AH36" s="584"/>
      <c r="AI36" s="584"/>
      <c r="AJ36" s="584"/>
      <c r="AK36" s="584"/>
      <c r="AL36" s="584"/>
      <c r="AM36" s="584"/>
      <c r="AN36" s="584"/>
      <c r="AO36" s="584"/>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4"/>
      <c r="CX36" s="584"/>
      <c r="CY36" s="584"/>
      <c r="CZ36" s="584"/>
      <c r="DA36" s="584"/>
      <c r="DB36" s="584"/>
      <c r="DC36" s="584"/>
      <c r="DD36" s="584"/>
      <c r="DE36" s="584"/>
      <c r="DF36" s="584"/>
      <c r="DG36" s="584"/>
      <c r="DH36" s="584"/>
      <c r="DI36" s="584"/>
      <c r="DJ36" s="584"/>
      <c r="DK36" s="584"/>
      <c r="DL36" s="584"/>
      <c r="DM36" s="584"/>
      <c r="DN36" s="584"/>
      <c r="DO36" s="584"/>
      <c r="DP36" s="584"/>
      <c r="DQ36" s="584"/>
      <c r="DR36" s="584"/>
      <c r="DS36" s="584"/>
      <c r="DT36" s="584"/>
    </row>
    <row r="37" spans="1:124" ht="14.25" customHeight="1" x14ac:dyDescent="0.3">
      <c r="A37" s="1692"/>
      <c r="B37" s="975" t="s">
        <v>1287</v>
      </c>
      <c r="C37" s="976"/>
      <c r="D37" s="977"/>
      <c r="E37" s="978"/>
      <c r="F37" s="979"/>
      <c r="G37" s="980"/>
    </row>
    <row r="38" spans="1:124" ht="14.25" customHeight="1" x14ac:dyDescent="0.3">
      <c r="A38" s="1692"/>
      <c r="B38" s="981" t="s">
        <v>1356</v>
      </c>
      <c r="C38" s="976"/>
      <c r="D38" s="977"/>
      <c r="E38" s="969">
        <f>+Hirdetmény!AA44</f>
        <v>0.03</v>
      </c>
      <c r="F38" s="982"/>
      <c r="G38" s="980"/>
    </row>
    <row r="39" spans="1:124" ht="14.25" customHeight="1" x14ac:dyDescent="0.3">
      <c r="A39" s="1692"/>
      <c r="B39" s="981" t="s">
        <v>1357</v>
      </c>
      <c r="C39" s="976"/>
      <c r="D39" s="977"/>
      <c r="E39" s="969">
        <f>+Hirdetmény!AA46</f>
        <v>0.13400000000000001</v>
      </c>
      <c r="F39" s="979"/>
      <c r="G39" s="980"/>
    </row>
    <row r="40" spans="1:124" ht="14.25" customHeight="1" x14ac:dyDescent="0.3">
      <c r="A40" s="1692"/>
      <c r="B40" s="943"/>
      <c r="C40" s="976"/>
      <c r="D40" s="977"/>
      <c r="E40" s="983"/>
      <c r="F40" s="979"/>
      <c r="G40" s="980"/>
    </row>
    <row r="41" spans="1:124" ht="17.25" customHeight="1" x14ac:dyDescent="0.25">
      <c r="A41" s="1692"/>
      <c r="B41" s="1697" t="s">
        <v>1288</v>
      </c>
      <c r="C41" s="1698"/>
      <c r="D41" s="1698"/>
      <c r="E41" s="1698"/>
      <c r="F41" s="1698"/>
      <c r="G41" s="1699"/>
    </row>
    <row r="42" spans="1:124" ht="17.25" customHeight="1" x14ac:dyDescent="0.25">
      <c r="A42" s="1692"/>
      <c r="B42" s="1700" t="s">
        <v>1289</v>
      </c>
      <c r="C42" s="1701"/>
      <c r="D42" s="1701"/>
      <c r="E42" s="1701"/>
      <c r="F42" s="1701"/>
      <c r="G42" s="1702"/>
    </row>
    <row r="43" spans="1:124" x14ac:dyDescent="0.25">
      <c r="A43" s="1692"/>
      <c r="B43" s="1703" t="s">
        <v>1459</v>
      </c>
      <c r="C43" s="1704"/>
      <c r="D43" s="1704"/>
      <c r="E43" s="1705"/>
      <c r="F43" s="1706">
        <f>IF($L$3=1,egyszerűsített_kalkulátor!$F$41,'komplex kalkulátor'!$E$17)</f>
        <v>12600</v>
      </c>
      <c r="G43" s="1707"/>
    </row>
    <row r="44" spans="1:124" ht="17.25" customHeight="1" x14ac:dyDescent="0.25">
      <c r="A44" s="1692"/>
      <c r="B44" s="1703" t="s">
        <v>1453</v>
      </c>
      <c r="C44" s="1704"/>
      <c r="D44" s="1704"/>
      <c r="E44" s="1705"/>
      <c r="F44" s="1715">
        <f>IF($L$3=1,egyszerűsített_kalkulátor!$F$39,'komplex kalkulátor'!$E$16)</f>
        <v>0</v>
      </c>
      <c r="G44" s="1716"/>
    </row>
    <row r="45" spans="1:124" ht="32.4" customHeight="1" x14ac:dyDescent="0.25">
      <c r="A45" s="1692"/>
      <c r="B45" s="1703" t="s">
        <v>2023</v>
      </c>
      <c r="C45" s="1704"/>
      <c r="D45" s="1704"/>
      <c r="E45" s="1705"/>
      <c r="F45" s="1706">
        <f>IF($L$3=1,egyszerűsített_kalkulátor!$F$37,'komplex kalkulátor'!$E$15)</f>
        <v>0</v>
      </c>
      <c r="G45" s="1707"/>
    </row>
    <row r="46" spans="1:124" ht="14.25" customHeight="1" x14ac:dyDescent="0.25">
      <c r="A46" s="1692"/>
      <c r="B46" s="1703" t="s">
        <v>2024</v>
      </c>
      <c r="C46" s="1704"/>
      <c r="D46" s="1704"/>
      <c r="E46" s="1705"/>
      <c r="F46" s="1717">
        <f>IF($L$3=1,egyszerűsített_kalkulátor!$F$43,'komplex kalkulátor'!$E$18)</f>
        <v>3000</v>
      </c>
      <c r="G46" s="1716"/>
    </row>
    <row r="47" spans="1:124" ht="14.25" customHeight="1" x14ac:dyDescent="0.25">
      <c r="A47" s="1692"/>
      <c r="B47" s="1703" t="s">
        <v>1476</v>
      </c>
      <c r="C47" s="1704"/>
      <c r="D47" s="1704"/>
      <c r="E47" s="1705"/>
      <c r="F47" s="1717">
        <f>IF($L$3=1,0,'komplex kalkulátor'!$E$14)</f>
        <v>0</v>
      </c>
      <c r="G47" s="1716"/>
    </row>
    <row r="48" spans="1:124" ht="17.25" customHeight="1" x14ac:dyDescent="0.25">
      <c r="A48" s="1692"/>
      <c r="B48" s="1700" t="s">
        <v>1290</v>
      </c>
      <c r="C48" s="1701"/>
      <c r="D48" s="1701"/>
      <c r="E48" s="1701"/>
      <c r="F48" s="1701"/>
      <c r="G48" s="1702"/>
    </row>
    <row r="49" spans="1:7" ht="14.25" customHeight="1" x14ac:dyDescent="0.25">
      <c r="A49" s="1692"/>
      <c r="B49" s="1708" t="str">
        <f>+"Számlavezetés költségei (ügyfél által választott "&amp;K9&amp;" számlacsomag szerint)"</f>
        <v>Számlavezetés költségei (ügyfél által választott Sztár számlacsomag szerint)</v>
      </c>
      <c r="C49" s="1709"/>
      <c r="D49" s="1709"/>
      <c r="E49" s="1709"/>
      <c r="F49" s="1706">
        <f>+IF($L$3=1,egyszerűsített_kalkulátor!$B$54,'komplex kalkulátor'!$E$27)</f>
        <v>0</v>
      </c>
      <c r="G49" s="1707"/>
    </row>
    <row r="50" spans="1:7" x14ac:dyDescent="0.25">
      <c r="A50" s="1692"/>
      <c r="B50" s="1703" t="s">
        <v>1291</v>
      </c>
      <c r="C50" s="1704"/>
      <c r="D50" s="1704"/>
      <c r="E50" s="1705"/>
      <c r="F50" s="1710">
        <f>+IF($L$3=1,egyszerűsített_kalkulátor!$B$56,'komplex kalkulátor'!$E$27)</f>
        <v>0</v>
      </c>
      <c r="G50" s="1711"/>
    </row>
    <row r="51" spans="1:7" ht="14.25" customHeight="1" x14ac:dyDescent="0.25">
      <c r="A51" s="1692"/>
      <c r="B51" s="1708" t="str">
        <f>+IF(F51&lt;&gt;250,"Elektronikus kamatértesítő","Postai úton megküldött kamatértesítő díja")</f>
        <v>Elektronikus kamatértesítő</v>
      </c>
      <c r="C51" s="1709"/>
      <c r="D51" s="1709"/>
      <c r="E51" s="1718"/>
      <c r="F51" s="1706">
        <f>+K10</f>
        <v>0</v>
      </c>
      <c r="G51" s="1707"/>
    </row>
    <row r="52" spans="1:7" ht="35.25" customHeight="1" x14ac:dyDescent="0.25">
      <c r="A52" s="1692"/>
      <c r="B52" s="1712" t="s">
        <v>1292</v>
      </c>
      <c r="C52" s="1713"/>
      <c r="D52" s="1713"/>
      <c r="E52" s="1713"/>
      <c r="F52" s="1713"/>
      <c r="G52" s="1714"/>
    </row>
    <row r="53" spans="1:7" ht="30" customHeight="1" x14ac:dyDescent="0.25">
      <c r="A53" s="1692"/>
      <c r="B53" s="1703" t="s">
        <v>1454</v>
      </c>
      <c r="C53" s="1704"/>
      <c r="D53" s="1704"/>
      <c r="E53" s="1705"/>
      <c r="F53" s="1729" t="s">
        <v>1293</v>
      </c>
      <c r="G53" s="1730"/>
    </row>
    <row r="54" spans="1:7" ht="6.75" customHeight="1" x14ac:dyDescent="0.25">
      <c r="A54" s="1692"/>
      <c r="B54" s="984"/>
      <c r="C54" s="985"/>
      <c r="D54" s="985"/>
      <c r="E54" s="985"/>
      <c r="F54" s="986"/>
      <c r="G54" s="987"/>
    </row>
    <row r="55" spans="1:7" ht="18.75" customHeight="1" x14ac:dyDescent="0.25">
      <c r="A55" s="1692"/>
      <c r="B55" s="1731" t="s">
        <v>1294</v>
      </c>
      <c r="C55" s="1661"/>
      <c r="D55" s="1661"/>
      <c r="E55" s="1661"/>
      <c r="F55" s="1661"/>
      <c r="G55" s="1732"/>
    </row>
    <row r="56" spans="1:7" ht="16.5" customHeight="1" x14ac:dyDescent="0.25">
      <c r="A56" s="1692"/>
      <c r="B56" s="1719" t="s">
        <v>1833</v>
      </c>
      <c r="C56" s="1720"/>
      <c r="D56" s="1720"/>
      <c r="E56" s="1720"/>
      <c r="F56" s="1720"/>
      <c r="G56" s="1721"/>
    </row>
    <row r="57" spans="1:7" ht="34.5" customHeight="1" x14ac:dyDescent="0.25">
      <c r="A57" s="1692"/>
      <c r="B57" s="1719" t="s">
        <v>1834</v>
      </c>
      <c r="C57" s="1720"/>
      <c r="D57" s="1720"/>
      <c r="E57" s="1720"/>
      <c r="F57" s="1720"/>
      <c r="G57" s="1721"/>
    </row>
    <row r="58" spans="1:7" ht="5.25" customHeight="1" x14ac:dyDescent="0.25">
      <c r="A58" s="1692"/>
      <c r="B58" s="1719"/>
      <c r="C58" s="1720"/>
      <c r="D58" s="1720"/>
      <c r="E58" s="1720"/>
      <c r="F58" s="1720"/>
      <c r="G58" s="1721"/>
    </row>
    <row r="59" spans="1:7" ht="45.75" customHeight="1" x14ac:dyDescent="0.25">
      <c r="A59" s="1692"/>
      <c r="B59" s="1719" t="s">
        <v>1455</v>
      </c>
      <c r="C59" s="1720"/>
      <c r="D59" s="1720"/>
      <c r="E59" s="1720"/>
      <c r="F59" s="1720"/>
      <c r="G59" s="1721"/>
    </row>
    <row r="60" spans="1:7" ht="46.5" customHeight="1" x14ac:dyDescent="0.25">
      <c r="A60" s="1692"/>
      <c r="B60" s="1719" t="s">
        <v>1477</v>
      </c>
      <c r="C60" s="1720"/>
      <c r="D60" s="1720"/>
      <c r="E60" s="1720"/>
      <c r="F60" s="1720"/>
      <c r="G60" s="1721"/>
    </row>
    <row r="61" spans="1:7" ht="18" customHeight="1" x14ac:dyDescent="0.25">
      <c r="A61" s="1692"/>
      <c r="B61" s="1719" t="s">
        <v>1480</v>
      </c>
      <c r="C61" s="1720"/>
      <c r="D61" s="1720"/>
      <c r="E61" s="1720"/>
      <c r="F61" s="1720"/>
      <c r="G61" s="1721"/>
    </row>
    <row r="62" spans="1:7" ht="28.5" customHeight="1" x14ac:dyDescent="0.25">
      <c r="A62" s="1692"/>
      <c r="B62" s="1719" t="s">
        <v>1835</v>
      </c>
      <c r="C62" s="1720"/>
      <c r="D62" s="1720"/>
      <c r="E62" s="1720"/>
      <c r="F62" s="1720"/>
      <c r="G62" s="1721"/>
    </row>
    <row r="63" spans="1:7" ht="14.25" customHeight="1" x14ac:dyDescent="0.25">
      <c r="A63" s="1692"/>
      <c r="B63" s="984" t="s">
        <v>95</v>
      </c>
      <c r="C63" s="988">
        <f>+paraméterek!B346</f>
        <v>6.4600000000000005E-2</v>
      </c>
      <c r="D63" s="985" t="s">
        <v>1295</v>
      </c>
      <c r="E63" s="985" t="s">
        <v>1296</v>
      </c>
      <c r="F63" s="988">
        <f>IF($L$3=1,egyszerűsített_kalkulátor!$AG$79,'komplex kalkulátor'!$AG$355)</f>
        <v>6.767495386083433E-2</v>
      </c>
      <c r="G63" s="965" t="s">
        <v>1297</v>
      </c>
    </row>
    <row r="64" spans="1:7" ht="28.5" customHeight="1" x14ac:dyDescent="0.25">
      <c r="A64" s="1692"/>
      <c r="B64" s="1722" t="s">
        <v>1361</v>
      </c>
      <c r="C64" s="1723"/>
      <c r="D64" s="1723"/>
      <c r="E64" s="1723"/>
      <c r="F64" s="1723"/>
      <c r="G64" s="1724"/>
    </row>
    <row r="65" spans="1:11" ht="10.5" customHeight="1" thickBot="1" x14ac:dyDescent="0.3">
      <c r="A65" s="1693"/>
      <c r="B65" s="1672"/>
      <c r="C65" s="1673"/>
      <c r="D65" s="1673"/>
      <c r="E65" s="1673"/>
      <c r="F65" s="1673"/>
      <c r="G65" s="1674"/>
    </row>
    <row r="66" spans="1:11" ht="14.25" customHeight="1" x14ac:dyDescent="0.3">
      <c r="A66" s="1654" t="s">
        <v>1442</v>
      </c>
      <c r="B66" s="1725" t="s">
        <v>1298</v>
      </c>
      <c r="C66" s="1726"/>
      <c r="D66" s="989" t="s">
        <v>1299</v>
      </c>
      <c r="E66" s="990"/>
      <c r="F66" s="990"/>
      <c r="G66" s="991"/>
    </row>
    <row r="67" spans="1:11" ht="15.75" customHeight="1" thickBot="1" x14ac:dyDescent="0.35">
      <c r="A67" s="1659"/>
      <c r="B67" s="1727" t="s">
        <v>1300</v>
      </c>
      <c r="C67" s="1728"/>
      <c r="D67" s="992">
        <f>IF($L$3=1,IF(egyszerűsített_kalkulátor!B8=paraméterek!A179,egyszerűsített_kalkulátor!$B$10-24,egyszerűsített_kalkulátor!B10),IF('komplex kalkulátor'!E5=paraméterek!A179,'komplex kalkulátor'!K5-24,'komplex kalkulátor'!$K$5))</f>
        <v>240</v>
      </c>
      <c r="E67" s="993" t="str">
        <f>IF(L3=1,IF(egyszerűsített_kalkulátor!B8=paraméterek!A179,"24 hónapos türelmi idő után",""),IF('komplex kalkulátor'!E5=paraméterek!A179,"24 hónapos türelmi idő után",""))</f>
        <v/>
      </c>
      <c r="F67" s="926"/>
      <c r="G67" s="994"/>
    </row>
    <row r="68" spans="1:11" ht="19.5" customHeight="1" x14ac:dyDescent="0.25">
      <c r="A68" s="1654" t="s">
        <v>1443</v>
      </c>
      <c r="B68" s="995" t="s">
        <v>1301</v>
      </c>
      <c r="C68" s="996"/>
      <c r="D68" s="997" t="str">
        <f>IF(C1=J2,'komplex kalkulátor'!N295,egyszerűsített_kalkulátor!F28)</f>
        <v/>
      </c>
      <c r="E68" s="998" t="str">
        <f>IF(AND(C1=J2,'komplex kalkulátor'!K6="igen"),"amely a folyósításra meghatározott türelmi időt követően "&amp;TEXT('komplex kalkulátor'!E292,"0 000 Ft")&amp;"-ra nő.",IF(AND('Személyes tájék'!C1='Személyes tájék'!J1,egyszerűsített_kalkulátor!B15="igen"),"amely a folyósításra meghatározott türelmi időt követően "&amp;TEXT(egyszerűsített_kalkulátor!F26,"0 000 Ft")&amp;"-ra nő.",""))</f>
        <v/>
      </c>
      <c r="F68" s="998"/>
      <c r="G68" s="999"/>
    </row>
    <row r="69" spans="1:11" ht="14.25" customHeight="1" x14ac:dyDescent="0.25">
      <c r="A69" s="1655"/>
      <c r="B69" s="1752" t="str">
        <f>IF(OR(AND(C1=J2,'komplex kalkulátor'!K6="igen"),AND('Személyes tájék'!C1='Személyes tájék'!J1,egyszerűsített_kalkulátor!B15="igen")),K69,J69)</f>
        <v xml:space="preserve">A hitel forint alapú hitel. A törlesztések forintban történnek. </v>
      </c>
      <c r="C69" s="1753"/>
      <c r="D69" s="1753"/>
      <c r="E69" s="1753"/>
      <c r="F69" s="1753"/>
      <c r="G69" s="1754"/>
      <c r="J69" s="14" t="s">
        <v>1302</v>
      </c>
      <c r="K69" s="14" t="s">
        <v>1848</v>
      </c>
    </row>
    <row r="70" spans="1:11" ht="14.25" customHeight="1" x14ac:dyDescent="0.25">
      <c r="A70" s="1655"/>
      <c r="B70" s="1755" t="s">
        <v>1303</v>
      </c>
      <c r="C70" s="1756"/>
      <c r="D70" s="1756"/>
      <c r="E70" s="1756"/>
      <c r="F70" s="1756"/>
      <c r="G70" s="1757"/>
    </row>
    <row r="71" spans="1:11" ht="42" customHeight="1" x14ac:dyDescent="0.25">
      <c r="A71" s="1655"/>
      <c r="B71" s="1755" t="s">
        <v>1836</v>
      </c>
      <c r="C71" s="1756"/>
      <c r="D71" s="1756"/>
      <c r="E71" s="1756"/>
      <c r="F71" s="1756"/>
      <c r="G71" s="1757"/>
      <c r="J71" s="560"/>
    </row>
    <row r="72" spans="1:11" ht="14.25" customHeight="1" x14ac:dyDescent="0.25">
      <c r="A72" s="1655"/>
      <c r="B72" s="1000" t="s">
        <v>1304</v>
      </c>
      <c r="C72" s="1001">
        <f>+paraméterek!$B$346</f>
        <v>6.4600000000000005E-2</v>
      </c>
      <c r="D72" s="1002" t="s">
        <v>1305</v>
      </c>
      <c r="E72" s="1003"/>
      <c r="F72" s="1004">
        <f>IF($L$3=1,egyszerűsített_kalkulátor!AE104,'komplex kalkulátor'!AF380)</f>
        <v>89820.397090575701</v>
      </c>
      <c r="G72" s="1005" t="s">
        <v>1306</v>
      </c>
    </row>
    <row r="73" spans="1:11" ht="114" customHeight="1" thickBot="1" x14ac:dyDescent="0.3">
      <c r="A73" s="1659"/>
      <c r="B73" s="1758" t="s">
        <v>1937</v>
      </c>
      <c r="C73" s="1734"/>
      <c r="D73" s="1734"/>
      <c r="E73" s="1734"/>
      <c r="F73" s="1734"/>
      <c r="G73" s="1735"/>
    </row>
    <row r="74" spans="1:11" ht="44.25" customHeight="1" x14ac:dyDescent="0.25">
      <c r="A74" s="1654" t="s">
        <v>1444</v>
      </c>
      <c r="B74" s="1759" t="s">
        <v>1818</v>
      </c>
      <c r="C74" s="1760"/>
      <c r="D74" s="1760"/>
      <c r="E74" s="1760"/>
      <c r="F74" s="1760"/>
      <c r="G74" s="1761"/>
    </row>
    <row r="75" spans="1:11" ht="33.75" customHeight="1" thickBot="1" x14ac:dyDescent="0.3">
      <c r="A75" s="1655"/>
      <c r="B75" s="1733" t="s">
        <v>1307</v>
      </c>
      <c r="C75" s="1734"/>
      <c r="D75" s="1734"/>
      <c r="E75" s="1734"/>
      <c r="F75" s="1734"/>
      <c r="G75" s="1735"/>
    </row>
    <row r="76" spans="1:11" ht="43.2" x14ac:dyDescent="0.25">
      <c r="A76" s="1655"/>
      <c r="B76" s="1006" t="s">
        <v>1308</v>
      </c>
      <c r="C76" s="1007" t="s">
        <v>1309</v>
      </c>
      <c r="D76" s="1007" t="s">
        <v>1310</v>
      </c>
      <c r="E76" s="1007" t="s">
        <v>1311</v>
      </c>
      <c r="F76" s="1007" t="s">
        <v>1312</v>
      </c>
      <c r="G76" s="1008" t="s">
        <v>1313</v>
      </c>
    </row>
    <row r="77" spans="1:11" ht="15" customHeight="1" x14ac:dyDescent="0.3">
      <c r="A77" s="1655"/>
      <c r="B77" s="1009" t="s">
        <v>838</v>
      </c>
      <c r="C77" s="1010">
        <f>IF($L$3=1,egyszerűsített_kalkulátor!L80,'komplex kalkulátor'!M356)</f>
        <v>66802.287800476508</v>
      </c>
      <c r="D77" s="1010">
        <f>IF($L$3=1,egyszerűsített_kalkulátor!J80,'komplex kalkulátor'!N356)</f>
        <v>30416.666666666668</v>
      </c>
      <c r="E77" s="1011">
        <f>+C77-D77</f>
        <v>36385.621133809836</v>
      </c>
      <c r="F77" s="1011">
        <v>0</v>
      </c>
      <c r="G77" s="1012">
        <f>IF($L$3=1,egyszerűsített_kalkulátor!G80,'komplex kalkulátor'!D356)</f>
        <v>11963614.37886619</v>
      </c>
    </row>
    <row r="78" spans="1:11" ht="15" customHeight="1" x14ac:dyDescent="0.3">
      <c r="A78" s="1655"/>
      <c r="B78" s="1009" t="s">
        <v>839</v>
      </c>
      <c r="C78" s="1010">
        <f>IF($L$3=1,egyszerűsített_kalkulátor!L81,'komplex kalkulátor'!M357)</f>
        <v>66802.287800476508</v>
      </c>
      <c r="D78" s="1010">
        <f>IF($L$3=1,egyszerűsített_kalkulátor!J81,'komplex kalkulátor'!N357)</f>
        <v>30324.43922420944</v>
      </c>
      <c r="E78" s="1011">
        <f t="shared" ref="E78:E113" si="0">+C78-D78</f>
        <v>36477.848576267068</v>
      </c>
      <c r="F78" s="1011">
        <v>0</v>
      </c>
      <c r="G78" s="1013">
        <f>IF($L$3=1,egyszerűsített_kalkulátor!G81,'komplex kalkulátor'!D357)</f>
        <v>11927136.530289924</v>
      </c>
    </row>
    <row r="79" spans="1:11" ht="15" customHeight="1" x14ac:dyDescent="0.3">
      <c r="A79" s="1655"/>
      <c r="B79" s="1009" t="s">
        <v>840</v>
      </c>
      <c r="C79" s="1010">
        <f>IF($L$3=1,egyszerűsített_kalkulátor!L82,'komplex kalkulátor'!M358)</f>
        <v>66802.287800476508</v>
      </c>
      <c r="D79" s="1010">
        <f>IF($L$3=1,egyszerűsített_kalkulátor!J82,'komplex kalkulátor'!N358)</f>
        <v>30231.97801080432</v>
      </c>
      <c r="E79" s="1011">
        <f t="shared" si="0"/>
        <v>36570.309789672188</v>
      </c>
      <c r="F79" s="1011">
        <v>0</v>
      </c>
      <c r="G79" s="1013">
        <f>IF($L$3=1,egyszerűsített_kalkulátor!G82,'komplex kalkulátor'!D358)</f>
        <v>11890566.220500251</v>
      </c>
    </row>
    <row r="80" spans="1:11" ht="15" customHeight="1" x14ac:dyDescent="0.3">
      <c r="A80" s="1655"/>
      <c r="B80" s="1009" t="s">
        <v>841</v>
      </c>
      <c r="C80" s="1010">
        <f>IF($L$3=1,egyszerűsített_kalkulátor!L83,'komplex kalkulátor'!M359)</f>
        <v>66802.287800476508</v>
      </c>
      <c r="D80" s="1010">
        <f>IF($L$3=1,egyszerűsített_kalkulátor!J83,'komplex kalkulátor'!N359)</f>
        <v>30139.282433906887</v>
      </c>
      <c r="E80" s="1011">
        <f t="shared" si="0"/>
        <v>36663.005366569618</v>
      </c>
      <c r="F80" s="1011">
        <v>0</v>
      </c>
      <c r="G80" s="1013">
        <f>IF($L$3=1,egyszerűsített_kalkulátor!G83,'komplex kalkulátor'!D359)</f>
        <v>11853903.215133682</v>
      </c>
    </row>
    <row r="81" spans="1:17" ht="15" customHeight="1" x14ac:dyDescent="0.3">
      <c r="A81" s="1655"/>
      <c r="B81" s="1009" t="s">
        <v>842</v>
      </c>
      <c r="C81" s="1010">
        <f>IF($L$3=1,egyszerűsített_kalkulátor!L84,'komplex kalkulátor'!M360)</f>
        <v>66802.287800476508</v>
      </c>
      <c r="D81" s="1010">
        <f>IF($L$3=1,egyszerűsített_kalkulátor!J84,'komplex kalkulátor'!N360)</f>
        <v>30046.351899470792</v>
      </c>
      <c r="E81" s="1011">
        <f t="shared" si="0"/>
        <v>36755.935901005716</v>
      </c>
      <c r="F81" s="1011">
        <v>0</v>
      </c>
      <c r="G81" s="1013">
        <f>IF($L$3=1,egyszerűsített_kalkulátor!G84,'komplex kalkulátor'!D360)</f>
        <v>11817147.279232677</v>
      </c>
    </row>
    <row r="82" spans="1:17" ht="15" customHeight="1" x14ac:dyDescent="0.3">
      <c r="A82" s="1655"/>
      <c r="B82" s="1009" t="s">
        <v>843</v>
      </c>
      <c r="C82" s="1010">
        <f>IF($L$3=1,egyszerűsített_kalkulátor!L85,'komplex kalkulátor'!M361)</f>
        <v>66802.287800476508</v>
      </c>
      <c r="D82" s="1010">
        <f>IF($L$3=1,egyszerűsített_kalkulátor!J85,'komplex kalkulátor'!N361)</f>
        <v>29953.185811943935</v>
      </c>
      <c r="E82" s="1011">
        <f t="shared" si="0"/>
        <v>36849.101988532573</v>
      </c>
      <c r="F82" s="1011">
        <v>0</v>
      </c>
      <c r="G82" s="1013">
        <f>IF($L$3=1,egyszerűsített_kalkulátor!G85,'komplex kalkulátor'!D361)</f>
        <v>11780298.177244145</v>
      </c>
    </row>
    <row r="83" spans="1:17" ht="15" customHeight="1" x14ac:dyDescent="0.3">
      <c r="A83" s="1655"/>
      <c r="B83" s="1009" t="s">
        <v>844</v>
      </c>
      <c r="C83" s="1010">
        <f>IF($L$3=1,egyszerűsített_kalkulátor!L86,'komplex kalkulátor'!M362)</f>
        <v>66802.287800476523</v>
      </c>
      <c r="D83" s="1010">
        <f>IF($L$3=1,egyszerűsített_kalkulátor!J86,'komplex kalkulátor'!N362)</f>
        <v>29859.783574264678</v>
      </c>
      <c r="E83" s="1011">
        <f t="shared" si="0"/>
        <v>36942.504226211844</v>
      </c>
      <c r="F83" s="1011">
        <v>0</v>
      </c>
      <c r="G83" s="1013">
        <f>IF($L$3=1,egyszerűsített_kalkulátor!G86,'komplex kalkulátor'!D362)</f>
        <v>11743355.673017934</v>
      </c>
    </row>
    <row r="84" spans="1:17" ht="15" customHeight="1" x14ac:dyDescent="0.3">
      <c r="A84" s="1655"/>
      <c r="B84" s="1009" t="s">
        <v>845</v>
      </c>
      <c r="C84" s="1010">
        <f>IF($L$3=1,egyszerűsített_kalkulátor!L87,'komplex kalkulátor'!M363)</f>
        <v>66802.287800476523</v>
      </c>
      <c r="D84" s="1010">
        <f>IF($L$3=1,egyszerűsített_kalkulátor!J87,'komplex kalkulátor'!N363)</f>
        <v>29766.144587857958</v>
      </c>
      <c r="E84" s="1011">
        <f t="shared" si="0"/>
        <v>37036.143212618568</v>
      </c>
      <c r="F84" s="1011">
        <v>0</v>
      </c>
      <c r="G84" s="1013">
        <f>IF($L$3=1,egyszerűsített_kalkulátor!G87,'komplex kalkulátor'!D363)</f>
        <v>11706319.529805316</v>
      </c>
    </row>
    <row r="85" spans="1:17" ht="15" customHeight="1" x14ac:dyDescent="0.3">
      <c r="A85" s="1655"/>
      <c r="B85" s="1009" t="s">
        <v>846</v>
      </c>
      <c r="C85" s="1010">
        <f>IF($L$3=1,egyszerűsített_kalkulátor!L88,'komplex kalkulátor'!M364)</f>
        <v>66802.287800476523</v>
      </c>
      <c r="D85" s="1010">
        <f>IF($L$3=1,egyszerűsített_kalkulátor!J88,'komplex kalkulátor'!N364)</f>
        <v>29672.268252631529</v>
      </c>
      <c r="E85" s="1011">
        <f t="shared" si="0"/>
        <v>37130.01954784499</v>
      </c>
      <c r="F85" s="1011">
        <v>0</v>
      </c>
      <c r="G85" s="1013">
        <f>IF($L$3=1,egyszerűsített_kalkulátor!G88,'komplex kalkulátor'!D364)</f>
        <v>11669189.510257471</v>
      </c>
    </row>
    <row r="86" spans="1:17" ht="15" customHeight="1" x14ac:dyDescent="0.3">
      <c r="A86" s="1655"/>
      <c r="B86" s="1009" t="s">
        <v>847</v>
      </c>
      <c r="C86" s="1010">
        <f>IF($L$3=1,egyszerűsített_kalkulátor!L89,'komplex kalkulátor'!M365)</f>
        <v>66802.287800476523</v>
      </c>
      <c r="D86" s="1010">
        <f>IF($L$3=1,egyszerűsített_kalkulátor!J89,'komplex kalkulátor'!N365)</f>
        <v>29578.153966972059</v>
      </c>
      <c r="E86" s="1011">
        <f t="shared" si="0"/>
        <v>37224.133833504464</v>
      </c>
      <c r="F86" s="1011">
        <v>0</v>
      </c>
      <c r="G86" s="1013">
        <f>IF($L$3=1,egyszerűsített_kalkulátor!G89,'komplex kalkulátor'!D365)</f>
        <v>11631965.376423966</v>
      </c>
    </row>
    <row r="87" spans="1:17" ht="15" customHeight="1" x14ac:dyDescent="0.3">
      <c r="A87" s="1655"/>
      <c r="B87" s="1009" t="s">
        <v>848</v>
      </c>
      <c r="C87" s="1010">
        <f>IF($L$3=1,egyszerűsített_kalkulátor!L90,'komplex kalkulátor'!M366)</f>
        <v>66802.287800476523</v>
      </c>
      <c r="D87" s="1010">
        <f>IF($L$3=1,egyszerűsített_kalkulátor!J90,'komplex kalkulátor'!N366)</f>
        <v>29483.801127741299</v>
      </c>
      <c r="E87" s="1011">
        <f t="shared" si="0"/>
        <v>37318.48667273522</v>
      </c>
      <c r="F87" s="1011">
        <v>0</v>
      </c>
      <c r="G87" s="1013">
        <f>IF($L$3=1,egyszerűsített_kalkulátor!G90,'komplex kalkulátor'!D366)</f>
        <v>11594646.889751231</v>
      </c>
    </row>
    <row r="88" spans="1:17" ht="15" customHeight="1" x14ac:dyDescent="0.3">
      <c r="A88" s="1655"/>
      <c r="B88" s="1009" t="s">
        <v>849</v>
      </c>
      <c r="C88" s="1010">
        <f>IF($L$3=1,egyszerűsített_kalkulátor!L91,'komplex kalkulátor'!M367)</f>
        <v>66802.287800476523</v>
      </c>
      <c r="D88" s="1010">
        <f>IF($L$3=1,egyszerűsített_kalkulátor!J91,'komplex kalkulátor'!N367)</f>
        <v>29389.209130272218</v>
      </c>
      <c r="E88" s="1011">
        <f t="shared" si="0"/>
        <v>37413.078670204304</v>
      </c>
      <c r="F88" s="1011">
        <v>0</v>
      </c>
      <c r="G88" s="1013">
        <f>IF($L$3=1,egyszerűsített_kalkulátor!G91,'komplex kalkulátor'!D367)</f>
        <v>11557233.811081028</v>
      </c>
    </row>
    <row r="89" spans="1:17" ht="15" customHeight="1" x14ac:dyDescent="0.3">
      <c r="A89" s="1655"/>
      <c r="B89" s="1014" t="s">
        <v>1314</v>
      </c>
      <c r="C89" s="1015">
        <f>IF($L$3=1,SUM(egyszerűsített_kalkulátor!L80:L91),SUM('komplex kalkulátor'!M356:M367))</f>
        <v>801627.45360571833</v>
      </c>
      <c r="D89" s="1015">
        <f>IF($L$3=1,SUM(egyszerűsített_kalkulátor!J80:J91),SUM('komplex kalkulátor'!N356:N367))</f>
        <v>358861.26468674175</v>
      </c>
      <c r="E89" s="1016">
        <f t="shared" si="0"/>
        <v>442766.18891897658</v>
      </c>
      <c r="F89" s="1016">
        <v>0</v>
      </c>
      <c r="G89" s="1017">
        <f>IF($L$3=1,egyszerűsített_kalkulátor!G92,'komplex kalkulátor'!D367)</f>
        <v>11519725.900648916</v>
      </c>
      <c r="I89" s="561"/>
      <c r="J89" s="561"/>
      <c r="L89" s="561"/>
      <c r="N89" s="561"/>
      <c r="O89" s="585"/>
      <c r="P89" s="585"/>
      <c r="Q89" s="585"/>
    </row>
    <row r="90" spans="1:17" ht="15" customHeight="1" x14ac:dyDescent="0.3">
      <c r="A90" s="1655"/>
      <c r="B90" s="1014" t="s">
        <v>850</v>
      </c>
      <c r="C90" s="1015">
        <f>IF($L$3=1,SUM(egyszerűsített_kalkulátor!L92:L103),SUM('komplex kalkulátor'!M368:M379))</f>
        <v>801627.45360571833</v>
      </c>
      <c r="D90" s="1015">
        <f>IF($L$3=1,SUM(egyszerűsített_kalkulátor!J92:J103),SUM('komplex kalkulátor'!N368:N379))</f>
        <v>345204.44806552428</v>
      </c>
      <c r="E90" s="1016">
        <f t="shared" si="0"/>
        <v>456423.00554019405</v>
      </c>
      <c r="F90" s="1016">
        <v>0</v>
      </c>
      <c r="G90" s="1017">
        <f>IF($L$3=1,egyszerűsített_kalkulátor!G103,'komplex kalkulátor'!D379)</f>
        <v>11100810.805540834</v>
      </c>
      <c r="I90" s="561"/>
      <c r="J90" s="561"/>
      <c r="L90" s="561"/>
      <c r="N90" s="561"/>
      <c r="O90" s="585"/>
      <c r="P90" s="585"/>
      <c r="Q90" s="585"/>
    </row>
    <row r="91" spans="1:17" ht="15" customHeight="1" x14ac:dyDescent="0.3">
      <c r="A91" s="1655"/>
      <c r="B91" s="1014" t="s">
        <v>851</v>
      </c>
      <c r="C91" s="1015">
        <f>IF($L$3=1,SUM(egyszerűsített_kalkulátor!L104:L115),SUM('komplex kalkulátor'!M380:M391))</f>
        <v>801627.45360571833</v>
      </c>
      <c r="D91" s="1015">
        <f>IF($L$3=1,SUM(egyszerűsített_kalkulátor!J104:J115),SUM('komplex kalkulátor'!N380:N391))</f>
        <v>331126.39638866502</v>
      </c>
      <c r="E91" s="1016">
        <f t="shared" si="0"/>
        <v>470501.05721705331</v>
      </c>
      <c r="F91" s="1016">
        <v>0</v>
      </c>
      <c r="G91" s="1017">
        <f>IF($L$3=1,egyszerűsített_kalkulátor!G115,'komplex kalkulátor'!D391)</f>
        <v>10630309.748323781</v>
      </c>
      <c r="I91" s="561"/>
      <c r="J91" s="561"/>
      <c r="L91" s="561"/>
      <c r="N91" s="561"/>
      <c r="O91" s="585"/>
      <c r="P91" s="585"/>
      <c r="Q91" s="585"/>
    </row>
    <row r="92" spans="1:17" ht="15" customHeight="1" x14ac:dyDescent="0.3">
      <c r="A92" s="1655"/>
      <c r="B92" s="1014" t="s">
        <v>852</v>
      </c>
      <c r="C92" s="1015">
        <f>IF($L$3=1,SUM(egyszerűsített_kalkulátor!L116:L127),SUM('komplex kalkulátor'!M392:M403))</f>
        <v>801627.45360571833</v>
      </c>
      <c r="D92" s="1015">
        <f>IF($L$3=1,SUM(egyszerűsített_kalkulátor!J116:J127),SUM('komplex kalkulátor'!N392:N403))</f>
        <v>316614.11695244518</v>
      </c>
      <c r="E92" s="1016">
        <f t="shared" si="0"/>
        <v>485013.33665327315</v>
      </c>
      <c r="F92" s="1016">
        <v>0</v>
      </c>
      <c r="G92" s="1017">
        <f>IF($L$3=1,egyszerűsített_kalkulátor!G127,'komplex kalkulátor'!D403)</f>
        <v>10145296.41167051</v>
      </c>
      <c r="I92" s="561"/>
      <c r="J92" s="561"/>
      <c r="L92" s="561"/>
      <c r="N92" s="561"/>
      <c r="O92" s="585"/>
      <c r="P92" s="585"/>
      <c r="Q92" s="585"/>
    </row>
    <row r="93" spans="1:17" ht="15" customHeight="1" x14ac:dyDescent="0.3">
      <c r="A93" s="1655"/>
      <c r="B93" s="1014" t="s">
        <v>853</v>
      </c>
      <c r="C93" s="1015">
        <f>IF($L$3=1,SUM(egyszerűsített_kalkulátor!L128:L139),SUM('komplex kalkulátor'!M404:M415))</f>
        <v>801627.45360571845</v>
      </c>
      <c r="D93" s="1015">
        <f>IF($L$3=1,SUM(egyszerűsített_kalkulátor!J128:J139),SUM('komplex kalkulátor'!N404:N415))</f>
        <v>301654.21630219318</v>
      </c>
      <c r="E93" s="1016">
        <f t="shared" si="0"/>
        <v>499973.23730352527</v>
      </c>
      <c r="F93" s="1016">
        <v>0</v>
      </c>
      <c r="G93" s="1017">
        <f>IF($L$3=1,egyszerűsített_kalkulátor!G139,'komplex kalkulátor'!D415)</f>
        <v>9645323.1743669845</v>
      </c>
      <c r="I93" s="561"/>
      <c r="J93" s="561"/>
      <c r="L93" s="561"/>
      <c r="N93" s="561"/>
      <c r="O93" s="585"/>
      <c r="P93" s="585"/>
      <c r="Q93" s="585"/>
    </row>
    <row r="94" spans="1:17" ht="15" customHeight="1" x14ac:dyDescent="0.3">
      <c r="A94" s="1655"/>
      <c r="B94" s="1014" t="s">
        <v>854</v>
      </c>
      <c r="C94" s="1015">
        <f>IF($L$3=1,SUM(egyszerűsített_kalkulátor!L140:L151),SUM('komplex kalkulátor'!M416:M427))</f>
        <v>801627.45360571845</v>
      </c>
      <c r="D94" s="1015">
        <f>IF($L$3=1,SUM(egyszerűsített_kalkulátor!J140:J151),SUM('komplex kalkulátor'!N416:N427))</f>
        <v>286232.88787139877</v>
      </c>
      <c r="E94" s="1016">
        <f t="shared" si="0"/>
        <v>515394.56573431968</v>
      </c>
      <c r="F94" s="1016">
        <v>0</v>
      </c>
      <c r="G94" s="1017">
        <f>IF($L$3=1,egyszerűsített_kalkulátor!G151,'komplex kalkulátor'!D427)</f>
        <v>9129928.6086326689</v>
      </c>
      <c r="I94" s="561"/>
      <c r="J94" s="561"/>
      <c r="L94" s="561"/>
      <c r="N94" s="561"/>
      <c r="O94" s="585"/>
      <c r="P94" s="585"/>
      <c r="Q94" s="585"/>
    </row>
    <row r="95" spans="1:17" ht="15" customHeight="1" x14ac:dyDescent="0.3">
      <c r="A95" s="1655"/>
      <c r="B95" s="1014" t="s">
        <v>855</v>
      </c>
      <c r="C95" s="1015">
        <f>IF($L$3=1,SUM(egyszerűsített_kalkulátor!L152:L163),SUM('komplex kalkulátor'!M428:M439))</f>
        <v>801627.45360571845</v>
      </c>
      <c r="D95" s="1015">
        <f>IF($L$3=1,SUM(egyszerűsített_kalkulátor!J152:J163),SUM('komplex kalkulátor'!N428:N439))</f>
        <v>270335.89923956431</v>
      </c>
      <c r="E95" s="1016">
        <f t="shared" si="0"/>
        <v>531291.55436615413</v>
      </c>
      <c r="F95" s="1016">
        <v>0</v>
      </c>
      <c r="G95" s="1017">
        <f>IF($L$3=1,egyszerűsített_kalkulátor!G163,'komplex kalkulátor'!D439)</f>
        <v>8598637.0542665143</v>
      </c>
      <c r="I95" s="561"/>
      <c r="J95" s="561"/>
      <c r="L95" s="561"/>
      <c r="N95" s="561"/>
      <c r="O95" s="585"/>
      <c r="P95" s="585"/>
      <c r="Q95" s="585"/>
    </row>
    <row r="96" spans="1:17" ht="15" customHeight="1" x14ac:dyDescent="0.3">
      <c r="A96" s="1655"/>
      <c r="B96" s="1014" t="s">
        <v>856</v>
      </c>
      <c r="C96" s="1015">
        <f>IF($L$3=1,SUM(egyszerűsített_kalkulátor!L164:L175),SUM('komplex kalkulátor'!M440:M451))</f>
        <v>801627.45360571845</v>
      </c>
      <c r="D96" s="1015">
        <f>IF($L$3=1,SUM(egyszerűsített_kalkulátor!J164:J175),SUM('komplex kalkulátor'!N440:N451))</f>
        <v>253948.57899703342</v>
      </c>
      <c r="E96" s="1016">
        <f t="shared" si="0"/>
        <v>547678.87460868503</v>
      </c>
      <c r="F96" s="1016">
        <v>0</v>
      </c>
      <c r="G96" s="1017">
        <f>IF($L$3=1,egyszerűsített_kalkulátor!G175,'komplex kalkulátor'!D451)</f>
        <v>8050958.1796578309</v>
      </c>
      <c r="I96" s="561"/>
      <c r="J96" s="561"/>
      <c r="L96" s="561"/>
      <c r="N96" s="561"/>
      <c r="O96" s="585"/>
      <c r="P96" s="585"/>
      <c r="Q96" s="585"/>
    </row>
    <row r="97" spans="1:17" ht="15" customHeight="1" x14ac:dyDescent="0.3">
      <c r="A97" s="1655"/>
      <c r="B97" s="1014" t="s">
        <v>857</v>
      </c>
      <c r="C97" s="1015">
        <f>IF($L$3=1,SUM(egyszerűsített_kalkulátor!L176:L187),SUM('komplex kalkulátor'!M452:M463))</f>
        <v>801627.45360571845</v>
      </c>
      <c r="D97" s="1015">
        <f>IF($L$3=1,SUM(egyszerűsített_kalkulátor!J176:J187),SUM('komplex kalkulátor'!N452:N463))</f>
        <v>237055.80320467422</v>
      </c>
      <c r="E97" s="1016">
        <f t="shared" si="0"/>
        <v>564571.65040104417</v>
      </c>
      <c r="F97" s="1016">
        <v>0</v>
      </c>
      <c r="G97" s="1017">
        <f>IF($L$3=1,egyszerűsített_kalkulátor!G187,'komplex kalkulátor'!D463)</f>
        <v>7486386.5292567872</v>
      </c>
      <c r="I97" s="561"/>
      <c r="J97" s="561"/>
      <c r="L97" s="561"/>
      <c r="N97" s="561"/>
      <c r="O97" s="585"/>
      <c r="P97" s="585"/>
      <c r="Q97" s="585"/>
    </row>
    <row r="98" spans="1:17" ht="15" customHeight="1" x14ac:dyDescent="0.3">
      <c r="A98" s="1655"/>
      <c r="B98" s="1014" t="s">
        <v>858</v>
      </c>
      <c r="C98" s="1015">
        <f>IF($L$3=1,SUM(egyszerűsített_kalkulátor!L188:L199),SUM('komplex kalkulátor'!M464:M475))</f>
        <v>801627.45360571845</v>
      </c>
      <c r="D98" s="1015">
        <f>IF($L$3=1,SUM(egyszerűsített_kalkulátor!J188:J199),SUM('komplex kalkulátor'!N464:N475))</f>
        <v>219641.98143592093</v>
      </c>
      <c r="E98" s="1016">
        <f t="shared" si="0"/>
        <v>581985.47216979752</v>
      </c>
      <c r="F98" s="1016">
        <v>0</v>
      </c>
      <c r="G98" s="1017">
        <f>IF($L$3=1,egyszerűsített_kalkulátor!G199,'komplex kalkulátor'!D475)</f>
        <v>6904401.0570869893</v>
      </c>
      <c r="I98" s="561"/>
      <c r="J98" s="561"/>
      <c r="L98" s="561"/>
      <c r="N98" s="561"/>
      <c r="O98" s="585"/>
      <c r="P98" s="585"/>
      <c r="Q98" s="585"/>
    </row>
    <row r="99" spans="1:17" ht="15" customHeight="1" x14ac:dyDescent="0.3">
      <c r="A99" s="1655"/>
      <c r="B99" s="1014" t="s">
        <v>859</v>
      </c>
      <c r="C99" s="1015">
        <f>IF($L$3=1,SUM(egyszerűsített_kalkulátor!L200:L211),SUM('komplex kalkulátor'!M476:M487))</f>
        <v>801627.45360571845</v>
      </c>
      <c r="D99" s="1015">
        <f>IF($L$3=1,SUM(egyszerűsített_kalkulátor!J200:J211),SUM('komplex kalkulátor'!N476:N487))</f>
        <v>201691.04238829168</v>
      </c>
      <c r="E99" s="1016">
        <f t="shared" si="0"/>
        <v>599936.41121742676</v>
      </c>
      <c r="F99" s="1016">
        <v>0</v>
      </c>
      <c r="G99" s="1017">
        <f>IF($L$3=1,egyszerűsített_kalkulátor!G211,'komplex kalkulátor'!D487)</f>
        <v>6304464.6458695615</v>
      </c>
      <c r="I99" s="561"/>
      <c r="J99" s="561"/>
      <c r="L99" s="561"/>
      <c r="N99" s="561"/>
      <c r="O99" s="585"/>
      <c r="P99" s="585"/>
      <c r="Q99" s="585"/>
    </row>
    <row r="100" spans="1:17" ht="15" customHeight="1" x14ac:dyDescent="0.3">
      <c r="A100" s="1655"/>
      <c r="B100" s="1014" t="s">
        <v>860</v>
      </c>
      <c r="C100" s="1015">
        <f>IF($L$3=1,SUM(egyszerűsített_kalkulátor!L212:L223),SUM('komplex kalkulátor'!M488:M499))</f>
        <v>801627.45360571845</v>
      </c>
      <c r="D100" s="1015">
        <f>IF($L$3=1,SUM(egyszerűsített_kalkulátor!J212:J223),SUM('komplex kalkulátor'!N488:N499))</f>
        <v>183186.41905110391</v>
      </c>
      <c r="E100" s="1016">
        <f t="shared" si="0"/>
        <v>618441.03455461457</v>
      </c>
      <c r="F100" s="1016">
        <v>0</v>
      </c>
      <c r="G100" s="1017">
        <f>IF($L$3=1,egyszerűsített_kalkulátor!G223,'komplex kalkulátor'!D499)</f>
        <v>5686023.6113149468</v>
      </c>
      <c r="I100" s="561"/>
      <c r="J100" s="561"/>
      <c r="L100" s="561"/>
      <c r="N100" s="561"/>
      <c r="O100" s="585"/>
      <c r="P100" s="585"/>
      <c r="Q100" s="585"/>
    </row>
    <row r="101" spans="1:17" ht="15" customHeight="1" x14ac:dyDescent="0.3">
      <c r="A101" s="1655"/>
      <c r="B101" s="1014" t="s">
        <v>861</v>
      </c>
      <c r="C101" s="1015">
        <f>IF($L$3=1,SUM(egyszerűsített_kalkulátor!L224:L235),SUM('komplex kalkulátor'!M500:M511))</f>
        <v>801627.45360571845</v>
      </c>
      <c r="D101" s="1015">
        <f>IF($L$3=1,SUM(egyszerűsített_kalkulátor!J224:J235),SUM('komplex kalkulátor'!N500:N511))</f>
        <v>164111.03341569801</v>
      </c>
      <c r="E101" s="1016">
        <f t="shared" si="0"/>
        <v>637516.42019002046</v>
      </c>
      <c r="F101" s="1016">
        <v>0</v>
      </c>
      <c r="G101" s="1017">
        <f>IF($L$3=1,egyszerűsített_kalkulátor!G235,'komplex kalkulátor'!D511)</f>
        <v>5048507.1911249263</v>
      </c>
      <c r="I101" s="561"/>
      <c r="J101" s="561"/>
      <c r="L101" s="561"/>
      <c r="N101" s="561"/>
      <c r="O101" s="585"/>
      <c r="P101" s="585"/>
      <c r="Q101" s="585"/>
    </row>
    <row r="102" spans="1:17" ht="15" customHeight="1" x14ac:dyDescent="0.3">
      <c r="A102" s="1655"/>
      <c r="B102" s="1014" t="s">
        <v>862</v>
      </c>
      <c r="C102" s="1015">
        <f>IF($L$3=1,SUM(egyszerűsített_kalkulátor!L236:L247),SUM('komplex kalkulátor'!M512:M523))</f>
        <v>801627.45360571845</v>
      </c>
      <c r="D102" s="1015">
        <f>IF($L$3=1,SUM(egyszerűsített_kalkulátor!J236:J247),SUM('komplex kalkulátor'!N512:N523))</f>
        <v>144447.28071405843</v>
      </c>
      <c r="E102" s="1016">
        <f t="shared" si="0"/>
        <v>657180.17289166001</v>
      </c>
      <c r="F102" s="1016">
        <v>0</v>
      </c>
      <c r="G102" s="1017">
        <f>IF($L$3=1,egyszerűsített_kalkulátor!G247,'komplex kalkulátor'!D523)</f>
        <v>4391327.0182332667</v>
      </c>
      <c r="I102" s="561"/>
      <c r="J102" s="561"/>
      <c r="L102" s="561"/>
      <c r="N102" s="561"/>
      <c r="O102" s="585"/>
      <c r="P102" s="585"/>
      <c r="Q102" s="585"/>
    </row>
    <row r="103" spans="1:17" ht="15" customHeight="1" x14ac:dyDescent="0.3">
      <c r="A103" s="1655"/>
      <c r="B103" s="1014" t="s">
        <v>863</v>
      </c>
      <c r="C103" s="1015">
        <f>IF($L$3=1,SUM(egyszerűsített_kalkulátor!L248:L259),SUM('komplex kalkulátor'!M524:M535))</f>
        <v>801627.45360571845</v>
      </c>
      <c r="D103" s="1015">
        <f>IF($L$3=1,SUM(egyszerűsített_kalkulátor!J248:J259),SUM('komplex kalkulátor'!N524:N535))</f>
        <v>124177.01317128583</v>
      </c>
      <c r="E103" s="1016">
        <f t="shared" si="0"/>
        <v>677450.44043443259</v>
      </c>
      <c r="F103" s="1016">
        <v>0</v>
      </c>
      <c r="G103" s="1017">
        <f>IF($L$3=1,egyszerűsített_kalkulátor!G259,'komplex kalkulátor'!D535)</f>
        <v>3713876.5777988331</v>
      </c>
      <c r="I103" s="561"/>
      <c r="J103" s="561"/>
      <c r="L103" s="561"/>
      <c r="N103" s="561"/>
      <c r="O103" s="585"/>
      <c r="P103" s="585"/>
      <c r="Q103" s="585"/>
    </row>
    <row r="104" spans="1:17" ht="15" customHeight="1" x14ac:dyDescent="0.3">
      <c r="A104" s="1655"/>
      <c r="B104" s="1014" t="s">
        <v>864</v>
      </c>
      <c r="C104" s="1015">
        <f>IF($L$3=1,SUM(egyszerűsített_kalkulátor!L260:L271),SUM('komplex kalkulátor'!M536:M547))</f>
        <v>801627.45360571845</v>
      </c>
      <c r="D104" s="1015">
        <f>IF($L$3=1,SUM(egyszerűsített_kalkulátor!J260:J271),SUM('komplex kalkulátor'!N536:N547))</f>
        <v>103281.52325692572</v>
      </c>
      <c r="E104" s="1016">
        <f t="shared" si="0"/>
        <v>698345.9303487927</v>
      </c>
      <c r="F104" s="1016">
        <v>0</v>
      </c>
      <c r="G104" s="1017">
        <f>IF($L$3=1,egyszerűsített_kalkulátor!G271,'komplex kalkulátor'!D547)</f>
        <v>3015530.6474500401</v>
      </c>
      <c r="I104" s="561"/>
      <c r="J104" s="561"/>
      <c r="L104" s="561"/>
      <c r="N104" s="561"/>
      <c r="O104" s="585"/>
      <c r="P104" s="585"/>
      <c r="Q104" s="585"/>
    </row>
    <row r="105" spans="1:17" ht="15" customHeight="1" x14ac:dyDescent="0.3">
      <c r="A105" s="1655"/>
      <c r="B105" s="1014" t="s">
        <v>865</v>
      </c>
      <c r="C105" s="1015">
        <f>IF($L$3=1,SUM(egyszerűsített_kalkulátor!L272:L283),SUM('komplex kalkulátor'!M548:M559))</f>
        <v>801627.45360571845</v>
      </c>
      <c r="D105" s="1015">
        <f>IF($L$3=1,SUM(egyszerűsített_kalkulátor!J272:J283),SUM('komplex kalkulátor'!N548:N559))</f>
        <v>81741.526419695918</v>
      </c>
      <c r="E105" s="1016">
        <f t="shared" si="0"/>
        <v>719885.92718602251</v>
      </c>
      <c r="F105" s="1016">
        <v>0</v>
      </c>
      <c r="G105" s="1017">
        <f>IF($L$3=1,egyszerűsített_kalkulátor!G283,'komplex kalkulátor'!D559)</f>
        <v>2295644.720264018</v>
      </c>
      <c r="I105" s="561"/>
      <c r="J105" s="561"/>
      <c r="L105" s="561"/>
      <c r="N105" s="561"/>
      <c r="O105" s="585"/>
      <c r="P105" s="585"/>
      <c r="Q105" s="585"/>
    </row>
    <row r="106" spans="1:17" ht="15" customHeight="1" x14ac:dyDescent="0.3">
      <c r="A106" s="1655"/>
      <c r="B106" s="1014" t="s">
        <v>866</v>
      </c>
      <c r="C106" s="1015">
        <f>IF($L$3=1,SUM(egyszerűsített_kalkulátor!L284:L295),SUM('komplex kalkulátor'!M560:M571))</f>
        <v>801627.45360571845</v>
      </c>
      <c r="D106" s="1015">
        <f>IF($L$3=1,SUM(egyszerűsített_kalkulátor!J284:J295),SUM('komplex kalkulátor'!N560:N571))</f>
        <v>59537.143289678366</v>
      </c>
      <c r="E106" s="1016">
        <f t="shared" si="0"/>
        <v>742090.31031604006</v>
      </c>
      <c r="F106" s="1016">
        <v>0</v>
      </c>
      <c r="G106" s="1017">
        <f>IF($L$3=1,egyszerűsített_kalkulátor!G295,'komplex kalkulátor'!D571)</f>
        <v>1553554.4099479779</v>
      </c>
      <c r="I106" s="561"/>
      <c r="J106" s="561"/>
      <c r="L106" s="561"/>
      <c r="N106" s="561"/>
      <c r="O106" s="585"/>
      <c r="P106" s="585"/>
      <c r="Q106" s="585"/>
    </row>
    <row r="107" spans="1:17" ht="15" customHeight="1" x14ac:dyDescent="0.3">
      <c r="A107" s="1655"/>
      <c r="B107" s="1014" t="s">
        <v>867</v>
      </c>
      <c r="C107" s="1015">
        <f>IF($L$3=1,SUM(egyszerűsített_kalkulátor!L296:L307),SUM('komplex kalkulátor'!M572:M583))</f>
        <v>801627.45360571845</v>
      </c>
      <c r="D107" s="1015">
        <f>IF($L$3=1,SUM(egyszerűsített_kalkulátor!J296:J307),SUM('komplex kalkulátor'!N572:N583))</f>
        <v>36647.881331550023</v>
      </c>
      <c r="E107" s="1016">
        <f t="shared" si="0"/>
        <v>764979.57227416837</v>
      </c>
      <c r="F107" s="1016">
        <v>0</v>
      </c>
      <c r="G107" s="1017">
        <f>IF($L$3=1,egyszerűsített_kalkulátor!G307,'komplex kalkulátor'!D583)</f>
        <v>788574.8376738095</v>
      </c>
      <c r="I107" s="561"/>
      <c r="J107" s="561"/>
      <c r="L107" s="561"/>
      <c r="N107" s="561"/>
      <c r="O107" s="585"/>
      <c r="P107" s="585"/>
      <c r="Q107" s="585"/>
    </row>
    <row r="108" spans="1:17" ht="15" customHeight="1" x14ac:dyDescent="0.3">
      <c r="A108" s="1655"/>
      <c r="B108" s="1014" t="s">
        <v>868</v>
      </c>
      <c r="C108" s="1015">
        <f>IF($L$3=1,SUM(egyszerűsített_kalkulátor!L308:L319),SUM('komplex kalkulátor'!M584:M595))</f>
        <v>801627.45360571845</v>
      </c>
      <c r="D108" s="1015">
        <f>IF($L$3=1,SUM(egyszerűsített_kalkulátor!J308:J319),SUM('komplex kalkulátor'!N584:N595))</f>
        <v>13052.615931920473</v>
      </c>
      <c r="E108" s="1016">
        <f t="shared" si="0"/>
        <v>788574.83767379797</v>
      </c>
      <c r="F108" s="1016">
        <v>0</v>
      </c>
      <c r="G108" s="1017">
        <f>IF($L$3=1,egyszerűsített_kalkulátor!G319,'komplex kalkulátor'!D595)</f>
        <v>1.151056494563818E-8</v>
      </c>
      <c r="I108" s="561"/>
      <c r="J108" s="561"/>
      <c r="L108" s="561"/>
      <c r="N108" s="561"/>
      <c r="O108" s="585"/>
      <c r="P108" s="585"/>
      <c r="Q108" s="585"/>
    </row>
    <row r="109" spans="1:17" ht="15" customHeight="1" x14ac:dyDescent="0.3">
      <c r="A109" s="1655"/>
      <c r="B109" s="1014" t="s">
        <v>869</v>
      </c>
      <c r="C109" s="1015">
        <f>IF($L$3=1,SUM(egyszerűsített_kalkulátor!L320:L331),SUM('komplex kalkulátor'!M596:M607))</f>
        <v>3.5011301709649467E-10</v>
      </c>
      <c r="D109" s="1015">
        <f>IF($L$3=1,SUM(egyszerűsített_kalkulátor!J320:J331),SUM('komplex kalkulátor'!N596:N607))</f>
        <v>3.5011301709649467E-10</v>
      </c>
      <c r="E109" s="1016">
        <f t="shared" si="0"/>
        <v>0</v>
      </c>
      <c r="F109" s="1016">
        <v>0</v>
      </c>
      <c r="G109" s="1017">
        <f>IF($L$3=1,egyszerűsített_kalkulátor!G331,'komplex kalkulátor'!D607)</f>
        <v>1.151056494563818E-8</v>
      </c>
      <c r="I109" s="561"/>
      <c r="J109" s="561"/>
      <c r="L109" s="561"/>
      <c r="N109" s="561"/>
      <c r="O109" s="585"/>
      <c r="P109" s="585"/>
      <c r="Q109" s="585"/>
    </row>
    <row r="110" spans="1:17" ht="15" customHeight="1" x14ac:dyDescent="0.3">
      <c r="A110" s="1655"/>
      <c r="B110" s="1014" t="s">
        <v>870</v>
      </c>
      <c r="C110" s="1015">
        <f>IF($L$3=1,SUM(egyszerűsített_kalkulátor!L332:L343),SUM('komplex kalkulátor'!M608:M619))</f>
        <v>3.5011301709649467E-10</v>
      </c>
      <c r="D110" s="1015">
        <f>IF($L$3=1,SUM(egyszerűsített_kalkulátor!J332:J343),SUM('komplex kalkulátor'!N608:N619))</f>
        <v>3.5011301709649467E-10</v>
      </c>
      <c r="E110" s="1016">
        <f t="shared" si="0"/>
        <v>0</v>
      </c>
      <c r="F110" s="1016">
        <v>0</v>
      </c>
      <c r="G110" s="1017">
        <f>IF($L$3=1,egyszerűsített_kalkulátor!G343,'komplex kalkulátor'!D619)</f>
        <v>1.151056494563818E-8</v>
      </c>
      <c r="I110" s="561"/>
      <c r="J110" s="561"/>
      <c r="L110" s="561"/>
      <c r="N110" s="561"/>
      <c r="O110" s="585"/>
      <c r="P110" s="585"/>
      <c r="Q110" s="585"/>
    </row>
    <row r="111" spans="1:17" ht="15" customHeight="1" x14ac:dyDescent="0.3">
      <c r="A111" s="1655"/>
      <c r="B111" s="1014" t="s">
        <v>871</v>
      </c>
      <c r="C111" s="1015">
        <f>IF($L$3=1,SUM(egyszerűsített_kalkulátor!L344:L355),SUM('komplex kalkulátor'!M620:M631))</f>
        <v>3.5011301709649467E-10</v>
      </c>
      <c r="D111" s="1015">
        <f>IF($L$3=1,SUM(egyszerűsített_kalkulátor!J344:J355),SUM('komplex kalkulátor'!N620:N631))</f>
        <v>3.5011301709649467E-10</v>
      </c>
      <c r="E111" s="1016">
        <f t="shared" si="0"/>
        <v>0</v>
      </c>
      <c r="F111" s="1016">
        <v>0</v>
      </c>
      <c r="G111" s="1017">
        <f>IF($L$3=1,egyszerűsített_kalkulátor!G355,'komplex kalkulátor'!D631)</f>
        <v>1.151056494563818E-8</v>
      </c>
      <c r="I111" s="561"/>
      <c r="J111" s="561"/>
      <c r="L111" s="561"/>
      <c r="N111" s="561"/>
      <c r="O111" s="585"/>
      <c r="P111" s="585"/>
      <c r="Q111" s="585"/>
    </row>
    <row r="112" spans="1:17" ht="15" customHeight="1" x14ac:dyDescent="0.3">
      <c r="A112" s="1655"/>
      <c r="B112" s="1014" t="s">
        <v>872</v>
      </c>
      <c r="C112" s="1015">
        <f>IF($L$3=1,SUM(egyszerűsített_kalkulátor!L356:L367),SUM('komplex kalkulátor'!M632:M643))</f>
        <v>3.5011301709649467E-10</v>
      </c>
      <c r="D112" s="1015">
        <f>IF($L$3=1,SUM(egyszerűsített_kalkulátor!J356:J367),SUM('komplex kalkulátor'!N632:N643))</f>
        <v>3.5011301709649467E-10</v>
      </c>
      <c r="E112" s="1016">
        <f t="shared" si="0"/>
        <v>0</v>
      </c>
      <c r="F112" s="1016">
        <v>0</v>
      </c>
      <c r="G112" s="1017">
        <f>IF($L$3=1,egyszerűsített_kalkulátor!G367,'komplex kalkulátor'!D643)</f>
        <v>1.151056494563818E-8</v>
      </c>
      <c r="I112" s="561"/>
      <c r="J112" s="561"/>
      <c r="L112" s="561"/>
      <c r="N112" s="561"/>
      <c r="O112" s="585"/>
      <c r="P112" s="585"/>
      <c r="Q112" s="585"/>
    </row>
    <row r="113" spans="1:17" ht="15" customHeight="1" thickBot="1" x14ac:dyDescent="0.35">
      <c r="A113" s="1655"/>
      <c r="B113" s="1014" t="s">
        <v>873</v>
      </c>
      <c r="C113" s="1015">
        <f>IF($L$3=1,SUM(egyszerűsített_kalkulátor!L368:L379),SUM('komplex kalkulátor'!M644:M655))</f>
        <v>3.5011301709649467E-10</v>
      </c>
      <c r="D113" s="1015">
        <f>IF($L$3=1,SUM(egyszerűsített_kalkulátor!J368:J379),SUM('komplex kalkulátor'!N644:N655))</f>
        <v>3.5011301709649467E-10</v>
      </c>
      <c r="E113" s="1016">
        <f t="shared" si="0"/>
        <v>0</v>
      </c>
      <c r="F113" s="1016">
        <v>0</v>
      </c>
      <c r="G113" s="1017">
        <f>IF($L$3=1,egyszerűsített_kalkulátor!G379,'komplex kalkulátor'!D655)</f>
        <v>1.151056494563818E-8</v>
      </c>
      <c r="I113" s="561"/>
      <c r="J113" s="561"/>
      <c r="L113" s="561"/>
      <c r="N113" s="561"/>
      <c r="O113" s="585"/>
      <c r="P113" s="585"/>
      <c r="Q113" s="585"/>
    </row>
    <row r="114" spans="1:17" ht="19.5" customHeight="1" thickBot="1" x14ac:dyDescent="0.3">
      <c r="A114" s="1655"/>
      <c r="B114" s="1018" t="s">
        <v>1315</v>
      </c>
      <c r="C114" s="1019">
        <f>SUM(C89:C113)</f>
        <v>16032549.072114374</v>
      </c>
      <c r="D114" s="1019">
        <f>SUM(D89:D113)</f>
        <v>4032549.0721143717</v>
      </c>
      <c r="E114" s="1019">
        <f>SUM(E89:E113)</f>
        <v>12000000</v>
      </c>
      <c r="F114" s="1019">
        <f>SUM(F77:F113)</f>
        <v>0</v>
      </c>
      <c r="G114" s="1020"/>
      <c r="I114" s="561"/>
      <c r="J114" s="561"/>
      <c r="L114" s="561"/>
    </row>
    <row r="115" spans="1:17" ht="30.75" customHeight="1" thickBot="1" x14ac:dyDescent="0.35">
      <c r="A115" s="1659"/>
      <c r="B115" s="1736" t="s">
        <v>1316</v>
      </c>
      <c r="C115" s="1728"/>
      <c r="D115" s="1728"/>
      <c r="E115" s="1728"/>
      <c r="F115" s="1728"/>
      <c r="G115" s="1737"/>
      <c r="H115" s="561"/>
      <c r="I115" s="561"/>
      <c r="J115" s="561"/>
      <c r="L115" s="561"/>
    </row>
    <row r="116" spans="1:17" ht="159" customHeight="1" x14ac:dyDescent="0.25">
      <c r="A116" s="1738" t="s">
        <v>1445</v>
      </c>
      <c r="B116" s="1741" t="s">
        <v>1938</v>
      </c>
      <c r="C116" s="1742"/>
      <c r="D116" s="1742"/>
      <c r="E116" s="1742"/>
      <c r="F116" s="1742"/>
      <c r="G116" s="1743"/>
      <c r="I116" s="561"/>
      <c r="J116" s="561"/>
    </row>
    <row r="117" spans="1:17" ht="51.75" customHeight="1" x14ac:dyDescent="0.25">
      <c r="A117" s="1739"/>
      <c r="B117" s="1744" t="s">
        <v>1939</v>
      </c>
      <c r="C117" s="1671"/>
      <c r="D117" s="1671"/>
      <c r="E117" s="1671"/>
      <c r="F117" s="1671"/>
      <c r="G117" s="1745"/>
      <c r="I117" s="561"/>
      <c r="J117" s="561"/>
    </row>
    <row r="118" spans="1:17" ht="76.5" customHeight="1" x14ac:dyDescent="0.25">
      <c r="A118" s="1739"/>
      <c r="B118" s="1746" t="s">
        <v>1530</v>
      </c>
      <c r="C118" s="1747"/>
      <c r="D118" s="1747"/>
      <c r="E118" s="1747"/>
      <c r="F118" s="1747"/>
      <c r="G118" s="1748"/>
      <c r="I118" s="561"/>
      <c r="J118" s="561"/>
    </row>
    <row r="119" spans="1:17" ht="17.25" customHeight="1" x14ac:dyDescent="0.25">
      <c r="A119" s="1739"/>
      <c r="B119" s="1749" t="s">
        <v>1317</v>
      </c>
      <c r="C119" s="1750"/>
      <c r="D119" s="1750"/>
      <c r="E119" s="1751"/>
      <c r="F119" s="1768" t="s">
        <v>1318</v>
      </c>
      <c r="G119" s="1769"/>
      <c r="I119" s="561"/>
      <c r="J119" s="561"/>
    </row>
    <row r="120" spans="1:17" ht="16.5" customHeight="1" x14ac:dyDescent="0.25">
      <c r="A120" s="1739"/>
      <c r="B120" s="1770" t="s">
        <v>1940</v>
      </c>
      <c r="C120" s="1771"/>
      <c r="D120" s="1771"/>
      <c r="E120" s="1772"/>
      <c r="F120" s="1773">
        <f>IF($L$3=1,egyszerűsített_kalkulátor!$F$45,'komplex kalkulátor'!$E$20)</f>
        <v>19500</v>
      </c>
      <c r="G120" s="1774"/>
      <c r="I120" s="561"/>
      <c r="J120" s="561"/>
    </row>
    <row r="121" spans="1:17" ht="60" customHeight="1" x14ac:dyDescent="0.25">
      <c r="A121" s="1739"/>
      <c r="B121" s="1777" t="s">
        <v>1319</v>
      </c>
      <c r="C121" s="1747"/>
      <c r="D121" s="1747"/>
      <c r="E121" s="1778"/>
      <c r="F121" s="1775"/>
      <c r="G121" s="1776"/>
      <c r="I121" s="561"/>
      <c r="J121" s="561"/>
    </row>
    <row r="122" spans="1:17" ht="17.25" customHeight="1" x14ac:dyDescent="0.25">
      <c r="A122" s="1739"/>
      <c r="B122" s="1779" t="s">
        <v>1320</v>
      </c>
      <c r="C122" s="1780"/>
      <c r="D122" s="1780"/>
      <c r="E122" s="1781"/>
      <c r="F122" s="1021"/>
      <c r="G122" s="1022"/>
      <c r="I122" s="561"/>
      <c r="J122" s="561"/>
    </row>
    <row r="123" spans="1:17" ht="14.25" customHeight="1" x14ac:dyDescent="0.25">
      <c r="A123" s="1739"/>
      <c r="B123" s="1762" t="s">
        <v>1321</v>
      </c>
      <c r="C123" s="1763"/>
      <c r="D123" s="1763"/>
      <c r="E123" s="1764"/>
      <c r="F123" s="1767" t="str">
        <f>+Hirdetmény!$AA$19</f>
        <v>ügyleti kamat*1,5+3%., de legfeljebb 37,00%</v>
      </c>
      <c r="G123" s="1766"/>
      <c r="I123" s="561"/>
      <c r="J123" s="561"/>
    </row>
    <row r="124" spans="1:17" ht="14.25" customHeight="1" x14ac:dyDescent="0.25">
      <c r="A124" s="1739"/>
      <c r="B124" s="1762" t="s">
        <v>1322</v>
      </c>
      <c r="C124" s="1763"/>
      <c r="D124" s="1763"/>
      <c r="E124" s="1764"/>
      <c r="F124" s="1765"/>
      <c r="G124" s="1766"/>
      <c r="I124" s="561"/>
      <c r="J124" s="561"/>
    </row>
    <row r="125" spans="1:17" ht="14.25" customHeight="1" x14ac:dyDescent="0.25">
      <c r="A125" s="1739"/>
      <c r="B125" s="1762" t="s">
        <v>1323</v>
      </c>
      <c r="C125" s="1763"/>
      <c r="D125" s="1763"/>
      <c r="E125" s="1764"/>
      <c r="F125" s="1765" t="s">
        <v>1324</v>
      </c>
      <c r="G125" s="1766"/>
      <c r="I125" s="561"/>
      <c r="J125" s="561"/>
    </row>
    <row r="126" spans="1:17" ht="14.25" customHeight="1" x14ac:dyDescent="0.25">
      <c r="A126" s="1739"/>
      <c r="B126" s="1762" t="s">
        <v>1325</v>
      </c>
      <c r="C126" s="1763"/>
      <c r="D126" s="1763"/>
      <c r="E126" s="1764"/>
      <c r="F126" s="1767" t="str">
        <f>+Hirdetmény!$AA$30 &amp;" Ft"</f>
        <v>5000 Ft</v>
      </c>
      <c r="G126" s="1766"/>
      <c r="I126" s="561"/>
      <c r="J126" s="561"/>
    </row>
    <row r="127" spans="1:17" ht="14.25" customHeight="1" x14ac:dyDescent="0.25">
      <c r="A127" s="1739"/>
      <c r="B127" s="1762" t="s">
        <v>1326</v>
      </c>
      <c r="C127" s="1763"/>
      <c r="D127" s="1763"/>
      <c r="E127" s="1764"/>
      <c r="F127" s="1784">
        <f>+Hirdetmény!$AA$21</f>
        <v>10000</v>
      </c>
      <c r="G127" s="1785"/>
      <c r="I127" s="561"/>
      <c r="J127" s="561"/>
    </row>
    <row r="128" spans="1:17" ht="14.25" customHeight="1" x14ac:dyDescent="0.25">
      <c r="A128" s="1739"/>
      <c r="B128" s="1762" t="s">
        <v>1327</v>
      </c>
      <c r="C128" s="1763"/>
      <c r="D128" s="1763"/>
      <c r="E128" s="1764"/>
      <c r="F128" s="1784" t="str">
        <f>+Hirdetmény!$AA$31 &amp;" Ft/fedezet."</f>
        <v>6600 Ft/fedezet.</v>
      </c>
      <c r="G128" s="1785"/>
      <c r="I128" s="561"/>
      <c r="J128" s="561"/>
    </row>
    <row r="129" spans="1:10" ht="30.75" customHeight="1" x14ac:dyDescent="0.25">
      <c r="A129" s="1739"/>
      <c r="B129" s="1795" t="s">
        <v>1941</v>
      </c>
      <c r="C129" s="1796"/>
      <c r="D129" s="1796"/>
      <c r="E129" s="1797"/>
      <c r="F129" s="1798" t="s">
        <v>1293</v>
      </c>
      <c r="G129" s="1799"/>
      <c r="I129" s="561"/>
      <c r="J129" s="562"/>
    </row>
    <row r="130" spans="1:10" ht="83.4" customHeight="1" thickBot="1" x14ac:dyDescent="0.3">
      <c r="A130" s="1740"/>
      <c r="B130" s="1786" t="s">
        <v>1942</v>
      </c>
      <c r="C130" s="1787"/>
      <c r="D130" s="1787"/>
      <c r="E130" s="1787"/>
      <c r="F130" s="1787"/>
      <c r="G130" s="1788"/>
      <c r="I130" s="561"/>
      <c r="J130" s="561"/>
    </row>
    <row r="131" spans="1:10" ht="73.5" customHeight="1" x14ac:dyDescent="0.25">
      <c r="A131" s="1789" t="s">
        <v>1446</v>
      </c>
      <c r="B131" s="1741" t="s">
        <v>1943</v>
      </c>
      <c r="C131" s="1742"/>
      <c r="D131" s="1742"/>
      <c r="E131" s="1742"/>
      <c r="F131" s="1742"/>
      <c r="G131" s="1743"/>
      <c r="I131" s="561"/>
      <c r="J131" s="561"/>
    </row>
    <row r="132" spans="1:10" ht="48" customHeight="1" x14ac:dyDescent="0.25">
      <c r="A132" s="1790"/>
      <c r="B132" s="1792" t="str">
        <f>+Hirdetmény!$AA$23</f>
        <v>1,50%,
kivéve a jelzáloglevéllel finanszírozott kölcsönszerződés előtörlesztése esetén, ide értve a jelzálog-hitelintézet által refinanszírozott kölcsönszerződést is, ha a kamatperiódus fordulónapjától eltérő napon történik részleges vagy teljes előtörlesztés: 2,00%</v>
      </c>
      <c r="C132" s="1671"/>
      <c r="D132" s="1671"/>
      <c r="E132" s="1671"/>
      <c r="F132" s="1671"/>
      <c r="G132" s="1675"/>
      <c r="I132" s="561"/>
      <c r="J132" s="561"/>
    </row>
    <row r="133" spans="1:10" ht="43.5" customHeight="1" x14ac:dyDescent="0.25">
      <c r="A133" s="1790"/>
      <c r="B133" s="1792" t="str">
        <f>+Hirdetmény!$T$159</f>
        <v>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v>
      </c>
      <c r="C133" s="1793"/>
      <c r="D133" s="1793"/>
      <c r="E133" s="1793"/>
      <c r="F133" s="1793"/>
      <c r="G133" s="1794"/>
      <c r="I133" s="561"/>
      <c r="J133" s="561"/>
    </row>
    <row r="134" spans="1:10" ht="30.75" customHeight="1" thickBot="1" x14ac:dyDescent="0.3">
      <c r="A134" s="1791"/>
      <c r="B134" s="1688" t="s">
        <v>1328</v>
      </c>
      <c r="C134" s="1673"/>
      <c r="D134" s="1673"/>
      <c r="E134" s="1673"/>
      <c r="F134" s="1673"/>
      <c r="G134" s="1674"/>
      <c r="I134" s="561"/>
      <c r="J134" s="561"/>
    </row>
    <row r="135" spans="1:10" ht="90" customHeight="1" x14ac:dyDescent="0.25">
      <c r="A135" s="1789" t="s">
        <v>1447</v>
      </c>
      <c r="B135" s="1741" t="s">
        <v>1944</v>
      </c>
      <c r="C135" s="1742"/>
      <c r="D135" s="1742"/>
      <c r="E135" s="1742"/>
      <c r="F135" s="1742"/>
      <c r="G135" s="1743"/>
      <c r="I135" s="561"/>
      <c r="J135" s="561"/>
    </row>
    <row r="136" spans="1:10" ht="15" customHeight="1" x14ac:dyDescent="0.25">
      <c r="A136" s="1790"/>
      <c r="B136" s="1819" t="s">
        <v>1329</v>
      </c>
      <c r="C136" s="1820"/>
      <c r="D136" s="1820"/>
      <c r="E136" s="1821"/>
      <c r="F136" s="1822">
        <f>+Hirdetmény!$AA$21</f>
        <v>10000</v>
      </c>
      <c r="G136" s="1823"/>
      <c r="I136" s="561"/>
      <c r="J136" s="561"/>
    </row>
    <row r="137" spans="1:10" ht="15" customHeight="1" x14ac:dyDescent="0.25">
      <c r="A137" s="1790"/>
      <c r="B137" s="1811" t="s">
        <v>1330</v>
      </c>
      <c r="C137" s="1812"/>
      <c r="D137" s="1812"/>
      <c r="E137" s="1812"/>
      <c r="F137" s="1824" t="str">
        <f>+Hirdetmény!$AA$13</f>
        <v>Közjegyzői díjszabás szerint</v>
      </c>
      <c r="G137" s="1814"/>
      <c r="I137" s="561"/>
      <c r="J137" s="561"/>
    </row>
    <row r="138" spans="1:10" ht="15" customHeight="1" x14ac:dyDescent="0.25">
      <c r="A138" s="1790"/>
      <c r="B138" s="1811" t="s">
        <v>1331</v>
      </c>
      <c r="C138" s="1812"/>
      <c r="D138" s="1812"/>
      <c r="E138" s="1812"/>
      <c r="F138" s="1813">
        <f>+Hirdetmény!$AA$7</f>
        <v>42000</v>
      </c>
      <c r="G138" s="1814"/>
      <c r="I138" s="561"/>
      <c r="J138" s="561"/>
    </row>
    <row r="139" spans="1:10" ht="14.4" customHeight="1" x14ac:dyDescent="0.25">
      <c r="A139" s="1790"/>
      <c r="B139" s="1811" t="s">
        <v>1863</v>
      </c>
      <c r="C139" s="1812"/>
      <c r="D139" s="1812"/>
      <c r="E139" s="1812"/>
      <c r="F139" s="1782">
        <f>+Hirdetmény!$AA$9</f>
        <v>3000</v>
      </c>
      <c r="G139" s="1783"/>
      <c r="I139" s="561"/>
      <c r="J139" s="561"/>
    </row>
    <row r="140" spans="1:10" ht="15" customHeight="1" x14ac:dyDescent="0.25">
      <c r="A140" s="1790"/>
      <c r="B140" s="1811" t="s">
        <v>1332</v>
      </c>
      <c r="C140" s="1812"/>
      <c r="D140" s="1812"/>
      <c r="E140" s="1812"/>
      <c r="F140" s="1813">
        <f>+Hirdetmény!$AA$14</f>
        <v>12600</v>
      </c>
      <c r="G140" s="1814"/>
      <c r="I140" s="561"/>
      <c r="J140" s="561"/>
    </row>
    <row r="141" spans="1:10" ht="15" customHeight="1" thickBot="1" x14ac:dyDescent="0.3">
      <c r="A141" s="1791"/>
      <c r="B141" s="1815" t="s">
        <v>1327</v>
      </c>
      <c r="C141" s="1816"/>
      <c r="D141" s="1816"/>
      <c r="E141" s="1816"/>
      <c r="F141" s="1817">
        <f>+Hirdetmény!$AA$31</f>
        <v>6600</v>
      </c>
      <c r="G141" s="1818"/>
      <c r="I141" s="561"/>
      <c r="J141" s="561"/>
    </row>
    <row r="142" spans="1:10" ht="84.75" customHeight="1" thickBot="1" x14ac:dyDescent="0.3">
      <c r="A142" s="563" t="s">
        <v>1448</v>
      </c>
      <c r="B142" s="1670" t="s">
        <v>1945</v>
      </c>
      <c r="C142" s="1671"/>
      <c r="D142" s="1671"/>
      <c r="E142" s="1671"/>
      <c r="F142" s="1671"/>
      <c r="G142" s="1675"/>
      <c r="I142" s="561"/>
      <c r="J142" s="561"/>
    </row>
    <row r="143" spans="1:10" ht="192.75" customHeight="1" thickBot="1" x14ac:dyDescent="0.3">
      <c r="A143" s="564" t="s">
        <v>1449</v>
      </c>
      <c r="B143" s="1808" t="s">
        <v>1418</v>
      </c>
      <c r="C143" s="1809"/>
      <c r="D143" s="1809"/>
      <c r="E143" s="1809"/>
      <c r="F143" s="1809"/>
      <c r="G143" s="1810"/>
      <c r="I143" s="561"/>
      <c r="J143" s="561"/>
    </row>
    <row r="144" spans="1:10" ht="149.25" customHeight="1" x14ac:dyDescent="0.25">
      <c r="A144" s="1654" t="s">
        <v>1450</v>
      </c>
      <c r="B144" s="1670" t="s">
        <v>1946</v>
      </c>
      <c r="C144" s="1671"/>
      <c r="D144" s="1671"/>
      <c r="E144" s="1671"/>
      <c r="F144" s="1671"/>
      <c r="G144" s="1675"/>
      <c r="I144" s="561"/>
      <c r="J144" s="561"/>
    </row>
    <row r="145" spans="1:10" ht="203.25" customHeight="1" x14ac:dyDescent="0.25">
      <c r="A145" s="1655"/>
      <c r="B145" s="1670" t="s">
        <v>1947</v>
      </c>
      <c r="C145" s="1671"/>
      <c r="D145" s="1671"/>
      <c r="E145" s="1671"/>
      <c r="F145" s="1671"/>
      <c r="G145" s="1675"/>
      <c r="I145" s="561"/>
      <c r="J145" s="561"/>
    </row>
    <row r="146" spans="1:10" ht="231" customHeight="1" thickBot="1" x14ac:dyDescent="0.3">
      <c r="A146" s="1655"/>
      <c r="B146" s="1719" t="s">
        <v>1948</v>
      </c>
      <c r="C146" s="1720"/>
      <c r="D146" s="1720"/>
      <c r="E146" s="1720"/>
      <c r="F146" s="1720"/>
      <c r="G146" s="1721"/>
      <c r="I146" s="561"/>
      <c r="J146" s="561"/>
    </row>
    <row r="147" spans="1:10" ht="32.25" customHeight="1" thickBot="1" x14ac:dyDescent="0.3">
      <c r="A147" s="564" t="s">
        <v>1451</v>
      </c>
      <c r="B147" s="1808" t="s">
        <v>1478</v>
      </c>
      <c r="C147" s="1809"/>
      <c r="D147" s="1809"/>
      <c r="E147" s="1809"/>
      <c r="F147" s="1809"/>
      <c r="G147" s="1810"/>
      <c r="I147" s="561"/>
      <c r="J147" s="561"/>
    </row>
    <row r="148" spans="1:10" ht="35.25" customHeight="1" x14ac:dyDescent="0.25">
      <c r="A148" s="1800" t="s">
        <v>1333</v>
      </c>
      <c r="B148" s="1800"/>
      <c r="C148" s="1800"/>
      <c r="D148" s="1800"/>
      <c r="E148" s="1800"/>
      <c r="F148" s="1800"/>
      <c r="G148" s="1800"/>
    </row>
    <row r="149" spans="1:10" ht="35.25" customHeight="1" x14ac:dyDescent="0.25">
      <c r="A149" s="1801" t="s">
        <v>1334</v>
      </c>
      <c r="B149" s="1801"/>
      <c r="C149" s="1801"/>
      <c r="D149" s="1801"/>
      <c r="E149" s="1801"/>
      <c r="F149" s="1801"/>
      <c r="G149" s="1801"/>
    </row>
    <row r="150" spans="1:10" x14ac:dyDescent="0.3">
      <c r="B150" s="847"/>
    </row>
    <row r="151" spans="1:10" ht="29.25" customHeight="1" x14ac:dyDescent="0.3">
      <c r="A151" s="285" t="s">
        <v>1122</v>
      </c>
      <c r="B151" s="847"/>
    </row>
    <row r="152" spans="1:10" ht="29.25" customHeight="1" x14ac:dyDescent="0.3">
      <c r="A152" s="285" t="s">
        <v>337</v>
      </c>
      <c r="B152" s="847"/>
    </row>
    <row r="153" spans="1:10" ht="29.25" customHeight="1" x14ac:dyDescent="0.3">
      <c r="A153" s="285" t="s">
        <v>1430</v>
      </c>
      <c r="B153" s="847"/>
    </row>
    <row r="154" spans="1:10" ht="15" customHeight="1" x14ac:dyDescent="0.3">
      <c r="A154" s="286"/>
      <c r="B154" s="847"/>
    </row>
    <row r="155" spans="1:10" x14ac:dyDescent="0.3">
      <c r="A155" s="287" t="s">
        <v>1431</v>
      </c>
    </row>
    <row r="156" spans="1:10" x14ac:dyDescent="0.3">
      <c r="B156" s="847"/>
      <c r="D156" s="1802" t="s">
        <v>874</v>
      </c>
      <c r="E156" s="1802"/>
      <c r="F156" s="1802"/>
    </row>
    <row r="157" spans="1:10" x14ac:dyDescent="0.3">
      <c r="B157" s="847"/>
      <c r="D157" s="1803" t="s">
        <v>339</v>
      </c>
      <c r="E157" s="1803"/>
      <c r="F157" s="1803"/>
    </row>
    <row r="158" spans="1:10" x14ac:dyDescent="0.3">
      <c r="B158" s="847"/>
    </row>
    <row r="160" spans="1:10" x14ac:dyDescent="0.3">
      <c r="A160" s="1804"/>
      <c r="B160" s="1804"/>
    </row>
    <row r="161" spans="1:2" hidden="1" x14ac:dyDescent="0.3">
      <c r="A161" s="288"/>
      <c r="B161" s="1023"/>
    </row>
    <row r="162" spans="1:2" hidden="1" x14ac:dyDescent="0.3"/>
    <row r="163" spans="1:2" hidden="1" x14ac:dyDescent="0.3"/>
    <row r="164" spans="1:2" hidden="1" x14ac:dyDescent="0.3"/>
    <row r="165" spans="1:2" hidden="1" x14ac:dyDescent="0.3"/>
    <row r="166" spans="1:2" hidden="1" x14ac:dyDescent="0.3"/>
    <row r="167" spans="1:2" hidden="1" x14ac:dyDescent="0.3"/>
    <row r="168" spans="1:2" hidden="1" x14ac:dyDescent="0.3"/>
    <row r="169" spans="1:2" hidden="1" x14ac:dyDescent="0.3"/>
    <row r="170" spans="1:2" hidden="1" x14ac:dyDescent="0.3"/>
    <row r="171" spans="1:2" hidden="1" x14ac:dyDescent="0.3"/>
    <row r="172" spans="1:2" hidden="1" x14ac:dyDescent="0.3"/>
    <row r="173" spans="1:2" hidden="1" x14ac:dyDescent="0.3"/>
    <row r="174" spans="1:2" hidden="1" x14ac:dyDescent="0.3"/>
    <row r="175" spans="1:2" hidden="1" x14ac:dyDescent="0.3"/>
    <row r="176" spans="1:2"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sheetData>
  <sheetProtection algorithmName="SHA-512" hashValue="dlbzlkkc0iZ3KHyQxVx+32PZB9LHdEY+93q0AOuKdUN/PxtpYiQ0+dOOYokd/7hpx2NaL3C7fn7/2CuuiAKzDg==" saltValue="kbN0HIz//NbTwIwfUjPiQw==" spinCount="100000" sheet="1" selectLockedCells="1"/>
  <mergeCells count="128">
    <mergeCell ref="B33:D33"/>
    <mergeCell ref="B34:D34"/>
    <mergeCell ref="B29:C29"/>
    <mergeCell ref="B24:G24"/>
    <mergeCell ref="B23:G23"/>
    <mergeCell ref="B10:G10"/>
    <mergeCell ref="A12:A18"/>
    <mergeCell ref="A19:A31"/>
    <mergeCell ref="B147:G147"/>
    <mergeCell ref="B140:E140"/>
    <mergeCell ref="F140:G140"/>
    <mergeCell ref="B141:E141"/>
    <mergeCell ref="F141:G141"/>
    <mergeCell ref="B142:G142"/>
    <mergeCell ref="B143:G143"/>
    <mergeCell ref="A135:A141"/>
    <mergeCell ref="B135:G135"/>
    <mergeCell ref="B136:E136"/>
    <mergeCell ref="F136:G136"/>
    <mergeCell ref="B137:E137"/>
    <mergeCell ref="F137:G137"/>
    <mergeCell ref="B138:E138"/>
    <mergeCell ref="F138:G138"/>
    <mergeCell ref="B139:E139"/>
    <mergeCell ref="A148:G148"/>
    <mergeCell ref="A149:G149"/>
    <mergeCell ref="D156:F156"/>
    <mergeCell ref="D157:F157"/>
    <mergeCell ref="A160:B160"/>
    <mergeCell ref="A144:A146"/>
    <mergeCell ref="B144:G144"/>
    <mergeCell ref="B145:G145"/>
    <mergeCell ref="B146:G146"/>
    <mergeCell ref="B123:E123"/>
    <mergeCell ref="F123:G123"/>
    <mergeCell ref="F139:G139"/>
    <mergeCell ref="B127:E127"/>
    <mergeCell ref="F127:G127"/>
    <mergeCell ref="B128:E128"/>
    <mergeCell ref="F128:G128"/>
    <mergeCell ref="B130:G130"/>
    <mergeCell ref="A131:A134"/>
    <mergeCell ref="B131:G131"/>
    <mergeCell ref="B132:G132"/>
    <mergeCell ref="B133:G133"/>
    <mergeCell ref="B134:G134"/>
    <mergeCell ref="B129:E129"/>
    <mergeCell ref="F129:G129"/>
    <mergeCell ref="B75:G75"/>
    <mergeCell ref="B115:G115"/>
    <mergeCell ref="A116:A130"/>
    <mergeCell ref="B116:G116"/>
    <mergeCell ref="B117:G117"/>
    <mergeCell ref="B118:G118"/>
    <mergeCell ref="B119:E119"/>
    <mergeCell ref="A68:A73"/>
    <mergeCell ref="B69:G69"/>
    <mergeCell ref="B70:G70"/>
    <mergeCell ref="B71:G71"/>
    <mergeCell ref="B73:G73"/>
    <mergeCell ref="B74:G74"/>
    <mergeCell ref="B124:E124"/>
    <mergeCell ref="F124:G124"/>
    <mergeCell ref="B125:E125"/>
    <mergeCell ref="F125:G125"/>
    <mergeCell ref="B126:E126"/>
    <mergeCell ref="F126:G126"/>
    <mergeCell ref="F119:G119"/>
    <mergeCell ref="B120:E120"/>
    <mergeCell ref="F120:G121"/>
    <mergeCell ref="B121:E121"/>
    <mergeCell ref="B122:E122"/>
    <mergeCell ref="B60:G60"/>
    <mergeCell ref="B61:G61"/>
    <mergeCell ref="B62:G62"/>
    <mergeCell ref="B64:G64"/>
    <mergeCell ref="B65:G65"/>
    <mergeCell ref="A66:A67"/>
    <mergeCell ref="B66:C66"/>
    <mergeCell ref="B67:C67"/>
    <mergeCell ref="B53:E53"/>
    <mergeCell ref="F53:G53"/>
    <mergeCell ref="B55:G55"/>
    <mergeCell ref="B57:G57"/>
    <mergeCell ref="B58:G58"/>
    <mergeCell ref="B59:G59"/>
    <mergeCell ref="B56:G56"/>
    <mergeCell ref="F43:G43"/>
    <mergeCell ref="B44:E44"/>
    <mergeCell ref="B49:E49"/>
    <mergeCell ref="F49:G49"/>
    <mergeCell ref="B50:E50"/>
    <mergeCell ref="F50:G50"/>
    <mergeCell ref="B52:G52"/>
    <mergeCell ref="F44:G44"/>
    <mergeCell ref="B45:E45"/>
    <mergeCell ref="F45:G45"/>
    <mergeCell ref="B46:E46"/>
    <mergeCell ref="F46:G46"/>
    <mergeCell ref="B48:G48"/>
    <mergeCell ref="B47:E47"/>
    <mergeCell ref="F47:G47"/>
    <mergeCell ref="F51:G51"/>
    <mergeCell ref="B51:E51"/>
    <mergeCell ref="A4:G4"/>
    <mergeCell ref="A5:G5"/>
    <mergeCell ref="A7:A10"/>
    <mergeCell ref="B11:G11"/>
    <mergeCell ref="A74:A115"/>
    <mergeCell ref="B25:C25"/>
    <mergeCell ref="B27:G27"/>
    <mergeCell ref="B28:G28"/>
    <mergeCell ref="F29:G29"/>
    <mergeCell ref="B30:D30"/>
    <mergeCell ref="B18:G18"/>
    <mergeCell ref="B22:G22"/>
    <mergeCell ref="C12:E12"/>
    <mergeCell ref="C13:E13"/>
    <mergeCell ref="C14:E14"/>
    <mergeCell ref="B15:G15"/>
    <mergeCell ref="B16:G16"/>
    <mergeCell ref="B31:G31"/>
    <mergeCell ref="A32:A65"/>
    <mergeCell ref="B32:G32"/>
    <mergeCell ref="B35:G35"/>
    <mergeCell ref="B41:G41"/>
    <mergeCell ref="B42:G42"/>
    <mergeCell ref="B43:E43"/>
  </mergeCells>
  <dataValidations disablePrompts="1" count="1">
    <dataValidation type="list" allowBlank="1" showInputMessage="1" showErrorMessage="1" sqref="C1">
      <formula1>$J$1:$J$2</formula1>
    </dataValidation>
  </dataValidations>
  <printOptions horizontalCentered="1"/>
  <pageMargins left="0.23622047244094491" right="0.23622047244094491" top="0.74803149606299213" bottom="0.74803149606299213" header="0.31496062992125984" footer="0.31496062992125984"/>
  <pageSetup paperSize="9" scale="46" fitToHeight="3" orientation="portrait" r:id="rId1"/>
  <headerFooter>
    <oddHeader>&amp;L&amp;G&amp;C&amp;"Trebuchet MS,Félkövér"&amp;K000000Személyes tájékoztató a jelzáloghitelről 
(a jelzáloghitelre vonatkozó tájékoztatás szabályairól szóló 3/2016. (I. 7.) NGM rendelet alapján)</oddHeader>
    <oddFooter>&amp;C&amp;"Trebuchet MS,Normál"&amp;P. oldal</oddFooter>
  </headerFooter>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paraméterek!$H$289:$H$291</xm:f>
          </x14:formula1>
          <xm:sqref>B15:G15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091"/>
  <sheetViews>
    <sheetView zoomScale="80" zoomScaleNormal="80" zoomScaleSheetLayoutView="70" zoomScalePageLayoutView="85" workbookViewId="0">
      <selection activeCell="EA9" sqref="EA9"/>
    </sheetView>
  </sheetViews>
  <sheetFormatPr defaultRowHeight="14.4" x14ac:dyDescent="0.3"/>
  <cols>
    <col min="1" max="1" width="35.44140625" style="1040" customWidth="1"/>
    <col min="2" max="3" width="18.44140625" style="1040" customWidth="1"/>
    <col min="4" max="4" width="21.6640625" style="1040" customWidth="1"/>
    <col min="5" max="8" width="15.33203125" style="1040" customWidth="1"/>
    <col min="9" max="25" width="9.33203125" hidden="1" customWidth="1"/>
    <col min="26" max="26" width="11" hidden="1" customWidth="1"/>
    <col min="27" max="28" width="11" style="455" hidden="1" customWidth="1"/>
    <col min="29" max="29" width="11" hidden="1" customWidth="1"/>
    <col min="30" max="125" width="8.6640625" hidden="1" customWidth="1"/>
    <col min="126" max="186" width="8.6640625" customWidth="1"/>
  </cols>
  <sheetData>
    <row r="1" spans="1:30" ht="43.95" customHeight="1" x14ac:dyDescent="0.3">
      <c r="A1" s="1854" t="s">
        <v>1125</v>
      </c>
      <c r="B1" s="1857" t="s">
        <v>1433</v>
      </c>
      <c r="C1" s="1857"/>
      <c r="D1" s="1857"/>
      <c r="E1" s="1857"/>
      <c r="F1" s="1857"/>
      <c r="G1" s="1857"/>
      <c r="H1" s="1857"/>
      <c r="Z1" s="533"/>
      <c r="AA1" s="533" t="s">
        <v>601</v>
      </c>
      <c r="AB1" s="533" t="s">
        <v>1365</v>
      </c>
      <c r="AC1" s="533"/>
      <c r="AD1" s="533"/>
    </row>
    <row r="2" spans="1:30" ht="14.7" customHeight="1" x14ac:dyDescent="0.3">
      <c r="A2" s="1855"/>
      <c r="B2" s="1847" t="s">
        <v>1126</v>
      </c>
      <c r="C2" s="1827"/>
      <c r="D2" s="1043" t="s">
        <v>1248</v>
      </c>
      <c r="E2" s="1024"/>
      <c r="F2" s="1024"/>
      <c r="G2" s="1024"/>
      <c r="H2" s="1025"/>
      <c r="Z2" s="533"/>
      <c r="AA2" s="533" t="s">
        <v>1248</v>
      </c>
      <c r="AB2" s="533" t="s">
        <v>1366</v>
      </c>
      <c r="AC2" s="533"/>
      <c r="AD2" s="533"/>
    </row>
    <row r="3" spans="1:30" ht="80.25" customHeight="1" x14ac:dyDescent="0.3">
      <c r="A3" s="1855"/>
      <c r="B3" s="1852" t="str">
        <f>+VLOOKUP(D2,AA1:AB5,2,FALSE)</f>
        <v>A kölcsön célja új lakás építése. Új lakás építésének minősül 2008. július 1-jén, vagy azt követően kiállított a) építési engedély vagy b) egyszerű bejelentéshez kötött építési tevékenység bejelentésének megtörténtét az építésügyi hatság által kiállított igazoló dokumentum alapján felépített lakás vagy lakóház, amely a) használatbavételi engedéllyel vagy b) a használatbavétel tudomásulvételét igazoló hatósági bizonyítvánnyal vagy c) egyszerű bejelentéshez kötött épület felépítésének megtörténtéről szóló hatósági bizonyítvánnyal még nem rendelkezik az igényléskor.</v>
      </c>
      <c r="C3" s="1852"/>
      <c r="D3" s="1852"/>
      <c r="E3" s="1852"/>
      <c r="F3" s="1852"/>
      <c r="G3" s="1852"/>
      <c r="H3" s="1852"/>
      <c r="Z3" s="533"/>
      <c r="AA3" s="534" t="s">
        <v>600</v>
      </c>
      <c r="AB3" s="533" t="s">
        <v>1507</v>
      </c>
      <c r="AC3" s="533"/>
      <c r="AD3" s="533"/>
    </row>
    <row r="4" spans="1:30" ht="31.5" customHeight="1" x14ac:dyDescent="0.3">
      <c r="A4" s="1855"/>
      <c r="B4" s="1852" t="s">
        <v>1950</v>
      </c>
      <c r="C4" s="1852"/>
      <c r="D4" s="1852"/>
      <c r="E4" s="1852"/>
      <c r="F4" s="1852"/>
      <c r="G4" s="1852"/>
      <c r="H4" s="1852"/>
      <c r="Z4" s="533"/>
      <c r="AA4" s="533" t="s">
        <v>1776</v>
      </c>
      <c r="AB4" s="533" t="s">
        <v>1365</v>
      </c>
      <c r="AC4" s="533"/>
      <c r="AD4" s="533"/>
    </row>
    <row r="5" spans="1:30" ht="167.4" customHeight="1" thickBot="1" x14ac:dyDescent="0.35">
      <c r="A5" s="1856"/>
      <c r="B5" s="1853" t="s">
        <v>1951</v>
      </c>
      <c r="C5" s="1853"/>
      <c r="D5" s="1853"/>
      <c r="E5" s="1853"/>
      <c r="F5" s="1853"/>
      <c r="G5" s="1853"/>
      <c r="H5" s="1853"/>
      <c r="Z5" s="533"/>
      <c r="AA5" s="533" t="s">
        <v>1777</v>
      </c>
      <c r="AB5" s="533" t="s">
        <v>1366</v>
      </c>
      <c r="AC5" s="533"/>
      <c r="AD5" s="533"/>
    </row>
    <row r="6" spans="1:30" ht="35.700000000000003" customHeight="1" thickBot="1" x14ac:dyDescent="0.35">
      <c r="A6" s="1026" t="s">
        <v>1127</v>
      </c>
      <c r="B6" s="1829" t="s">
        <v>1952</v>
      </c>
      <c r="C6" s="1830"/>
      <c r="D6" s="1830"/>
      <c r="E6" s="1830"/>
      <c r="F6" s="1830"/>
      <c r="G6" s="1830"/>
      <c r="H6" s="1831"/>
      <c r="Z6" s="533"/>
      <c r="AA6" s="533"/>
      <c r="AB6" s="533"/>
      <c r="AC6" s="533"/>
      <c r="AD6" s="533"/>
    </row>
    <row r="7" spans="1:30" ht="36" hidden="1" customHeight="1" thickBot="1" x14ac:dyDescent="0.35">
      <c r="A7" s="1027" t="s">
        <v>1128</v>
      </c>
      <c r="B7" s="1832"/>
      <c r="C7" s="1833"/>
      <c r="D7" s="1833"/>
      <c r="E7" s="1833"/>
      <c r="F7" s="1833"/>
      <c r="G7" s="1833"/>
      <c r="H7" s="1834"/>
      <c r="Z7" s="533"/>
      <c r="AA7" s="533"/>
      <c r="AB7" s="533"/>
      <c r="AC7" s="533"/>
      <c r="AD7" s="533"/>
    </row>
    <row r="8" spans="1:30" ht="14.7" customHeight="1" x14ac:dyDescent="0.3">
      <c r="A8" s="1835" t="s">
        <v>1456</v>
      </c>
      <c r="B8" s="1028">
        <f>'Személyes tájék'!D19</f>
        <v>12000000</v>
      </c>
      <c r="C8" s="1029" t="s">
        <v>760</v>
      </c>
      <c r="D8" s="1029"/>
      <c r="E8" s="1029"/>
      <c r="F8" s="1029"/>
      <c r="G8" s="1029"/>
      <c r="H8" s="1030"/>
      <c r="Z8" s="533"/>
      <c r="AA8" s="533"/>
      <c r="AB8" s="533"/>
      <c r="AC8" s="533"/>
      <c r="AD8" s="533"/>
    </row>
    <row r="9" spans="1:30" ht="166.5" customHeight="1" thickBot="1" x14ac:dyDescent="0.35">
      <c r="A9" s="1836"/>
      <c r="B9" s="1837" t="s">
        <v>1837</v>
      </c>
      <c r="C9" s="1838"/>
      <c r="D9" s="1838"/>
      <c r="E9" s="1838"/>
      <c r="F9" s="1838"/>
      <c r="G9" s="1838"/>
      <c r="H9" s="1839"/>
      <c r="Z9" s="533"/>
      <c r="AA9" s="533"/>
      <c r="AB9" s="533"/>
      <c r="AC9" s="533"/>
      <c r="AD9" s="533"/>
    </row>
    <row r="10" spans="1:30" ht="20.100000000000001" customHeight="1" thickBot="1" x14ac:dyDescent="0.35">
      <c r="A10" s="1031" t="s">
        <v>1457</v>
      </c>
      <c r="B10" s="1032">
        <f>'Személyes tájék'!D20</f>
        <v>240</v>
      </c>
      <c r="C10" s="1033" t="s">
        <v>671</v>
      </c>
      <c r="D10" s="1034"/>
      <c r="E10" s="1034"/>
      <c r="F10" s="1034"/>
      <c r="G10" s="1034"/>
      <c r="H10" s="1035"/>
    </row>
    <row r="11" spans="1:30" ht="84" customHeight="1" thickBot="1" x14ac:dyDescent="0.35">
      <c r="A11" s="1036" t="s">
        <v>1458</v>
      </c>
      <c r="B11" s="1840" t="s">
        <v>1949</v>
      </c>
      <c r="C11" s="1841"/>
      <c r="D11" s="1841"/>
      <c r="E11" s="1841"/>
      <c r="F11" s="1841"/>
      <c r="G11" s="1841"/>
      <c r="H11" s="1842"/>
    </row>
    <row r="12" spans="1:30" ht="92.25" customHeight="1" x14ac:dyDescent="0.3">
      <c r="A12" s="1851" t="s">
        <v>1461</v>
      </c>
      <c r="B12" s="1843" t="s">
        <v>1838</v>
      </c>
      <c r="C12" s="1844"/>
      <c r="D12" s="1844"/>
      <c r="E12" s="1844"/>
      <c r="F12" s="1844"/>
      <c r="G12" s="1844"/>
      <c r="H12" s="1844"/>
    </row>
    <row r="13" spans="1:30" ht="52.5" customHeight="1" x14ac:dyDescent="0.3">
      <c r="A13" s="1852"/>
      <c r="B13" s="1845" t="str">
        <f>IF(OR(D2=paraméterek!A180,D2=paraméterek!A181),Hirdetmény!AT23,+Hirdetmény!AA23)</f>
        <v>1,50%,
kivéve a jelzáloglevéllel finanszírozott kölcsönszerződés előtörlesztése esetén, ide értve a jelzálog-hitelintézet által refinanszírozott kölcsönszerződést is, ha a kamatperiódus fordulónapjától eltérő napon történik részleges vagy teljes előtörlesztés: 2,00%</v>
      </c>
      <c r="C13" s="1827"/>
      <c r="D13" s="1827"/>
      <c r="E13" s="1827"/>
      <c r="F13" s="1827"/>
      <c r="G13" s="1827"/>
      <c r="H13" s="1846"/>
    </row>
    <row r="14" spans="1:30" ht="63" customHeight="1" x14ac:dyDescent="0.3">
      <c r="A14" s="1852"/>
      <c r="B14" s="1847" t="str">
        <f>+Hirdetmény!T159</f>
        <v>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v>
      </c>
      <c r="C14" s="1827"/>
      <c r="D14" s="1827"/>
      <c r="E14" s="1827"/>
      <c r="F14" s="1827"/>
      <c r="G14" s="1827"/>
      <c r="H14" s="1846"/>
    </row>
    <row r="15" spans="1:30" ht="33" customHeight="1" thickBot="1" x14ac:dyDescent="0.35">
      <c r="A15" s="1853"/>
      <c r="B15" s="1848" t="s">
        <v>1328</v>
      </c>
      <c r="C15" s="1849"/>
      <c r="D15" s="1849"/>
      <c r="E15" s="1849"/>
      <c r="F15" s="1849"/>
      <c r="G15" s="1849"/>
      <c r="H15" s="1850"/>
    </row>
    <row r="16" spans="1:30" ht="306" customHeight="1" thickBot="1" x14ac:dyDescent="0.35">
      <c r="A16" s="1037" t="s">
        <v>1462</v>
      </c>
      <c r="B16" s="1825" t="s">
        <v>1460</v>
      </c>
      <c r="C16" s="1826"/>
      <c r="D16" s="1826"/>
      <c r="E16" s="1826"/>
      <c r="F16" s="1826"/>
      <c r="G16" s="1826"/>
      <c r="H16" s="1826"/>
    </row>
    <row r="17" spans="1:8" x14ac:dyDescent="0.3">
      <c r="A17" s="1038"/>
      <c r="B17" s="1038"/>
      <c r="C17" s="1038"/>
      <c r="D17" s="1038"/>
      <c r="E17" s="1038"/>
      <c r="F17" s="1038"/>
      <c r="G17" s="1038"/>
      <c r="H17" s="1038"/>
    </row>
    <row r="18" spans="1:8" ht="33" customHeight="1" x14ac:dyDescent="0.3">
      <c r="A18" s="1827" t="s">
        <v>1129</v>
      </c>
      <c r="B18" s="1827"/>
      <c r="C18" s="1827"/>
      <c r="D18" s="1827"/>
      <c r="E18" s="1827"/>
      <c r="F18" s="1827"/>
      <c r="G18" s="1827"/>
      <c r="H18" s="1827"/>
    </row>
    <row r="19" spans="1:8" ht="23.1" customHeight="1" x14ac:dyDescent="0.3">
      <c r="A19" s="1039"/>
      <c r="B19" s="1039"/>
      <c r="C19" s="1039"/>
      <c r="D19" s="1039"/>
      <c r="E19" s="1039"/>
      <c r="F19" s="1039"/>
      <c r="G19" s="1039"/>
      <c r="H19" s="1039"/>
    </row>
    <row r="20" spans="1:8" x14ac:dyDescent="0.3">
      <c r="A20" s="1038"/>
      <c r="B20" s="1038"/>
      <c r="C20" s="1038"/>
      <c r="D20" s="1038"/>
      <c r="E20" s="1038"/>
      <c r="F20" s="1038"/>
      <c r="G20" s="1038"/>
      <c r="H20" s="1038"/>
    </row>
    <row r="21" spans="1:8" x14ac:dyDescent="0.3">
      <c r="A21" s="1042" t="s">
        <v>1431</v>
      </c>
      <c r="B21" s="1038"/>
      <c r="C21" s="1038"/>
      <c r="D21" s="1038"/>
      <c r="E21" s="1828" t="s">
        <v>874</v>
      </c>
      <c r="F21" s="1828"/>
      <c r="G21" s="1828"/>
      <c r="H21" s="1038"/>
    </row>
    <row r="22" spans="1:8" x14ac:dyDescent="0.3">
      <c r="A22" s="1038"/>
      <c r="B22" s="1038"/>
      <c r="C22" s="1038"/>
      <c r="D22" s="1038"/>
      <c r="E22" s="1803" t="s">
        <v>1130</v>
      </c>
      <c r="F22" s="1803"/>
      <c r="G22" s="1803"/>
      <c r="H22" s="1038"/>
    </row>
    <row r="24" spans="1:8" hidden="1" x14ac:dyDescent="0.3"/>
    <row r="25" spans="1:8" hidden="1" x14ac:dyDescent="0.3"/>
    <row r="26" spans="1:8" hidden="1" x14ac:dyDescent="0.3"/>
    <row r="27" spans="1:8" hidden="1" x14ac:dyDescent="0.3"/>
    <row r="28" spans="1:8" hidden="1" x14ac:dyDescent="0.3"/>
    <row r="29" spans="1:8" hidden="1" x14ac:dyDescent="0.3"/>
    <row r="30" spans="1:8" hidden="1" x14ac:dyDescent="0.3"/>
    <row r="31" spans="1:8" hidden="1" x14ac:dyDescent="0.3"/>
    <row r="32" spans="1:8"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row r="551" hidden="1" x14ac:dyDescent="0.3"/>
    <row r="552" hidden="1" x14ac:dyDescent="0.3"/>
    <row r="553" hidden="1" x14ac:dyDescent="0.3"/>
    <row r="554" hidden="1" x14ac:dyDescent="0.3"/>
    <row r="555" hidden="1" x14ac:dyDescent="0.3"/>
    <row r="556" hidden="1" x14ac:dyDescent="0.3"/>
    <row r="557" hidden="1" x14ac:dyDescent="0.3"/>
    <row r="558" hidden="1" x14ac:dyDescent="0.3"/>
    <row r="559" hidden="1" x14ac:dyDescent="0.3"/>
    <row r="560" hidden="1" x14ac:dyDescent="0.3"/>
    <row r="561" hidden="1" x14ac:dyDescent="0.3"/>
    <row r="562" hidden="1" x14ac:dyDescent="0.3"/>
    <row r="563" hidden="1" x14ac:dyDescent="0.3"/>
    <row r="564" hidden="1" x14ac:dyDescent="0.3"/>
    <row r="565" hidden="1" x14ac:dyDescent="0.3"/>
    <row r="566" hidden="1" x14ac:dyDescent="0.3"/>
    <row r="567" hidden="1" x14ac:dyDescent="0.3"/>
    <row r="568" hidden="1" x14ac:dyDescent="0.3"/>
    <row r="569" hidden="1" x14ac:dyDescent="0.3"/>
    <row r="570" hidden="1" x14ac:dyDescent="0.3"/>
    <row r="571" hidden="1" x14ac:dyDescent="0.3"/>
    <row r="572" hidden="1" x14ac:dyDescent="0.3"/>
    <row r="573" hidden="1" x14ac:dyDescent="0.3"/>
    <row r="574" hidden="1" x14ac:dyDescent="0.3"/>
    <row r="575" hidden="1" x14ac:dyDescent="0.3"/>
    <row r="576" hidden="1" x14ac:dyDescent="0.3"/>
    <row r="577" hidden="1" x14ac:dyDescent="0.3"/>
    <row r="578" hidden="1" x14ac:dyDescent="0.3"/>
    <row r="579" hidden="1" x14ac:dyDescent="0.3"/>
    <row r="580" hidden="1" x14ac:dyDescent="0.3"/>
    <row r="581" hidden="1" x14ac:dyDescent="0.3"/>
    <row r="582" hidden="1" x14ac:dyDescent="0.3"/>
    <row r="583" hidden="1" x14ac:dyDescent="0.3"/>
    <row r="584" hidden="1" x14ac:dyDescent="0.3"/>
    <row r="585" hidden="1" x14ac:dyDescent="0.3"/>
    <row r="586" hidden="1" x14ac:dyDescent="0.3"/>
    <row r="587" hidden="1" x14ac:dyDescent="0.3"/>
    <row r="588" hidden="1" x14ac:dyDescent="0.3"/>
    <row r="589" hidden="1" x14ac:dyDescent="0.3"/>
    <row r="590" hidden="1" x14ac:dyDescent="0.3"/>
    <row r="591" hidden="1" x14ac:dyDescent="0.3"/>
    <row r="592" hidden="1" x14ac:dyDescent="0.3"/>
    <row r="593" hidden="1" x14ac:dyDescent="0.3"/>
    <row r="594" hidden="1" x14ac:dyDescent="0.3"/>
    <row r="595" hidden="1" x14ac:dyDescent="0.3"/>
    <row r="596" hidden="1" x14ac:dyDescent="0.3"/>
    <row r="597" hidden="1" x14ac:dyDescent="0.3"/>
    <row r="598" hidden="1" x14ac:dyDescent="0.3"/>
    <row r="599" hidden="1" x14ac:dyDescent="0.3"/>
    <row r="600" hidden="1" x14ac:dyDescent="0.3"/>
    <row r="601" hidden="1" x14ac:dyDescent="0.3"/>
    <row r="602" hidden="1" x14ac:dyDescent="0.3"/>
    <row r="603" hidden="1" x14ac:dyDescent="0.3"/>
    <row r="604" hidden="1" x14ac:dyDescent="0.3"/>
    <row r="605" hidden="1" x14ac:dyDescent="0.3"/>
    <row r="606" hidden="1" x14ac:dyDescent="0.3"/>
    <row r="607" hidden="1" x14ac:dyDescent="0.3"/>
    <row r="608" hidden="1" x14ac:dyDescent="0.3"/>
    <row r="609" hidden="1" x14ac:dyDescent="0.3"/>
    <row r="610" hidden="1" x14ac:dyDescent="0.3"/>
    <row r="611" hidden="1" x14ac:dyDescent="0.3"/>
    <row r="612" hidden="1" x14ac:dyDescent="0.3"/>
    <row r="613" hidden="1" x14ac:dyDescent="0.3"/>
    <row r="614" hidden="1" x14ac:dyDescent="0.3"/>
    <row r="615" hidden="1" x14ac:dyDescent="0.3"/>
    <row r="616" hidden="1" x14ac:dyDescent="0.3"/>
    <row r="617" hidden="1" x14ac:dyDescent="0.3"/>
    <row r="618" hidden="1" x14ac:dyDescent="0.3"/>
    <row r="619" hidden="1" x14ac:dyDescent="0.3"/>
    <row r="620" hidden="1" x14ac:dyDescent="0.3"/>
    <row r="621" hidden="1" x14ac:dyDescent="0.3"/>
    <row r="622" hidden="1" x14ac:dyDescent="0.3"/>
    <row r="623" hidden="1" x14ac:dyDescent="0.3"/>
    <row r="624" hidden="1" x14ac:dyDescent="0.3"/>
    <row r="625" hidden="1" x14ac:dyDescent="0.3"/>
    <row r="626" hidden="1" x14ac:dyDescent="0.3"/>
    <row r="627" hidden="1" x14ac:dyDescent="0.3"/>
    <row r="628" hidden="1" x14ac:dyDescent="0.3"/>
    <row r="629" hidden="1" x14ac:dyDescent="0.3"/>
    <row r="630" hidden="1" x14ac:dyDescent="0.3"/>
    <row r="631" hidden="1" x14ac:dyDescent="0.3"/>
    <row r="632" hidden="1" x14ac:dyDescent="0.3"/>
    <row r="633" hidden="1" x14ac:dyDescent="0.3"/>
    <row r="634" hidden="1" x14ac:dyDescent="0.3"/>
    <row r="635" hidden="1" x14ac:dyDescent="0.3"/>
    <row r="636" hidden="1" x14ac:dyDescent="0.3"/>
    <row r="637" hidden="1" x14ac:dyDescent="0.3"/>
    <row r="638" hidden="1" x14ac:dyDescent="0.3"/>
    <row r="639" hidden="1" x14ac:dyDescent="0.3"/>
    <row r="640" hidden="1" x14ac:dyDescent="0.3"/>
    <row r="641" hidden="1" x14ac:dyDescent="0.3"/>
    <row r="642" hidden="1" x14ac:dyDescent="0.3"/>
    <row r="643" hidden="1" x14ac:dyDescent="0.3"/>
    <row r="644" hidden="1" x14ac:dyDescent="0.3"/>
    <row r="645" hidden="1" x14ac:dyDescent="0.3"/>
    <row r="646" hidden="1" x14ac:dyDescent="0.3"/>
    <row r="647" hidden="1" x14ac:dyDescent="0.3"/>
    <row r="648" hidden="1" x14ac:dyDescent="0.3"/>
    <row r="649" hidden="1" x14ac:dyDescent="0.3"/>
    <row r="650" hidden="1" x14ac:dyDescent="0.3"/>
    <row r="651" hidden="1" x14ac:dyDescent="0.3"/>
    <row r="652" hidden="1" x14ac:dyDescent="0.3"/>
    <row r="653" hidden="1" x14ac:dyDescent="0.3"/>
    <row r="654" hidden="1" x14ac:dyDescent="0.3"/>
    <row r="655" hidden="1" x14ac:dyDescent="0.3"/>
    <row r="656" hidden="1" x14ac:dyDescent="0.3"/>
    <row r="657" hidden="1" x14ac:dyDescent="0.3"/>
    <row r="658" hidden="1" x14ac:dyDescent="0.3"/>
    <row r="659" hidden="1" x14ac:dyDescent="0.3"/>
    <row r="660" hidden="1" x14ac:dyDescent="0.3"/>
    <row r="661" hidden="1" x14ac:dyDescent="0.3"/>
    <row r="662" hidden="1" x14ac:dyDescent="0.3"/>
    <row r="663" hidden="1" x14ac:dyDescent="0.3"/>
    <row r="664" hidden="1" x14ac:dyDescent="0.3"/>
    <row r="665" hidden="1" x14ac:dyDescent="0.3"/>
    <row r="666" hidden="1" x14ac:dyDescent="0.3"/>
    <row r="667" hidden="1" x14ac:dyDescent="0.3"/>
    <row r="668" hidden="1" x14ac:dyDescent="0.3"/>
    <row r="669" hidden="1" x14ac:dyDescent="0.3"/>
    <row r="670" hidden="1" x14ac:dyDescent="0.3"/>
    <row r="671" hidden="1" x14ac:dyDescent="0.3"/>
    <row r="672" hidden="1" x14ac:dyDescent="0.3"/>
    <row r="673" hidden="1" x14ac:dyDescent="0.3"/>
    <row r="674" hidden="1" x14ac:dyDescent="0.3"/>
    <row r="675" hidden="1" x14ac:dyDescent="0.3"/>
    <row r="676" hidden="1" x14ac:dyDescent="0.3"/>
    <row r="677" hidden="1" x14ac:dyDescent="0.3"/>
    <row r="678" hidden="1" x14ac:dyDescent="0.3"/>
    <row r="679" hidden="1" x14ac:dyDescent="0.3"/>
    <row r="680" hidden="1" x14ac:dyDescent="0.3"/>
    <row r="681" hidden="1" x14ac:dyDescent="0.3"/>
    <row r="682" hidden="1" x14ac:dyDescent="0.3"/>
    <row r="683" hidden="1" x14ac:dyDescent="0.3"/>
    <row r="684" hidden="1" x14ac:dyDescent="0.3"/>
    <row r="685" hidden="1" x14ac:dyDescent="0.3"/>
    <row r="686" hidden="1" x14ac:dyDescent="0.3"/>
    <row r="687" hidden="1" x14ac:dyDescent="0.3"/>
    <row r="688" hidden="1" x14ac:dyDescent="0.3"/>
    <row r="689" hidden="1" x14ac:dyDescent="0.3"/>
    <row r="690" hidden="1" x14ac:dyDescent="0.3"/>
    <row r="691" hidden="1" x14ac:dyDescent="0.3"/>
    <row r="692" hidden="1" x14ac:dyDescent="0.3"/>
    <row r="693" hidden="1" x14ac:dyDescent="0.3"/>
    <row r="694" hidden="1" x14ac:dyDescent="0.3"/>
    <row r="695" hidden="1" x14ac:dyDescent="0.3"/>
    <row r="696" hidden="1" x14ac:dyDescent="0.3"/>
    <row r="697" hidden="1" x14ac:dyDescent="0.3"/>
    <row r="698" hidden="1" x14ac:dyDescent="0.3"/>
    <row r="699" hidden="1" x14ac:dyDescent="0.3"/>
    <row r="700" hidden="1" x14ac:dyDescent="0.3"/>
    <row r="701" hidden="1" x14ac:dyDescent="0.3"/>
    <row r="702" hidden="1" x14ac:dyDescent="0.3"/>
    <row r="703" hidden="1" x14ac:dyDescent="0.3"/>
    <row r="704" hidden="1" x14ac:dyDescent="0.3"/>
    <row r="705" hidden="1" x14ac:dyDescent="0.3"/>
    <row r="706" hidden="1" x14ac:dyDescent="0.3"/>
    <row r="707" hidden="1" x14ac:dyDescent="0.3"/>
    <row r="708" hidden="1" x14ac:dyDescent="0.3"/>
    <row r="709" hidden="1" x14ac:dyDescent="0.3"/>
    <row r="710" hidden="1" x14ac:dyDescent="0.3"/>
    <row r="711" hidden="1" x14ac:dyDescent="0.3"/>
    <row r="712" hidden="1" x14ac:dyDescent="0.3"/>
    <row r="713" hidden="1" x14ac:dyDescent="0.3"/>
    <row r="714" hidden="1" x14ac:dyDescent="0.3"/>
    <row r="715" hidden="1" x14ac:dyDescent="0.3"/>
    <row r="716" hidden="1" x14ac:dyDescent="0.3"/>
    <row r="717" hidden="1" x14ac:dyDescent="0.3"/>
    <row r="718" hidden="1" x14ac:dyDescent="0.3"/>
    <row r="719" hidden="1" x14ac:dyDescent="0.3"/>
    <row r="720" hidden="1" x14ac:dyDescent="0.3"/>
    <row r="721" hidden="1" x14ac:dyDescent="0.3"/>
    <row r="722" hidden="1" x14ac:dyDescent="0.3"/>
    <row r="723" hidden="1" x14ac:dyDescent="0.3"/>
    <row r="724" hidden="1" x14ac:dyDescent="0.3"/>
    <row r="725" hidden="1" x14ac:dyDescent="0.3"/>
    <row r="726" hidden="1" x14ac:dyDescent="0.3"/>
    <row r="727" hidden="1" x14ac:dyDescent="0.3"/>
    <row r="728" hidden="1" x14ac:dyDescent="0.3"/>
    <row r="729" hidden="1" x14ac:dyDescent="0.3"/>
    <row r="730" hidden="1" x14ac:dyDescent="0.3"/>
    <row r="731" hidden="1" x14ac:dyDescent="0.3"/>
    <row r="732" hidden="1" x14ac:dyDescent="0.3"/>
    <row r="733" hidden="1" x14ac:dyDescent="0.3"/>
    <row r="734" hidden="1" x14ac:dyDescent="0.3"/>
    <row r="735" hidden="1" x14ac:dyDescent="0.3"/>
    <row r="736" hidden="1" x14ac:dyDescent="0.3"/>
    <row r="737" hidden="1" x14ac:dyDescent="0.3"/>
    <row r="738" hidden="1" x14ac:dyDescent="0.3"/>
    <row r="739" hidden="1" x14ac:dyDescent="0.3"/>
    <row r="740" hidden="1" x14ac:dyDescent="0.3"/>
    <row r="741" hidden="1" x14ac:dyDescent="0.3"/>
    <row r="742" hidden="1" x14ac:dyDescent="0.3"/>
    <row r="743" hidden="1" x14ac:dyDescent="0.3"/>
    <row r="744" hidden="1" x14ac:dyDescent="0.3"/>
    <row r="745" hidden="1" x14ac:dyDescent="0.3"/>
    <row r="746" hidden="1" x14ac:dyDescent="0.3"/>
    <row r="747" hidden="1" x14ac:dyDescent="0.3"/>
    <row r="748" hidden="1" x14ac:dyDescent="0.3"/>
    <row r="749" hidden="1" x14ac:dyDescent="0.3"/>
    <row r="750" hidden="1" x14ac:dyDescent="0.3"/>
    <row r="751" hidden="1" x14ac:dyDescent="0.3"/>
    <row r="752" hidden="1" x14ac:dyDescent="0.3"/>
    <row r="753" hidden="1" x14ac:dyDescent="0.3"/>
    <row r="754" hidden="1" x14ac:dyDescent="0.3"/>
    <row r="755" hidden="1" x14ac:dyDescent="0.3"/>
    <row r="756" hidden="1" x14ac:dyDescent="0.3"/>
    <row r="757" hidden="1" x14ac:dyDescent="0.3"/>
    <row r="758" hidden="1" x14ac:dyDescent="0.3"/>
    <row r="759" hidden="1" x14ac:dyDescent="0.3"/>
    <row r="760" hidden="1" x14ac:dyDescent="0.3"/>
    <row r="761" hidden="1" x14ac:dyDescent="0.3"/>
    <row r="762" hidden="1" x14ac:dyDescent="0.3"/>
    <row r="763" hidden="1" x14ac:dyDescent="0.3"/>
    <row r="764" hidden="1" x14ac:dyDescent="0.3"/>
    <row r="765" hidden="1" x14ac:dyDescent="0.3"/>
    <row r="766" hidden="1" x14ac:dyDescent="0.3"/>
    <row r="767" hidden="1" x14ac:dyDescent="0.3"/>
    <row r="768" hidden="1" x14ac:dyDescent="0.3"/>
    <row r="769" hidden="1" x14ac:dyDescent="0.3"/>
    <row r="770" hidden="1" x14ac:dyDescent="0.3"/>
    <row r="771" hidden="1" x14ac:dyDescent="0.3"/>
    <row r="772" hidden="1" x14ac:dyDescent="0.3"/>
    <row r="773" hidden="1" x14ac:dyDescent="0.3"/>
    <row r="774" hidden="1" x14ac:dyDescent="0.3"/>
    <row r="775" hidden="1" x14ac:dyDescent="0.3"/>
    <row r="776" hidden="1" x14ac:dyDescent="0.3"/>
    <row r="777" hidden="1" x14ac:dyDescent="0.3"/>
    <row r="778" hidden="1" x14ac:dyDescent="0.3"/>
    <row r="779" hidden="1" x14ac:dyDescent="0.3"/>
    <row r="780" hidden="1" x14ac:dyDescent="0.3"/>
    <row r="781" hidden="1" x14ac:dyDescent="0.3"/>
    <row r="782" hidden="1" x14ac:dyDescent="0.3"/>
    <row r="783" hidden="1" x14ac:dyDescent="0.3"/>
    <row r="784" hidden="1" x14ac:dyDescent="0.3"/>
    <row r="785" hidden="1" x14ac:dyDescent="0.3"/>
    <row r="786" hidden="1" x14ac:dyDescent="0.3"/>
    <row r="787" hidden="1" x14ac:dyDescent="0.3"/>
    <row r="788" hidden="1" x14ac:dyDescent="0.3"/>
    <row r="789" hidden="1" x14ac:dyDescent="0.3"/>
    <row r="790" hidden="1" x14ac:dyDescent="0.3"/>
    <row r="791" hidden="1" x14ac:dyDescent="0.3"/>
    <row r="792" hidden="1" x14ac:dyDescent="0.3"/>
    <row r="793" hidden="1" x14ac:dyDescent="0.3"/>
    <row r="794" hidden="1" x14ac:dyDescent="0.3"/>
    <row r="795" hidden="1" x14ac:dyDescent="0.3"/>
    <row r="796" hidden="1" x14ac:dyDescent="0.3"/>
    <row r="797" hidden="1" x14ac:dyDescent="0.3"/>
    <row r="798" hidden="1" x14ac:dyDescent="0.3"/>
    <row r="799" hidden="1" x14ac:dyDescent="0.3"/>
    <row r="800" hidden="1" x14ac:dyDescent="0.3"/>
    <row r="801" hidden="1" x14ac:dyDescent="0.3"/>
    <row r="802" hidden="1" x14ac:dyDescent="0.3"/>
    <row r="803" hidden="1" x14ac:dyDescent="0.3"/>
    <row r="804" hidden="1" x14ac:dyDescent="0.3"/>
    <row r="805" hidden="1" x14ac:dyDescent="0.3"/>
    <row r="806" hidden="1" x14ac:dyDescent="0.3"/>
    <row r="807" hidden="1" x14ac:dyDescent="0.3"/>
    <row r="808" hidden="1" x14ac:dyDescent="0.3"/>
    <row r="809" hidden="1" x14ac:dyDescent="0.3"/>
    <row r="810" hidden="1" x14ac:dyDescent="0.3"/>
    <row r="811" hidden="1" x14ac:dyDescent="0.3"/>
    <row r="812" hidden="1" x14ac:dyDescent="0.3"/>
    <row r="813" hidden="1" x14ac:dyDescent="0.3"/>
    <row r="814" hidden="1" x14ac:dyDescent="0.3"/>
    <row r="815" hidden="1" x14ac:dyDescent="0.3"/>
    <row r="816" hidden="1" x14ac:dyDescent="0.3"/>
    <row r="817" hidden="1" x14ac:dyDescent="0.3"/>
    <row r="818" hidden="1" x14ac:dyDescent="0.3"/>
    <row r="819" hidden="1" x14ac:dyDescent="0.3"/>
    <row r="820" hidden="1" x14ac:dyDescent="0.3"/>
    <row r="821" hidden="1" x14ac:dyDescent="0.3"/>
    <row r="822" hidden="1" x14ac:dyDescent="0.3"/>
    <row r="823" hidden="1" x14ac:dyDescent="0.3"/>
    <row r="824" hidden="1" x14ac:dyDescent="0.3"/>
    <row r="825" hidden="1" x14ac:dyDescent="0.3"/>
    <row r="826" hidden="1" x14ac:dyDescent="0.3"/>
    <row r="827" hidden="1" x14ac:dyDescent="0.3"/>
    <row r="828" hidden="1" x14ac:dyDescent="0.3"/>
    <row r="829" hidden="1" x14ac:dyDescent="0.3"/>
    <row r="830" hidden="1" x14ac:dyDescent="0.3"/>
    <row r="831" hidden="1" x14ac:dyDescent="0.3"/>
    <row r="832" hidden="1" x14ac:dyDescent="0.3"/>
    <row r="833" hidden="1" x14ac:dyDescent="0.3"/>
    <row r="834" hidden="1" x14ac:dyDescent="0.3"/>
    <row r="835" hidden="1" x14ac:dyDescent="0.3"/>
    <row r="836" hidden="1" x14ac:dyDescent="0.3"/>
    <row r="837" hidden="1" x14ac:dyDescent="0.3"/>
    <row r="838" hidden="1" x14ac:dyDescent="0.3"/>
    <row r="839" hidden="1" x14ac:dyDescent="0.3"/>
    <row r="840" hidden="1" x14ac:dyDescent="0.3"/>
    <row r="841" hidden="1" x14ac:dyDescent="0.3"/>
    <row r="842" hidden="1" x14ac:dyDescent="0.3"/>
    <row r="843" hidden="1" x14ac:dyDescent="0.3"/>
    <row r="844" hidden="1" x14ac:dyDescent="0.3"/>
    <row r="845" hidden="1" x14ac:dyDescent="0.3"/>
    <row r="846" hidden="1" x14ac:dyDescent="0.3"/>
    <row r="847" hidden="1" x14ac:dyDescent="0.3"/>
    <row r="848" hidden="1" x14ac:dyDescent="0.3"/>
    <row r="849" hidden="1" x14ac:dyDescent="0.3"/>
    <row r="850" hidden="1" x14ac:dyDescent="0.3"/>
    <row r="851" hidden="1" x14ac:dyDescent="0.3"/>
    <row r="852" hidden="1" x14ac:dyDescent="0.3"/>
    <row r="853" hidden="1" x14ac:dyDescent="0.3"/>
    <row r="854" hidden="1" x14ac:dyDescent="0.3"/>
    <row r="855" hidden="1" x14ac:dyDescent="0.3"/>
    <row r="856" hidden="1" x14ac:dyDescent="0.3"/>
    <row r="857" hidden="1" x14ac:dyDescent="0.3"/>
    <row r="858" hidden="1" x14ac:dyDescent="0.3"/>
    <row r="859" hidden="1" x14ac:dyDescent="0.3"/>
    <row r="860" hidden="1" x14ac:dyDescent="0.3"/>
    <row r="861" hidden="1" x14ac:dyDescent="0.3"/>
    <row r="862" hidden="1" x14ac:dyDescent="0.3"/>
    <row r="863" hidden="1" x14ac:dyDescent="0.3"/>
    <row r="864" hidden="1" x14ac:dyDescent="0.3"/>
    <row r="865" hidden="1" x14ac:dyDescent="0.3"/>
    <row r="866" hidden="1" x14ac:dyDescent="0.3"/>
    <row r="867" hidden="1" x14ac:dyDescent="0.3"/>
    <row r="868" hidden="1" x14ac:dyDescent="0.3"/>
    <row r="869" hidden="1" x14ac:dyDescent="0.3"/>
    <row r="870" hidden="1" x14ac:dyDescent="0.3"/>
    <row r="871" hidden="1" x14ac:dyDescent="0.3"/>
    <row r="872" hidden="1" x14ac:dyDescent="0.3"/>
    <row r="873" hidden="1" x14ac:dyDescent="0.3"/>
    <row r="874" hidden="1" x14ac:dyDescent="0.3"/>
    <row r="875" hidden="1" x14ac:dyDescent="0.3"/>
    <row r="876" hidden="1" x14ac:dyDescent="0.3"/>
    <row r="877" hidden="1" x14ac:dyDescent="0.3"/>
    <row r="878" hidden="1" x14ac:dyDescent="0.3"/>
    <row r="879" hidden="1" x14ac:dyDescent="0.3"/>
    <row r="880" hidden="1" x14ac:dyDescent="0.3"/>
    <row r="881" hidden="1" x14ac:dyDescent="0.3"/>
    <row r="882" hidden="1" x14ac:dyDescent="0.3"/>
    <row r="883" hidden="1" x14ac:dyDescent="0.3"/>
    <row r="884" hidden="1" x14ac:dyDescent="0.3"/>
    <row r="885" hidden="1" x14ac:dyDescent="0.3"/>
    <row r="886" hidden="1" x14ac:dyDescent="0.3"/>
    <row r="887" hidden="1" x14ac:dyDescent="0.3"/>
    <row r="888" hidden="1" x14ac:dyDescent="0.3"/>
    <row r="889" hidden="1" x14ac:dyDescent="0.3"/>
    <row r="890" hidden="1" x14ac:dyDescent="0.3"/>
    <row r="891" hidden="1" x14ac:dyDescent="0.3"/>
    <row r="892" hidden="1" x14ac:dyDescent="0.3"/>
    <row r="893" hidden="1" x14ac:dyDescent="0.3"/>
    <row r="894" hidden="1" x14ac:dyDescent="0.3"/>
    <row r="895" hidden="1" x14ac:dyDescent="0.3"/>
    <row r="896" hidden="1" x14ac:dyDescent="0.3"/>
    <row r="897" hidden="1" x14ac:dyDescent="0.3"/>
    <row r="898" hidden="1" x14ac:dyDescent="0.3"/>
    <row r="899" hidden="1" x14ac:dyDescent="0.3"/>
    <row r="900" hidden="1" x14ac:dyDescent="0.3"/>
    <row r="901" hidden="1" x14ac:dyDescent="0.3"/>
    <row r="902" hidden="1" x14ac:dyDescent="0.3"/>
    <row r="903" hidden="1" x14ac:dyDescent="0.3"/>
    <row r="904" hidden="1" x14ac:dyDescent="0.3"/>
    <row r="905" hidden="1" x14ac:dyDescent="0.3"/>
    <row r="906" hidden="1" x14ac:dyDescent="0.3"/>
    <row r="907" hidden="1" x14ac:dyDescent="0.3"/>
    <row r="908" hidden="1" x14ac:dyDescent="0.3"/>
    <row r="909" hidden="1" x14ac:dyDescent="0.3"/>
    <row r="910" hidden="1" x14ac:dyDescent="0.3"/>
    <row r="911" hidden="1" x14ac:dyDescent="0.3"/>
    <row r="912" hidden="1" x14ac:dyDescent="0.3"/>
    <row r="913" hidden="1" x14ac:dyDescent="0.3"/>
    <row r="914" hidden="1" x14ac:dyDescent="0.3"/>
    <row r="915" hidden="1" x14ac:dyDescent="0.3"/>
    <row r="916" hidden="1" x14ac:dyDescent="0.3"/>
    <row r="917" hidden="1" x14ac:dyDescent="0.3"/>
    <row r="918" hidden="1" x14ac:dyDescent="0.3"/>
    <row r="919" hidden="1" x14ac:dyDescent="0.3"/>
    <row r="920" hidden="1" x14ac:dyDescent="0.3"/>
    <row r="921" hidden="1" x14ac:dyDescent="0.3"/>
    <row r="922" hidden="1" x14ac:dyDescent="0.3"/>
    <row r="923" hidden="1" x14ac:dyDescent="0.3"/>
    <row r="924" hidden="1" x14ac:dyDescent="0.3"/>
    <row r="925" hidden="1" x14ac:dyDescent="0.3"/>
    <row r="926" hidden="1" x14ac:dyDescent="0.3"/>
    <row r="927" hidden="1" x14ac:dyDescent="0.3"/>
    <row r="928" hidden="1" x14ac:dyDescent="0.3"/>
    <row r="929" hidden="1" x14ac:dyDescent="0.3"/>
    <row r="930" hidden="1" x14ac:dyDescent="0.3"/>
    <row r="931" hidden="1" x14ac:dyDescent="0.3"/>
    <row r="932" hidden="1" x14ac:dyDescent="0.3"/>
    <row r="933" hidden="1" x14ac:dyDescent="0.3"/>
    <row r="934" hidden="1" x14ac:dyDescent="0.3"/>
    <row r="935" hidden="1" x14ac:dyDescent="0.3"/>
    <row r="936" hidden="1" x14ac:dyDescent="0.3"/>
    <row r="937" hidden="1" x14ac:dyDescent="0.3"/>
    <row r="938" hidden="1" x14ac:dyDescent="0.3"/>
    <row r="939" hidden="1" x14ac:dyDescent="0.3"/>
    <row r="940" hidden="1" x14ac:dyDescent="0.3"/>
    <row r="941" hidden="1" x14ac:dyDescent="0.3"/>
    <row r="942" hidden="1" x14ac:dyDescent="0.3"/>
    <row r="943" hidden="1" x14ac:dyDescent="0.3"/>
    <row r="944" hidden="1" x14ac:dyDescent="0.3"/>
    <row r="945" hidden="1" x14ac:dyDescent="0.3"/>
    <row r="946" hidden="1" x14ac:dyDescent="0.3"/>
    <row r="947" hidden="1" x14ac:dyDescent="0.3"/>
    <row r="948" hidden="1" x14ac:dyDescent="0.3"/>
    <row r="949" hidden="1" x14ac:dyDescent="0.3"/>
    <row r="950" hidden="1" x14ac:dyDescent="0.3"/>
    <row r="951" hidden="1" x14ac:dyDescent="0.3"/>
    <row r="952" hidden="1" x14ac:dyDescent="0.3"/>
    <row r="953" hidden="1" x14ac:dyDescent="0.3"/>
    <row r="954" hidden="1" x14ac:dyDescent="0.3"/>
    <row r="955" hidden="1" x14ac:dyDescent="0.3"/>
    <row r="956" hidden="1" x14ac:dyDescent="0.3"/>
    <row r="957" hidden="1" x14ac:dyDescent="0.3"/>
    <row r="958" hidden="1" x14ac:dyDescent="0.3"/>
    <row r="959" hidden="1" x14ac:dyDescent="0.3"/>
    <row r="960" hidden="1" x14ac:dyDescent="0.3"/>
    <row r="961" hidden="1" x14ac:dyDescent="0.3"/>
    <row r="962" hidden="1" x14ac:dyDescent="0.3"/>
    <row r="963" hidden="1" x14ac:dyDescent="0.3"/>
    <row r="964" hidden="1" x14ac:dyDescent="0.3"/>
    <row r="965" hidden="1" x14ac:dyDescent="0.3"/>
    <row r="966" hidden="1" x14ac:dyDescent="0.3"/>
    <row r="967" hidden="1" x14ac:dyDescent="0.3"/>
    <row r="968" hidden="1" x14ac:dyDescent="0.3"/>
    <row r="969" hidden="1" x14ac:dyDescent="0.3"/>
    <row r="970" hidden="1" x14ac:dyDescent="0.3"/>
    <row r="971" hidden="1" x14ac:dyDescent="0.3"/>
    <row r="972" hidden="1" x14ac:dyDescent="0.3"/>
    <row r="973" hidden="1" x14ac:dyDescent="0.3"/>
    <row r="974" hidden="1" x14ac:dyDescent="0.3"/>
    <row r="975" hidden="1" x14ac:dyDescent="0.3"/>
    <row r="976" hidden="1" x14ac:dyDescent="0.3"/>
    <row r="977" hidden="1" x14ac:dyDescent="0.3"/>
    <row r="978" hidden="1" x14ac:dyDescent="0.3"/>
    <row r="979" hidden="1" x14ac:dyDescent="0.3"/>
    <row r="980" hidden="1" x14ac:dyDescent="0.3"/>
    <row r="981" hidden="1" x14ac:dyDescent="0.3"/>
    <row r="982" hidden="1" x14ac:dyDescent="0.3"/>
    <row r="983" hidden="1" x14ac:dyDescent="0.3"/>
    <row r="984" hidden="1" x14ac:dyDescent="0.3"/>
    <row r="985" hidden="1" x14ac:dyDescent="0.3"/>
    <row r="986" hidden="1" x14ac:dyDescent="0.3"/>
    <row r="987" hidden="1" x14ac:dyDescent="0.3"/>
    <row r="988" hidden="1" x14ac:dyDescent="0.3"/>
    <row r="989" hidden="1" x14ac:dyDescent="0.3"/>
    <row r="990" hidden="1" x14ac:dyDescent="0.3"/>
    <row r="991" hidden="1" x14ac:dyDescent="0.3"/>
    <row r="992" hidden="1" x14ac:dyDescent="0.3"/>
    <row r="993" hidden="1" x14ac:dyDescent="0.3"/>
    <row r="994" hidden="1" x14ac:dyDescent="0.3"/>
    <row r="995" hidden="1" x14ac:dyDescent="0.3"/>
    <row r="996" hidden="1" x14ac:dyDescent="0.3"/>
    <row r="997" hidden="1" x14ac:dyDescent="0.3"/>
    <row r="998" hidden="1" x14ac:dyDescent="0.3"/>
    <row r="999" hidden="1" x14ac:dyDescent="0.3"/>
    <row r="1000" hidden="1" x14ac:dyDescent="0.3"/>
    <row r="1001" hidden="1" x14ac:dyDescent="0.3"/>
    <row r="1002" hidden="1" x14ac:dyDescent="0.3"/>
    <row r="1003" hidden="1" x14ac:dyDescent="0.3"/>
    <row r="1004" hidden="1" x14ac:dyDescent="0.3"/>
    <row r="1005" hidden="1" x14ac:dyDescent="0.3"/>
    <row r="1006" hidden="1" x14ac:dyDescent="0.3"/>
    <row r="1007" hidden="1" x14ac:dyDescent="0.3"/>
    <row r="1008" hidden="1" x14ac:dyDescent="0.3"/>
    <row r="1009" hidden="1" x14ac:dyDescent="0.3"/>
    <row r="1010" hidden="1" x14ac:dyDescent="0.3"/>
    <row r="1011" hidden="1" x14ac:dyDescent="0.3"/>
    <row r="1012" hidden="1" x14ac:dyDescent="0.3"/>
    <row r="1013" hidden="1" x14ac:dyDescent="0.3"/>
    <row r="1014" hidden="1" x14ac:dyDescent="0.3"/>
    <row r="1015" hidden="1" x14ac:dyDescent="0.3"/>
    <row r="1016" hidden="1" x14ac:dyDescent="0.3"/>
    <row r="1017" hidden="1" x14ac:dyDescent="0.3"/>
    <row r="1018" hidden="1" x14ac:dyDescent="0.3"/>
    <row r="1019" hidden="1" x14ac:dyDescent="0.3"/>
    <row r="1020" hidden="1" x14ac:dyDescent="0.3"/>
    <row r="1021" hidden="1" x14ac:dyDescent="0.3"/>
    <row r="1022" hidden="1" x14ac:dyDescent="0.3"/>
    <row r="1023" hidden="1" x14ac:dyDescent="0.3"/>
    <row r="1024" hidden="1" x14ac:dyDescent="0.3"/>
    <row r="1025" hidden="1" x14ac:dyDescent="0.3"/>
    <row r="1026" hidden="1" x14ac:dyDescent="0.3"/>
    <row r="1027" hidden="1" x14ac:dyDescent="0.3"/>
    <row r="1028" hidden="1" x14ac:dyDescent="0.3"/>
    <row r="1029" hidden="1" x14ac:dyDescent="0.3"/>
    <row r="1030" hidden="1" x14ac:dyDescent="0.3"/>
    <row r="1031" hidden="1" x14ac:dyDescent="0.3"/>
    <row r="1032" hidden="1" x14ac:dyDescent="0.3"/>
    <row r="1033" hidden="1" x14ac:dyDescent="0.3"/>
    <row r="1034" hidden="1" x14ac:dyDescent="0.3"/>
    <row r="1035" hidden="1" x14ac:dyDescent="0.3"/>
    <row r="1036" hidden="1" x14ac:dyDescent="0.3"/>
    <row r="1037" hidden="1" x14ac:dyDescent="0.3"/>
    <row r="1038" hidden="1" x14ac:dyDescent="0.3"/>
    <row r="1039" hidden="1" x14ac:dyDescent="0.3"/>
    <row r="1040" hidden="1" x14ac:dyDescent="0.3"/>
    <row r="1041" hidden="1" x14ac:dyDescent="0.3"/>
    <row r="1042" hidden="1" x14ac:dyDescent="0.3"/>
    <row r="1043" hidden="1" x14ac:dyDescent="0.3"/>
    <row r="1044" hidden="1" x14ac:dyDescent="0.3"/>
    <row r="1045" hidden="1" x14ac:dyDescent="0.3"/>
    <row r="1046" hidden="1" x14ac:dyDescent="0.3"/>
    <row r="1047" hidden="1" x14ac:dyDescent="0.3"/>
    <row r="1048" hidden="1" x14ac:dyDescent="0.3"/>
    <row r="1049" hidden="1" x14ac:dyDescent="0.3"/>
    <row r="1050" hidden="1" x14ac:dyDescent="0.3"/>
    <row r="1051" hidden="1" x14ac:dyDescent="0.3"/>
    <row r="1052" hidden="1" x14ac:dyDescent="0.3"/>
    <row r="1053" hidden="1" x14ac:dyDescent="0.3"/>
    <row r="1054" hidden="1" x14ac:dyDescent="0.3"/>
    <row r="1055" hidden="1" x14ac:dyDescent="0.3"/>
    <row r="1056" hidden="1" x14ac:dyDescent="0.3"/>
    <row r="1057" hidden="1" x14ac:dyDescent="0.3"/>
    <row r="1058" hidden="1" x14ac:dyDescent="0.3"/>
    <row r="1059" hidden="1" x14ac:dyDescent="0.3"/>
    <row r="1060" hidden="1" x14ac:dyDescent="0.3"/>
    <row r="1061" hidden="1" x14ac:dyDescent="0.3"/>
    <row r="1062" hidden="1" x14ac:dyDescent="0.3"/>
    <row r="1063" hidden="1" x14ac:dyDescent="0.3"/>
    <row r="1064" hidden="1" x14ac:dyDescent="0.3"/>
    <row r="1065" hidden="1" x14ac:dyDescent="0.3"/>
    <row r="1066" hidden="1" x14ac:dyDescent="0.3"/>
    <row r="1067" hidden="1" x14ac:dyDescent="0.3"/>
    <row r="1068" hidden="1" x14ac:dyDescent="0.3"/>
    <row r="1069" hidden="1" x14ac:dyDescent="0.3"/>
    <row r="1070" hidden="1" x14ac:dyDescent="0.3"/>
    <row r="1071" hidden="1" x14ac:dyDescent="0.3"/>
    <row r="1072" hidden="1" x14ac:dyDescent="0.3"/>
    <row r="1073" hidden="1" x14ac:dyDescent="0.3"/>
    <row r="1074" hidden="1" x14ac:dyDescent="0.3"/>
    <row r="1075" hidden="1" x14ac:dyDescent="0.3"/>
    <row r="1076" hidden="1" x14ac:dyDescent="0.3"/>
    <row r="1077" hidden="1" x14ac:dyDescent="0.3"/>
    <row r="1078" hidden="1" x14ac:dyDescent="0.3"/>
    <row r="1079" hidden="1" x14ac:dyDescent="0.3"/>
    <row r="1080" hidden="1" x14ac:dyDescent="0.3"/>
    <row r="1081" hidden="1" x14ac:dyDescent="0.3"/>
    <row r="1082" hidden="1" x14ac:dyDescent="0.3"/>
    <row r="1083" hidden="1" x14ac:dyDescent="0.3"/>
    <row r="1084" hidden="1" x14ac:dyDescent="0.3"/>
    <row r="1085" hidden="1" x14ac:dyDescent="0.3"/>
    <row r="1086" hidden="1" x14ac:dyDescent="0.3"/>
    <row r="1087" hidden="1" x14ac:dyDescent="0.3"/>
    <row r="1088" hidden="1" x14ac:dyDescent="0.3"/>
    <row r="1089" hidden="1" x14ac:dyDescent="0.3"/>
    <row r="1090" hidden="1" x14ac:dyDescent="0.3"/>
    <row r="1091" hidden="1" x14ac:dyDescent="0.3"/>
  </sheetData>
  <sheetProtection algorithmName="SHA-512" hashValue="R8/cbOHaWhfN8hIrq00pI9TAGSUQ8r+jJnQMXBwByWIp1tE7GOZG+YP90N5TB1KjDA3AkQGxTJHslKNSkgHHcA==" saltValue="NFKtdxF7dmMye8sAYGQUdw==" spinCount="100000" sheet="1" objects="1" scenarios="1"/>
  <mergeCells count="20">
    <mergeCell ref="A1:A5"/>
    <mergeCell ref="B1:H1"/>
    <mergeCell ref="B2:C2"/>
    <mergeCell ref="B3:H3"/>
    <mergeCell ref="B4:H4"/>
    <mergeCell ref="B5:H5"/>
    <mergeCell ref="B16:H16"/>
    <mergeCell ref="A18:H18"/>
    <mergeCell ref="E21:G21"/>
    <mergeCell ref="E22:G22"/>
    <mergeCell ref="B6:H6"/>
    <mergeCell ref="B7:H7"/>
    <mergeCell ref="A8:A9"/>
    <mergeCell ref="B9:H9"/>
    <mergeCell ref="B11:H11"/>
    <mergeCell ref="B12:H12"/>
    <mergeCell ref="B13:H13"/>
    <mergeCell ref="B14:H14"/>
    <mergeCell ref="B15:H15"/>
    <mergeCell ref="A12:A15"/>
  </mergeCells>
  <pageMargins left="0.70866141732283472" right="0.70866141732283472" top="0.74803149606299213" bottom="0.74803149606299213" header="0.31496062992125984" footer="0.31496062992125984"/>
  <pageSetup paperSize="9" scale="54" orientation="portrait" r:id="rId1"/>
  <headerFooter>
    <oddHeader xml:space="preserve">&amp;L&amp;G&amp;C&amp;"Trebuchet MS,Félkövér"&amp;K000000Tájékoztató Jelzálogkötelezettek részére
(a fogyasztónak nyújtott hitellel kapcsolatos egyes tájékoztatási szabályokról szóló 
56/2014 (XII.31.) NGM rendelet alapján)
</oddHeader>
  </headerFooter>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paraméterek!$A$177:$A$181</xm:f>
          </x14:formula1>
          <xm:sqref>D2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14"/>
  <sheetViews>
    <sheetView topLeftCell="A320" zoomScaleNormal="100" zoomScaleSheetLayoutView="80" workbookViewId="0">
      <selection activeCell="BD11" sqref="BD11"/>
    </sheetView>
  </sheetViews>
  <sheetFormatPr defaultRowHeight="14.4" x14ac:dyDescent="0.3"/>
  <cols>
    <col min="1" max="1" width="17.6640625" style="1040" customWidth="1"/>
    <col min="2" max="2" width="22.5546875" style="1040" customWidth="1"/>
    <col min="3" max="3" width="35.6640625" style="1040" customWidth="1"/>
    <col min="4" max="4" width="18.33203125" style="1040" customWidth="1"/>
    <col min="5" max="5" width="17.44140625" style="1040" customWidth="1"/>
    <col min="6" max="6" width="28.6640625" style="1040" bestFit="1" customWidth="1"/>
    <col min="7" max="7" width="15" style="1040" customWidth="1"/>
    <col min="9" max="53" width="0" hidden="1" customWidth="1"/>
  </cols>
  <sheetData>
    <row r="1" spans="1:37" ht="24.75" customHeight="1" x14ac:dyDescent="0.35">
      <c r="A1" s="1870" t="s">
        <v>1106</v>
      </c>
      <c r="B1" s="1870"/>
      <c r="C1" s="1870"/>
      <c r="D1" s="1870"/>
      <c r="E1" s="1870"/>
      <c r="F1" s="1870"/>
      <c r="G1" s="1870"/>
      <c r="AA1" s="533"/>
      <c r="AB1" s="533"/>
      <c r="AC1" s="533"/>
      <c r="AD1" s="533"/>
      <c r="AE1" s="533"/>
      <c r="AF1" s="533"/>
      <c r="AG1" s="533"/>
      <c r="AH1" s="533"/>
      <c r="AI1" s="533"/>
      <c r="AJ1" s="533"/>
      <c r="AK1" s="533"/>
    </row>
    <row r="2" spans="1:37" x14ac:dyDescent="0.3">
      <c r="A2" s="1038"/>
      <c r="B2" s="1038"/>
      <c r="C2" s="1038"/>
      <c r="D2" s="1038"/>
      <c r="E2" s="1038"/>
      <c r="F2" s="1038"/>
      <c r="G2" s="1038"/>
      <c r="AA2" s="533"/>
      <c r="AB2" s="533"/>
      <c r="AC2" s="533"/>
      <c r="AD2" s="533"/>
      <c r="AE2" s="533"/>
      <c r="AF2" s="533"/>
      <c r="AG2" s="533"/>
      <c r="AH2" s="533"/>
      <c r="AI2" s="533"/>
      <c r="AJ2" s="533"/>
      <c r="AK2" s="533"/>
    </row>
    <row r="3" spans="1:37" ht="29.25" customHeight="1" x14ac:dyDescent="0.3">
      <c r="A3" s="1858" t="s">
        <v>1767</v>
      </c>
      <c r="B3" s="1858"/>
      <c r="C3" s="1858"/>
      <c r="D3" s="1858"/>
      <c r="E3" s="1858"/>
      <c r="F3" s="1858"/>
      <c r="G3" s="1858"/>
      <c r="AA3" s="533"/>
      <c r="AB3" s="533"/>
      <c r="AC3" s="533"/>
      <c r="AD3" s="533"/>
      <c r="AE3" s="533"/>
      <c r="AF3" s="533"/>
      <c r="AG3" s="533"/>
      <c r="AH3" s="533"/>
      <c r="AI3" s="533"/>
      <c r="AJ3" s="533"/>
      <c r="AK3" s="533"/>
    </row>
    <row r="4" spans="1:37" ht="15" thickBot="1" x14ac:dyDescent="0.35">
      <c r="A4" s="1038"/>
      <c r="B4" s="1038"/>
      <c r="C4" s="1038"/>
      <c r="D4" s="1038"/>
      <c r="E4" s="1038"/>
      <c r="F4" s="1038"/>
      <c r="G4" s="1038"/>
      <c r="AA4" s="533"/>
      <c r="AB4" s="533"/>
      <c r="AC4" s="533"/>
      <c r="AD4" s="533"/>
      <c r="AE4" s="533"/>
      <c r="AF4" s="533"/>
      <c r="AG4" s="533"/>
      <c r="AH4" s="533"/>
      <c r="AI4" s="533"/>
      <c r="AJ4" s="533"/>
      <c r="AK4" s="533"/>
    </row>
    <row r="5" spans="1:37" x14ac:dyDescent="0.3">
      <c r="A5" s="1044" t="s">
        <v>1108</v>
      </c>
      <c r="B5" s="1090" t="s">
        <v>1248</v>
      </c>
      <c r="C5" s="1045"/>
      <c r="D5" s="1046" t="s">
        <v>1109</v>
      </c>
      <c r="E5" s="1047">
        <v>12000000</v>
      </c>
      <c r="F5" s="1046" t="s">
        <v>1766</v>
      </c>
      <c r="G5" s="1048">
        <v>240</v>
      </c>
      <c r="AA5" s="533"/>
      <c r="AB5" s="533"/>
      <c r="AC5" s="533"/>
      <c r="AD5" s="533"/>
      <c r="AE5" s="533"/>
      <c r="AF5" s="533"/>
      <c r="AG5" s="533"/>
      <c r="AH5" s="533"/>
      <c r="AI5" s="533"/>
      <c r="AJ5" s="533"/>
      <c r="AK5" s="533"/>
    </row>
    <row r="6" spans="1:37" x14ac:dyDescent="0.3">
      <c r="A6" s="1049"/>
      <c r="B6" s="1050"/>
      <c r="C6" s="1038"/>
      <c r="D6" s="1041"/>
      <c r="E6" s="1051"/>
      <c r="F6" s="1041"/>
      <c r="G6" s="1052"/>
      <c r="AA6" s="533"/>
      <c r="AB6" s="533"/>
      <c r="AC6" s="533"/>
      <c r="AD6" s="533"/>
      <c r="AE6" s="533"/>
      <c r="AF6" s="533"/>
      <c r="AG6" s="533"/>
      <c r="AH6" s="533"/>
      <c r="AI6" s="533"/>
      <c r="AJ6" s="533"/>
      <c r="AK6" s="533"/>
    </row>
    <row r="7" spans="1:37" ht="15" thickBot="1" x14ac:dyDescent="0.35">
      <c r="A7" s="1049" t="s">
        <v>1107</v>
      </c>
      <c r="B7" s="1053">
        <f>IF(OR(B5=paraméterek!A180,B5=paraméterek!A181),0%,+Hirdetmény!AA44)</f>
        <v>0.03</v>
      </c>
      <c r="C7" s="1038" t="s">
        <v>1367</v>
      </c>
      <c r="D7" s="1038"/>
      <c r="E7" s="1038"/>
      <c r="F7" s="1038"/>
      <c r="G7" s="1054"/>
      <c r="AA7" s="533"/>
      <c r="AB7" s="533"/>
      <c r="AC7" s="533"/>
      <c r="AD7" s="533"/>
      <c r="AE7" s="533"/>
      <c r="AF7" s="533"/>
      <c r="AG7" s="533"/>
      <c r="AH7" s="533"/>
      <c r="AI7" s="533"/>
      <c r="AJ7" s="533"/>
      <c r="AK7" s="533"/>
    </row>
    <row r="8" spans="1:37" ht="15" thickBot="1" x14ac:dyDescent="0.35">
      <c r="A8" s="1055"/>
      <c r="B8" s="1056"/>
      <c r="C8" s="1057"/>
      <c r="D8" s="1867" t="s">
        <v>1121</v>
      </c>
      <c r="E8" s="1868"/>
      <c r="F8" s="1868"/>
      <c r="G8" s="1869"/>
      <c r="AA8" s="533"/>
      <c r="AB8" s="533"/>
      <c r="AC8" s="533"/>
      <c r="AD8" s="533"/>
      <c r="AE8" s="533"/>
      <c r="AF8" s="533"/>
      <c r="AG8" s="533"/>
      <c r="AH8" s="533"/>
      <c r="AI8" s="533"/>
      <c r="AJ8" s="533"/>
      <c r="AK8" s="533"/>
    </row>
    <row r="9" spans="1:37" ht="15" thickBot="1" x14ac:dyDescent="0.35">
      <c r="A9" s="1867" t="s">
        <v>1111</v>
      </c>
      <c r="B9" s="1868"/>
      <c r="C9" s="1057"/>
      <c r="D9" s="1058">
        <v>0</v>
      </c>
      <c r="E9" s="1059">
        <v>0.01</v>
      </c>
      <c r="F9" s="1059">
        <v>0.02</v>
      </c>
      <c r="G9" s="1060">
        <v>0.03</v>
      </c>
      <c r="AA9" s="533"/>
      <c r="AB9" s="533"/>
      <c r="AC9" s="533"/>
      <c r="AD9" s="533"/>
      <c r="AE9" s="533"/>
      <c r="AF9" s="533"/>
      <c r="AG9" s="533"/>
      <c r="AH9" s="533"/>
      <c r="AI9" s="533"/>
      <c r="AJ9" s="533"/>
      <c r="AK9" s="533"/>
    </row>
    <row r="10" spans="1:37" x14ac:dyDescent="0.3">
      <c r="A10" s="1871" t="s">
        <v>1112</v>
      </c>
      <c r="B10" s="1872">
        <f>+B16*0.7</f>
        <v>153588.4</v>
      </c>
      <c r="C10" s="1061" t="s">
        <v>1119</v>
      </c>
      <c r="D10" s="1062">
        <f>+D11/$B$10</f>
        <v>0.43494357516893534</v>
      </c>
      <c r="E10" s="1063">
        <f t="shared" ref="E10:G10" si="0">+E11/$B$10</f>
        <v>0.47574821770411396</v>
      </c>
      <c r="F10" s="1063">
        <f t="shared" si="0"/>
        <v>0.51863137310740903</v>
      </c>
      <c r="G10" s="1064">
        <f t="shared" si="0"/>
        <v>0.56351670291802258</v>
      </c>
      <c r="AA10" s="533"/>
      <c r="AB10" s="533"/>
      <c r="AC10" s="533"/>
      <c r="AD10" s="533"/>
      <c r="AE10" s="533"/>
      <c r="AF10" s="533"/>
      <c r="AG10" s="533"/>
      <c r="AH10" s="533"/>
      <c r="AI10" s="533"/>
      <c r="AJ10" s="533"/>
      <c r="AK10" s="533"/>
    </row>
    <row r="11" spans="1:37" x14ac:dyDescent="0.3">
      <c r="A11" s="1863"/>
      <c r="B11" s="1861"/>
      <c r="C11" s="1065" t="s">
        <v>1120</v>
      </c>
      <c r="D11" s="1066">
        <f>PMT(B7/360*(365/12),G5,-E5,0,0)</f>
        <v>66802.287800476508</v>
      </c>
      <c r="E11" s="1067">
        <f>PMT((B7+E9)/360*(365/12),G5,-E5,0,0)</f>
        <v>73069.407560026535</v>
      </c>
      <c r="F11" s="1067">
        <f>PMT((B7+F9)/360*(365/12),G5,-E5,0,0)</f>
        <v>79655.762785369981</v>
      </c>
      <c r="G11" s="1068">
        <f>PMT((B7+G9)/360*(365/12),G5,-E5,0,0)</f>
        <v>86549.62877445441</v>
      </c>
      <c r="AA11" s="533"/>
      <c r="AB11" s="533"/>
      <c r="AC11" s="533"/>
      <c r="AD11" s="533"/>
      <c r="AE11" s="533"/>
      <c r="AF11" s="533"/>
      <c r="AG11" s="533"/>
      <c r="AH11" s="533"/>
      <c r="AI11" s="533"/>
      <c r="AJ11" s="533"/>
      <c r="AK11" s="533"/>
    </row>
    <row r="12" spans="1:37" x14ac:dyDescent="0.3">
      <c r="A12" s="1863" t="s">
        <v>1113</v>
      </c>
      <c r="B12" s="1861">
        <f>+B16*0.8</f>
        <v>175529.60000000001</v>
      </c>
      <c r="C12" s="1069" t="s">
        <v>1119</v>
      </c>
      <c r="D12" s="1070">
        <f>+D13/$B$12</f>
        <v>0.38057562827281843</v>
      </c>
      <c r="E12" s="1071">
        <f t="shared" ref="E12:G12" si="1">+E13/$B$12</f>
        <v>0.4162796904910997</v>
      </c>
      <c r="F12" s="1071">
        <f t="shared" si="1"/>
        <v>0.4538024514689829</v>
      </c>
      <c r="G12" s="1072">
        <f t="shared" si="1"/>
        <v>0.49307711505326968</v>
      </c>
      <c r="AA12" s="533"/>
      <c r="AB12" s="533"/>
      <c r="AC12" s="533"/>
      <c r="AD12" s="533"/>
      <c r="AE12" s="533"/>
      <c r="AF12" s="533"/>
      <c r="AG12" s="533"/>
      <c r="AH12" s="533"/>
      <c r="AI12" s="533"/>
      <c r="AJ12" s="533"/>
      <c r="AK12" s="533"/>
    </row>
    <row r="13" spans="1:37" x14ac:dyDescent="0.3">
      <c r="A13" s="1863"/>
      <c r="B13" s="1861"/>
      <c r="C13" s="1065" t="s">
        <v>1120</v>
      </c>
      <c r="D13" s="1066">
        <f>+D11</f>
        <v>66802.287800476508</v>
      </c>
      <c r="E13" s="1067">
        <f t="shared" ref="E13:G13" si="2">+E11</f>
        <v>73069.407560026535</v>
      </c>
      <c r="F13" s="1067">
        <f t="shared" si="2"/>
        <v>79655.762785369981</v>
      </c>
      <c r="G13" s="1068">
        <f t="shared" si="2"/>
        <v>86549.62877445441</v>
      </c>
      <c r="AA13" s="533"/>
      <c r="AB13" s="533"/>
      <c r="AC13" s="533"/>
      <c r="AD13" s="533"/>
      <c r="AE13" s="533"/>
      <c r="AF13" s="533"/>
      <c r="AG13" s="533"/>
      <c r="AH13" s="533"/>
      <c r="AI13" s="533"/>
      <c r="AJ13" s="533"/>
      <c r="AK13" s="533"/>
    </row>
    <row r="14" spans="1:37" x14ac:dyDescent="0.3">
      <c r="A14" s="1863" t="s">
        <v>1114</v>
      </c>
      <c r="B14" s="1861">
        <f>+B16*0.9</f>
        <v>197470.80000000002</v>
      </c>
      <c r="C14" s="1069" t="s">
        <v>1119</v>
      </c>
      <c r="D14" s="1070">
        <f>+D15/$B$14</f>
        <v>0.33828944735361632</v>
      </c>
      <c r="E14" s="1071">
        <f t="shared" ref="E14:G14" si="3">+E15/$B$14</f>
        <v>0.37002639154764416</v>
      </c>
      <c r="F14" s="1071">
        <f t="shared" si="3"/>
        <v>0.40337995686131811</v>
      </c>
      <c r="G14" s="1072">
        <f t="shared" si="3"/>
        <v>0.43829076893623969</v>
      </c>
      <c r="AA14" s="533"/>
      <c r="AB14" s="533"/>
      <c r="AC14" s="533"/>
      <c r="AD14" s="533"/>
      <c r="AE14" s="533"/>
      <c r="AF14" s="533"/>
      <c r="AG14" s="533"/>
      <c r="AH14" s="533"/>
      <c r="AI14" s="533"/>
      <c r="AJ14" s="533"/>
      <c r="AK14" s="533"/>
    </row>
    <row r="15" spans="1:37" x14ac:dyDescent="0.3">
      <c r="A15" s="1863"/>
      <c r="B15" s="1861"/>
      <c r="C15" s="1065" t="s">
        <v>1120</v>
      </c>
      <c r="D15" s="1066">
        <f>+D11</f>
        <v>66802.287800476508</v>
      </c>
      <c r="E15" s="1067">
        <f t="shared" ref="E15:G15" si="4">+E11</f>
        <v>73069.407560026535</v>
      </c>
      <c r="F15" s="1067">
        <f t="shared" si="4"/>
        <v>79655.762785369981</v>
      </c>
      <c r="G15" s="1068">
        <f t="shared" si="4"/>
        <v>86549.62877445441</v>
      </c>
      <c r="AA15" s="533"/>
      <c r="AB15" s="533"/>
      <c r="AC15" s="533"/>
      <c r="AD15" s="533"/>
      <c r="AE15" s="533"/>
      <c r="AF15" s="533"/>
      <c r="AG15" s="533"/>
      <c r="AH15" s="533"/>
      <c r="AI15" s="533"/>
      <c r="AJ15" s="533"/>
      <c r="AK15" s="533"/>
    </row>
    <row r="16" spans="1:37" x14ac:dyDescent="0.3">
      <c r="A16" s="1864" t="s">
        <v>1115</v>
      </c>
      <c r="B16" s="1861">
        <v>219412</v>
      </c>
      <c r="C16" s="1069" t="s">
        <v>1119</v>
      </c>
      <c r="D16" s="1070">
        <f>+D17/$B$16</f>
        <v>0.30446050261825475</v>
      </c>
      <c r="E16" s="1071">
        <f t="shared" ref="E16:G16" si="5">+E17/$B$16</f>
        <v>0.33302375239287979</v>
      </c>
      <c r="F16" s="1071">
        <f t="shared" si="5"/>
        <v>0.36304196117518633</v>
      </c>
      <c r="G16" s="1072">
        <f t="shared" si="5"/>
        <v>0.39446169204261577</v>
      </c>
      <c r="AA16" s="533"/>
      <c r="AB16" s="533"/>
      <c r="AC16" s="533"/>
      <c r="AD16" s="533"/>
      <c r="AE16" s="533"/>
      <c r="AF16" s="533"/>
      <c r="AG16" s="533"/>
      <c r="AH16" s="533"/>
      <c r="AI16" s="533"/>
      <c r="AJ16" s="533"/>
      <c r="AK16" s="533"/>
    </row>
    <row r="17" spans="1:37" x14ac:dyDescent="0.3">
      <c r="A17" s="1865"/>
      <c r="B17" s="1861"/>
      <c r="C17" s="1065" t="s">
        <v>1120</v>
      </c>
      <c r="D17" s="1066">
        <f>+D11</f>
        <v>66802.287800476508</v>
      </c>
      <c r="E17" s="1067">
        <f t="shared" ref="E17:G17" si="6">+E11</f>
        <v>73069.407560026535</v>
      </c>
      <c r="F17" s="1067">
        <f t="shared" si="6"/>
        <v>79655.762785369981</v>
      </c>
      <c r="G17" s="1068">
        <f t="shared" si="6"/>
        <v>86549.62877445441</v>
      </c>
      <c r="AA17" s="533"/>
      <c r="AB17" s="533"/>
      <c r="AC17" s="533"/>
      <c r="AD17" s="533"/>
      <c r="AE17" s="533"/>
      <c r="AF17" s="533"/>
      <c r="AG17" s="533"/>
      <c r="AH17" s="533"/>
      <c r="AI17" s="533"/>
      <c r="AJ17" s="533"/>
      <c r="AK17" s="533"/>
    </row>
    <row r="18" spans="1:37" x14ac:dyDescent="0.3">
      <c r="A18" s="1863" t="s">
        <v>1116</v>
      </c>
      <c r="B18" s="1861">
        <f>+B16*1.1</f>
        <v>241353.2</v>
      </c>
      <c r="C18" s="1069" t="s">
        <v>1119</v>
      </c>
      <c r="D18" s="1070">
        <f>+D19/$B$18</f>
        <v>0.27678227510750431</v>
      </c>
      <c r="E18" s="1071">
        <f t="shared" ref="E18:G18" si="7">+E19/$B$18</f>
        <v>0.30274886581170884</v>
      </c>
      <c r="F18" s="1071">
        <f t="shared" si="7"/>
        <v>0.33003814652289665</v>
      </c>
      <c r="G18" s="1072">
        <f t="shared" si="7"/>
        <v>0.35860153822055979</v>
      </c>
      <c r="AA18" s="533"/>
      <c r="AB18" s="533"/>
      <c r="AC18" s="533"/>
      <c r="AD18" s="533"/>
      <c r="AE18" s="533"/>
      <c r="AF18" s="533"/>
      <c r="AG18" s="533"/>
      <c r="AH18" s="533"/>
      <c r="AI18" s="533"/>
      <c r="AJ18" s="533"/>
      <c r="AK18" s="533"/>
    </row>
    <row r="19" spans="1:37" x14ac:dyDescent="0.3">
      <c r="A19" s="1863"/>
      <c r="B19" s="1861"/>
      <c r="C19" s="1065" t="s">
        <v>1120</v>
      </c>
      <c r="D19" s="1066">
        <f>+D11</f>
        <v>66802.287800476508</v>
      </c>
      <c r="E19" s="1067">
        <f t="shared" ref="E19:G19" si="8">+E11</f>
        <v>73069.407560026535</v>
      </c>
      <c r="F19" s="1067">
        <f t="shared" si="8"/>
        <v>79655.762785369981</v>
      </c>
      <c r="G19" s="1068">
        <f t="shared" si="8"/>
        <v>86549.62877445441</v>
      </c>
      <c r="AA19" s="533"/>
      <c r="AB19" s="533"/>
      <c r="AC19" s="533"/>
      <c r="AD19" s="533"/>
      <c r="AE19" s="533"/>
      <c r="AF19" s="533"/>
      <c r="AG19" s="533"/>
      <c r="AH19" s="533"/>
      <c r="AI19" s="533"/>
      <c r="AJ19" s="533"/>
      <c r="AK19" s="533"/>
    </row>
    <row r="20" spans="1:37" x14ac:dyDescent="0.3">
      <c r="A20" s="1863" t="s">
        <v>1117</v>
      </c>
      <c r="B20" s="1861">
        <f>+B16*1.2</f>
        <v>263294.39999999997</v>
      </c>
      <c r="C20" s="1069" t="s">
        <v>1119</v>
      </c>
      <c r="D20" s="1070">
        <f>+D21/$B$20</f>
        <v>0.25371708551521233</v>
      </c>
      <c r="E20" s="1071">
        <f t="shared" ref="E20:G20" si="9">+E21/$B$20</f>
        <v>0.27751979366073315</v>
      </c>
      <c r="F20" s="1071">
        <f t="shared" si="9"/>
        <v>0.30253496764598864</v>
      </c>
      <c r="G20" s="1072">
        <f t="shared" si="9"/>
        <v>0.32871807670217984</v>
      </c>
      <c r="AA20" s="533"/>
      <c r="AB20" s="533"/>
      <c r="AC20" s="533"/>
      <c r="AD20" s="533"/>
      <c r="AE20" s="533"/>
      <c r="AF20" s="533"/>
      <c r="AG20" s="533"/>
      <c r="AH20" s="533"/>
      <c r="AI20" s="533"/>
      <c r="AJ20" s="533"/>
      <c r="AK20" s="533"/>
    </row>
    <row r="21" spans="1:37" x14ac:dyDescent="0.3">
      <c r="A21" s="1863"/>
      <c r="B21" s="1861"/>
      <c r="C21" s="1065" t="s">
        <v>1120</v>
      </c>
      <c r="D21" s="1066">
        <f>+D11</f>
        <v>66802.287800476508</v>
      </c>
      <c r="E21" s="1067">
        <f t="shared" ref="E21:G21" si="10">+E11</f>
        <v>73069.407560026535</v>
      </c>
      <c r="F21" s="1067">
        <f t="shared" si="10"/>
        <v>79655.762785369981</v>
      </c>
      <c r="G21" s="1068">
        <f t="shared" si="10"/>
        <v>86549.62877445441</v>
      </c>
      <c r="AA21" s="533"/>
      <c r="AB21" s="533"/>
      <c r="AC21" s="533"/>
      <c r="AD21" s="533"/>
      <c r="AE21" s="533"/>
      <c r="AF21" s="533"/>
      <c r="AG21" s="533"/>
      <c r="AH21" s="533"/>
      <c r="AI21" s="533"/>
      <c r="AJ21" s="533"/>
      <c r="AK21" s="533"/>
    </row>
    <row r="22" spans="1:37" x14ac:dyDescent="0.3">
      <c r="A22" s="1863" t="s">
        <v>1118</v>
      </c>
      <c r="B22" s="1861">
        <f>+B16*1.3</f>
        <v>285235.60000000003</v>
      </c>
      <c r="C22" s="1069" t="s">
        <v>1119</v>
      </c>
      <c r="D22" s="1070">
        <f>+D23/$B$22</f>
        <v>0.23420038662942669</v>
      </c>
      <c r="E22" s="1071">
        <f t="shared" ref="E22:G22" si="11">+E23/$B$22</f>
        <v>0.2561721172252921</v>
      </c>
      <c r="F22" s="1071">
        <f t="shared" si="11"/>
        <v>0.27926304705783561</v>
      </c>
      <c r="G22" s="1072">
        <f t="shared" si="11"/>
        <v>0.30343207080201207</v>
      </c>
      <c r="AA22" s="533"/>
      <c r="AB22" s="533"/>
      <c r="AC22" s="533"/>
      <c r="AD22" s="533"/>
      <c r="AE22" s="533"/>
      <c r="AF22" s="533"/>
      <c r="AG22" s="533"/>
      <c r="AH22" s="533"/>
      <c r="AI22" s="533"/>
      <c r="AJ22" s="533"/>
      <c r="AK22" s="533"/>
    </row>
    <row r="23" spans="1:37" ht="15" thickBot="1" x14ac:dyDescent="0.35">
      <c r="A23" s="1866"/>
      <c r="B23" s="1862"/>
      <c r="C23" s="1073" t="s">
        <v>1120</v>
      </c>
      <c r="D23" s="1074">
        <f>+D11</f>
        <v>66802.287800476508</v>
      </c>
      <c r="E23" s="1075">
        <f t="shared" ref="E23:G23" si="12">+E11</f>
        <v>73069.407560026535</v>
      </c>
      <c r="F23" s="1075">
        <f t="shared" si="12"/>
        <v>79655.762785369981</v>
      </c>
      <c r="G23" s="1076">
        <f t="shared" si="12"/>
        <v>86549.62877445441</v>
      </c>
      <c r="AA23" s="533"/>
      <c r="AB23" s="533"/>
      <c r="AC23" s="533"/>
      <c r="AD23" s="533"/>
      <c r="AE23" s="533"/>
      <c r="AF23" s="533"/>
      <c r="AG23" s="533"/>
      <c r="AH23" s="533"/>
      <c r="AI23" s="533"/>
      <c r="AJ23" s="533"/>
      <c r="AK23" s="533"/>
    </row>
    <row r="24" spans="1:37" x14ac:dyDescent="0.3">
      <c r="A24" s="1077"/>
      <c r="B24" s="1078"/>
      <c r="C24" s="1038"/>
      <c r="D24" s="1079"/>
      <c r="E24" s="1079"/>
      <c r="F24" s="1079"/>
      <c r="G24" s="1080"/>
      <c r="AA24" s="533"/>
      <c r="AB24" s="533"/>
      <c r="AC24" s="533"/>
      <c r="AD24" s="533"/>
      <c r="AE24" s="533"/>
      <c r="AF24" s="533"/>
      <c r="AG24" s="533"/>
      <c r="AH24" s="533"/>
      <c r="AI24" s="533"/>
      <c r="AJ24" s="533"/>
      <c r="AK24" s="533"/>
    </row>
    <row r="25" spans="1:37" ht="15" thickBot="1" x14ac:dyDescent="0.35">
      <c r="A25" s="1049" t="s">
        <v>1107</v>
      </c>
      <c r="B25" s="1081">
        <f>+Hirdetmény!AA46</f>
        <v>0.13400000000000001</v>
      </c>
      <c r="C25" s="1038" t="s">
        <v>1368</v>
      </c>
      <c r="D25" s="1038"/>
      <c r="E25" s="1038"/>
      <c r="F25" s="1038"/>
      <c r="G25" s="1054"/>
      <c r="AA25" s="533"/>
      <c r="AB25" s="533"/>
      <c r="AC25" s="533"/>
      <c r="AD25" s="533"/>
      <c r="AE25" s="533"/>
      <c r="AF25" s="533"/>
      <c r="AG25" s="533"/>
      <c r="AH25" s="533"/>
      <c r="AI25" s="533"/>
      <c r="AJ25" s="533"/>
      <c r="AK25" s="533"/>
    </row>
    <row r="26" spans="1:37" ht="15" thickBot="1" x14ac:dyDescent="0.35">
      <c r="A26" s="1055"/>
      <c r="B26" s="1056"/>
      <c r="C26" s="1057"/>
      <c r="D26" s="1867" t="s">
        <v>1121</v>
      </c>
      <c r="E26" s="1868"/>
      <c r="F26" s="1868"/>
      <c r="G26" s="1869"/>
      <c r="AA26" s="533"/>
      <c r="AB26" s="533"/>
      <c r="AC26" s="533"/>
      <c r="AD26" s="533"/>
      <c r="AE26" s="533"/>
      <c r="AF26" s="533"/>
      <c r="AG26" s="533"/>
      <c r="AH26" s="533"/>
      <c r="AI26" s="533"/>
      <c r="AJ26" s="533"/>
      <c r="AK26" s="533"/>
    </row>
    <row r="27" spans="1:37" ht="15" thickBot="1" x14ac:dyDescent="0.35">
      <c r="A27" s="1867" t="s">
        <v>1111</v>
      </c>
      <c r="B27" s="1868"/>
      <c r="C27" s="1057"/>
      <c r="D27" s="1058">
        <v>0</v>
      </c>
      <c r="E27" s="1059">
        <v>0.01</v>
      </c>
      <c r="F27" s="1059">
        <v>0.02</v>
      </c>
      <c r="G27" s="1060">
        <v>0.03</v>
      </c>
      <c r="AA27" s="533"/>
      <c r="AB27" s="533"/>
      <c r="AC27" s="533"/>
      <c r="AD27" s="533"/>
      <c r="AE27" s="533"/>
      <c r="AF27" s="533"/>
      <c r="AG27" s="533"/>
      <c r="AH27" s="533"/>
      <c r="AI27" s="533"/>
      <c r="AJ27" s="533"/>
      <c r="AK27" s="533"/>
    </row>
    <row r="28" spans="1:37" x14ac:dyDescent="0.3">
      <c r="A28" s="1871" t="s">
        <v>1112</v>
      </c>
      <c r="B28" s="1872">
        <f>+B34*0.7</f>
        <v>153588.4</v>
      </c>
      <c r="C28" s="1061" t="s">
        <v>1119</v>
      </c>
      <c r="D28" s="1062">
        <f>+D29/$B$10</f>
        <v>0.94817751576713727</v>
      </c>
      <c r="E28" s="1063">
        <f t="shared" ref="E28:G28" si="13">+E29/$B$10</f>
        <v>1.005803650450934</v>
      </c>
      <c r="F28" s="1063">
        <f t="shared" si="13"/>
        <v>1.0644315487363709</v>
      </c>
      <c r="G28" s="1064">
        <f t="shared" si="13"/>
        <v>1.1239617957507442</v>
      </c>
    </row>
    <row r="29" spans="1:37" x14ac:dyDescent="0.3">
      <c r="A29" s="1863"/>
      <c r="B29" s="1861"/>
      <c r="C29" s="1065" t="s">
        <v>1120</v>
      </c>
      <c r="D29" s="1066">
        <f>PMT(B25/360*(365/12),G5,-E5,0,0)</f>
        <v>145629.06756264938</v>
      </c>
      <c r="E29" s="1067">
        <f>PMT((B25+E27)/360*(365/12),G5,-E5,0,0)</f>
        <v>154479.77338691821</v>
      </c>
      <c r="F29" s="1067">
        <f>PMT((B25+F27)/360*(365/12),G5,-E5,0,0)</f>
        <v>163484.33847994122</v>
      </c>
      <c r="G29" s="1068">
        <f>PMT((B25+G27)/360*(365/12),G5,-E5,0,0)</f>
        <v>172627.49387048359</v>
      </c>
    </row>
    <row r="30" spans="1:37" x14ac:dyDescent="0.3">
      <c r="A30" s="1863" t="s">
        <v>1113</v>
      </c>
      <c r="B30" s="1861">
        <f>+B34*0.8</f>
        <v>175529.60000000001</v>
      </c>
      <c r="C30" s="1069" t="s">
        <v>1119</v>
      </c>
      <c r="D30" s="1070">
        <f>+D31/$B$12</f>
        <v>0.82965532629624505</v>
      </c>
      <c r="E30" s="1071">
        <f t="shared" ref="E30:G30" si="14">+E31/$B$12</f>
        <v>0.88007819414456712</v>
      </c>
      <c r="F30" s="1071">
        <f t="shared" si="14"/>
        <v>0.93137760514432444</v>
      </c>
      <c r="G30" s="1072">
        <f t="shared" si="14"/>
        <v>0.98346657128190107</v>
      </c>
    </row>
    <row r="31" spans="1:37" x14ac:dyDescent="0.3">
      <c r="A31" s="1863"/>
      <c r="B31" s="1861"/>
      <c r="C31" s="1065" t="s">
        <v>1120</v>
      </c>
      <c r="D31" s="1066">
        <f>+D29</f>
        <v>145629.06756264938</v>
      </c>
      <c r="E31" s="1067">
        <f t="shared" ref="E31:G31" si="15">+E29</f>
        <v>154479.77338691821</v>
      </c>
      <c r="F31" s="1067">
        <f t="shared" si="15"/>
        <v>163484.33847994122</v>
      </c>
      <c r="G31" s="1068">
        <f t="shared" si="15"/>
        <v>172627.49387048359</v>
      </c>
    </row>
    <row r="32" spans="1:37" x14ac:dyDescent="0.3">
      <c r="A32" s="1863" t="s">
        <v>1114</v>
      </c>
      <c r="B32" s="1861">
        <f>+B34*0.9</f>
        <v>197470.80000000002</v>
      </c>
      <c r="C32" s="1069" t="s">
        <v>1119</v>
      </c>
      <c r="D32" s="1070">
        <f>+D33/$B$14</f>
        <v>0.73747140115221776</v>
      </c>
      <c r="E32" s="1071">
        <f t="shared" ref="E32:G32" si="16">+E33/$B$14</f>
        <v>0.782291728128504</v>
      </c>
      <c r="F32" s="1071">
        <f t="shared" si="16"/>
        <v>0.8278912045727328</v>
      </c>
      <c r="G32" s="1072">
        <f t="shared" si="16"/>
        <v>0.87419250780613422</v>
      </c>
    </row>
    <row r="33" spans="1:7" x14ac:dyDescent="0.3">
      <c r="A33" s="1863"/>
      <c r="B33" s="1861"/>
      <c r="C33" s="1065" t="s">
        <v>1120</v>
      </c>
      <c r="D33" s="1066">
        <f>+D29</f>
        <v>145629.06756264938</v>
      </c>
      <c r="E33" s="1067">
        <f t="shared" ref="E33:G33" si="17">+E29</f>
        <v>154479.77338691821</v>
      </c>
      <c r="F33" s="1067">
        <f t="shared" si="17"/>
        <v>163484.33847994122</v>
      </c>
      <c r="G33" s="1068">
        <f t="shared" si="17"/>
        <v>172627.49387048359</v>
      </c>
    </row>
    <row r="34" spans="1:7" x14ac:dyDescent="0.3">
      <c r="A34" s="1864" t="s">
        <v>1115</v>
      </c>
      <c r="B34" s="1861">
        <f>+B16</f>
        <v>219412</v>
      </c>
      <c r="C34" s="1069" t="s">
        <v>1119</v>
      </c>
      <c r="D34" s="1070">
        <f>+D35/$B$16</f>
        <v>0.663724261036996</v>
      </c>
      <c r="E34" s="1071">
        <f t="shared" ref="E34:G34" si="18">+E35/$B$16</f>
        <v>0.70406255531565376</v>
      </c>
      <c r="F34" s="1071">
        <f t="shared" si="18"/>
        <v>0.74510208411545953</v>
      </c>
      <c r="G34" s="1072">
        <f t="shared" si="18"/>
        <v>0.78677325702552092</v>
      </c>
    </row>
    <row r="35" spans="1:7" x14ac:dyDescent="0.3">
      <c r="A35" s="1865"/>
      <c r="B35" s="1861"/>
      <c r="C35" s="1065" t="s">
        <v>1120</v>
      </c>
      <c r="D35" s="1066">
        <f>+D29</f>
        <v>145629.06756264938</v>
      </c>
      <c r="E35" s="1067">
        <f t="shared" ref="E35:G35" si="19">+E29</f>
        <v>154479.77338691821</v>
      </c>
      <c r="F35" s="1067">
        <f t="shared" si="19"/>
        <v>163484.33847994122</v>
      </c>
      <c r="G35" s="1068">
        <f t="shared" si="19"/>
        <v>172627.49387048359</v>
      </c>
    </row>
    <row r="36" spans="1:7" x14ac:dyDescent="0.3">
      <c r="A36" s="1863" t="s">
        <v>1116</v>
      </c>
      <c r="B36" s="1861">
        <f>+B34*1.1</f>
        <v>241353.2</v>
      </c>
      <c r="C36" s="1069" t="s">
        <v>1119</v>
      </c>
      <c r="D36" s="1070">
        <f>+D37/$B$18</f>
        <v>0.60338569185181457</v>
      </c>
      <c r="E36" s="1071">
        <f t="shared" ref="E36:G36" si="20">+E37/$B$18</f>
        <v>0.64005686846877607</v>
      </c>
      <c r="F36" s="1071">
        <f t="shared" si="20"/>
        <v>0.67736553101405417</v>
      </c>
      <c r="G36" s="1072">
        <f t="shared" si="20"/>
        <v>0.7152484154777462</v>
      </c>
    </row>
    <row r="37" spans="1:7" x14ac:dyDescent="0.3">
      <c r="A37" s="1863"/>
      <c r="B37" s="1861"/>
      <c r="C37" s="1065" t="s">
        <v>1120</v>
      </c>
      <c r="D37" s="1066">
        <f>+D29</f>
        <v>145629.06756264938</v>
      </c>
      <c r="E37" s="1067">
        <f t="shared" ref="E37:G37" si="21">+E29</f>
        <v>154479.77338691821</v>
      </c>
      <c r="F37" s="1067">
        <f t="shared" si="21"/>
        <v>163484.33847994122</v>
      </c>
      <c r="G37" s="1068">
        <f t="shared" si="21"/>
        <v>172627.49387048359</v>
      </c>
    </row>
    <row r="38" spans="1:7" x14ac:dyDescent="0.3">
      <c r="A38" s="1863" t="s">
        <v>1117</v>
      </c>
      <c r="B38" s="1861">
        <f>+B34*1.2</f>
        <v>263294.39999999997</v>
      </c>
      <c r="C38" s="1069" t="s">
        <v>1119</v>
      </c>
      <c r="D38" s="1070">
        <f>+D39/$B$20</f>
        <v>0.55310355086416341</v>
      </c>
      <c r="E38" s="1071">
        <f t="shared" ref="E38:G38" si="22">+E39/$B$20</f>
        <v>0.58671879609637823</v>
      </c>
      <c r="F38" s="1071">
        <f t="shared" si="22"/>
        <v>0.62091840342954974</v>
      </c>
      <c r="G38" s="1072">
        <f t="shared" si="22"/>
        <v>0.65564438085460086</v>
      </c>
    </row>
    <row r="39" spans="1:7" x14ac:dyDescent="0.3">
      <c r="A39" s="1863"/>
      <c r="B39" s="1861"/>
      <c r="C39" s="1065" t="s">
        <v>1120</v>
      </c>
      <c r="D39" s="1066">
        <f>+D29</f>
        <v>145629.06756264938</v>
      </c>
      <c r="E39" s="1067">
        <f t="shared" ref="E39:G39" si="23">+E29</f>
        <v>154479.77338691821</v>
      </c>
      <c r="F39" s="1067">
        <f t="shared" si="23"/>
        <v>163484.33847994122</v>
      </c>
      <c r="G39" s="1068">
        <f t="shared" si="23"/>
        <v>172627.49387048359</v>
      </c>
    </row>
    <row r="40" spans="1:7" x14ac:dyDescent="0.3">
      <c r="A40" s="1863" t="s">
        <v>1118</v>
      </c>
      <c r="B40" s="1861">
        <f>+B34*1.3</f>
        <v>285235.60000000003</v>
      </c>
      <c r="C40" s="1069" t="s">
        <v>1119</v>
      </c>
      <c r="D40" s="1070">
        <f>+D41/$B$22</f>
        <v>0.51055712387461227</v>
      </c>
      <c r="E40" s="1071">
        <f t="shared" ref="E40:G40" si="24">+E41/$B$22</f>
        <v>0.54158658101204127</v>
      </c>
      <c r="F40" s="1071">
        <f t="shared" si="24"/>
        <v>0.57315544931958418</v>
      </c>
      <c r="G40" s="1072">
        <f t="shared" si="24"/>
        <v>0.60521019771193907</v>
      </c>
    </row>
    <row r="41" spans="1:7" ht="15" thickBot="1" x14ac:dyDescent="0.35">
      <c r="A41" s="1866"/>
      <c r="B41" s="1862"/>
      <c r="C41" s="1073" t="s">
        <v>1120</v>
      </c>
      <c r="D41" s="1074">
        <f>+D29</f>
        <v>145629.06756264938</v>
      </c>
      <c r="E41" s="1075">
        <f t="shared" ref="E41:G41" si="25">+E29</f>
        <v>154479.77338691821</v>
      </c>
      <c r="F41" s="1075">
        <f t="shared" si="25"/>
        <v>163484.33847994122</v>
      </c>
      <c r="G41" s="1076">
        <f t="shared" si="25"/>
        <v>172627.49387048359</v>
      </c>
    </row>
    <row r="42" spans="1:7" x14ac:dyDescent="0.3">
      <c r="A42" s="1082"/>
      <c r="B42" s="1078"/>
      <c r="C42" s="1038"/>
      <c r="D42" s="1079"/>
      <c r="E42" s="1079"/>
      <c r="F42" s="1079"/>
      <c r="G42" s="1079"/>
    </row>
    <row r="43" spans="1:7" x14ac:dyDescent="0.3">
      <c r="A43" s="1083"/>
      <c r="B43" s="1038"/>
      <c r="C43" s="1038"/>
      <c r="D43" s="1038"/>
      <c r="E43" s="1038"/>
      <c r="F43" s="1038"/>
      <c r="G43" s="1038"/>
    </row>
    <row r="44" spans="1:7" ht="28.5" customHeight="1" x14ac:dyDescent="0.3">
      <c r="A44" s="1858" t="s">
        <v>1511</v>
      </c>
      <c r="B44" s="1858"/>
      <c r="C44" s="1858"/>
      <c r="D44" s="1858"/>
      <c r="E44" s="1858"/>
      <c r="F44" s="1858"/>
      <c r="G44" s="1858"/>
    </row>
    <row r="45" spans="1:7" x14ac:dyDescent="0.3">
      <c r="A45" s="1038"/>
      <c r="B45" s="1038"/>
      <c r="C45" s="1038"/>
      <c r="D45" s="1038"/>
      <c r="E45" s="1038"/>
      <c r="F45" s="1038"/>
      <c r="G45" s="1038"/>
    </row>
    <row r="46" spans="1:7" ht="30" customHeight="1" x14ac:dyDescent="0.3">
      <c r="A46" s="1859" t="s">
        <v>1124</v>
      </c>
      <c r="B46" s="1859"/>
      <c r="C46" s="1859"/>
      <c r="D46" s="1859"/>
      <c r="E46" s="1859"/>
      <c r="F46" s="1859"/>
      <c r="G46" s="1859"/>
    </row>
    <row r="48" spans="1:7" ht="22.5" customHeight="1" x14ac:dyDescent="0.35">
      <c r="A48" s="1084" t="s">
        <v>1122</v>
      </c>
      <c r="B48" s="1085"/>
      <c r="C48" s="1085"/>
      <c r="D48" s="1085"/>
      <c r="E48" s="1085"/>
      <c r="F48" s="1085"/>
      <c r="G48" s="1085"/>
    </row>
    <row r="49" spans="1:7" ht="22.5" customHeight="1" x14ac:dyDescent="0.35">
      <c r="A49" s="1084" t="s">
        <v>337</v>
      </c>
      <c r="B49" s="1085"/>
      <c r="C49" s="1085"/>
      <c r="D49" s="1086"/>
      <c r="E49" s="1085"/>
      <c r="F49" s="1085"/>
      <c r="G49" s="1085"/>
    </row>
    <row r="50" spans="1:7" ht="22.5" customHeight="1" x14ac:dyDescent="0.35">
      <c r="A50" s="1084" t="s">
        <v>1123</v>
      </c>
      <c r="B50" s="1085"/>
      <c r="C50" s="1085"/>
      <c r="D50" s="1085"/>
      <c r="E50" s="1085"/>
      <c r="F50" s="1085"/>
      <c r="G50" s="1085"/>
    </row>
    <row r="51" spans="1:7" ht="15" x14ac:dyDescent="0.35">
      <c r="A51" s="1087"/>
      <c r="B51" s="1085"/>
      <c r="C51" s="1085"/>
      <c r="D51" s="1085"/>
      <c r="E51" s="1085"/>
      <c r="F51" s="1085"/>
      <c r="G51" s="1085"/>
    </row>
    <row r="52" spans="1:7" ht="15" x14ac:dyDescent="0.35">
      <c r="A52" s="1088" t="s">
        <v>1419</v>
      </c>
      <c r="B52" s="1085"/>
      <c r="C52" s="1085"/>
      <c r="D52" s="1085"/>
      <c r="E52" s="1089"/>
      <c r="F52" s="1089"/>
      <c r="G52" s="1085"/>
    </row>
    <row r="53" spans="1:7" x14ac:dyDescent="0.3">
      <c r="A53" s="1085"/>
      <c r="B53" s="1085"/>
      <c r="C53" s="1085"/>
      <c r="D53" s="1085"/>
      <c r="E53" s="1860" t="s">
        <v>339</v>
      </c>
      <c r="F53" s="1860"/>
      <c r="G53" s="1085"/>
    </row>
    <row r="56" spans="1:7" hidden="1" x14ac:dyDescent="0.3"/>
    <row r="57" spans="1:7" hidden="1" x14ac:dyDescent="0.3"/>
    <row r="58" spans="1:7" hidden="1" x14ac:dyDescent="0.3"/>
    <row r="59" spans="1:7" hidden="1" x14ac:dyDescent="0.3"/>
    <row r="60" spans="1:7" hidden="1" x14ac:dyDescent="0.3"/>
    <row r="61" spans="1:7" hidden="1" x14ac:dyDescent="0.3"/>
    <row r="62" spans="1:7" hidden="1" x14ac:dyDescent="0.3"/>
    <row r="63" spans="1:7" hidden="1" x14ac:dyDescent="0.3"/>
    <row r="64" spans="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sheetData>
  <sheetProtection algorithmName="SHA-512" hashValue="ynZeoyBzz/GO89BkNIRaJq/6tOhsiD59zHqj3Z/BhB4JIcmnnDX7wrM+pTXxULdgyz5N0matjV/+0VjxRrXDeQ==" saltValue="M70n68zqsQ4Rke5gs9b09g==" spinCount="100000" sheet="1" objects="1" scenarios="1"/>
  <mergeCells count="37">
    <mergeCell ref="A38:A39"/>
    <mergeCell ref="B38:B39"/>
    <mergeCell ref="A40:A41"/>
    <mergeCell ref="B40:B41"/>
    <mergeCell ref="A32:A33"/>
    <mergeCell ref="B32:B33"/>
    <mergeCell ref="A34:A35"/>
    <mergeCell ref="B34:B35"/>
    <mergeCell ref="A36:A37"/>
    <mergeCell ref="B36:B37"/>
    <mergeCell ref="A27:B27"/>
    <mergeCell ref="A28:A29"/>
    <mergeCell ref="B28:B29"/>
    <mergeCell ref="A30:A31"/>
    <mergeCell ref="B30:B31"/>
    <mergeCell ref="A1:G1"/>
    <mergeCell ref="A3:G3"/>
    <mergeCell ref="D8:G8"/>
    <mergeCell ref="A9:B9"/>
    <mergeCell ref="A10:A11"/>
    <mergeCell ref="B10:B11"/>
    <mergeCell ref="A44:G44"/>
    <mergeCell ref="A46:G46"/>
    <mergeCell ref="E53:F53"/>
    <mergeCell ref="B12:B13"/>
    <mergeCell ref="B14:B15"/>
    <mergeCell ref="B16:B17"/>
    <mergeCell ref="B18:B19"/>
    <mergeCell ref="B20:B21"/>
    <mergeCell ref="B22:B23"/>
    <mergeCell ref="A12:A13"/>
    <mergeCell ref="A14:A15"/>
    <mergeCell ref="A16:A17"/>
    <mergeCell ref="A18:A19"/>
    <mergeCell ref="A20:A21"/>
    <mergeCell ref="A22:A23"/>
    <mergeCell ref="D26:G26"/>
  </mergeCells>
  <pageMargins left="0.59055118110236227" right="0.59055118110236227" top="0.74803149606299213" bottom="0.74803149606299213" header="0.31496062992125984" footer="0.31496062992125984"/>
  <pageSetup paperSize="9" scale="58" orientation="portrait" r:id="rId1"/>
  <headerFooter>
    <oddHeader>&amp;L&amp;G</oddHeader>
  </headerFooter>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paraméterek!$A$177:$A$181</xm:f>
          </x14:formula1>
          <xm:sqref>B5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72</vt:i4>
      </vt:variant>
    </vt:vector>
  </HeadingPairs>
  <TitlesOfParts>
    <vt:vector size="93" baseType="lpstr">
      <vt:lpstr>Hirdetmény</vt:lpstr>
      <vt:lpstr>egyszerűsített_kalkulátor</vt:lpstr>
      <vt:lpstr>komplex kalkulátor</vt:lpstr>
      <vt:lpstr>paraméterek</vt:lpstr>
      <vt:lpstr>tr</vt:lpstr>
      <vt:lpstr>Ált tájék</vt:lpstr>
      <vt:lpstr>Személyes tájék</vt:lpstr>
      <vt:lpstr>Jz.kötelezett tájék</vt:lpstr>
      <vt:lpstr>Törl.r_Jöv változása_tájék</vt:lpstr>
      <vt:lpstr>Előterjesztés</vt:lpstr>
      <vt:lpstr>Kalkulációs adatlap</vt:lpstr>
      <vt:lpstr>Kölcsön adatai_igény</vt:lpstr>
      <vt:lpstr>Igénylő adatai_igény</vt:lpstr>
      <vt:lpstr>Ingatlan adatai_igény</vt:lpstr>
      <vt:lpstr>munkáltatói</vt:lpstr>
      <vt:lpstr>Termékösszehasonlító tábla</vt:lpstr>
      <vt:lpstr>jövedelemtípusok</vt:lpstr>
      <vt:lpstr>Településlista</vt:lpstr>
      <vt:lpstr>Benyújtandó dok</vt:lpstr>
      <vt:lpstr>Csatolt dokumentumok</vt:lpstr>
      <vt:lpstr>Munka1</vt:lpstr>
      <vt:lpstr>admindij</vt:lpstr>
      <vt:lpstr>aktualisbubor</vt:lpstr>
      <vt:lpstr>deviza</vt:lpstr>
      <vt:lpstr>egyébjöv</vt:lpstr>
      <vt:lpstr>értékesíthetőség</vt:lpstr>
      <vt:lpstr>fedezetbejegyzesidij</vt:lpstr>
      <vt:lpstr>fedezetertekelesidij</vt:lpstr>
      <vt:lpstr>folyjut</vt:lpstr>
      <vt:lpstr>folyószámla</vt:lpstr>
      <vt:lpstr>gyerekszám</vt:lpstr>
      <vt:lpstr>haromotvenfelett</vt:lpstr>
      <vt:lpstr>haromotvenkedvezmeny</vt:lpstr>
      <vt:lpstr>havimegtak</vt:lpstr>
      <vt:lpstr>hitelcél</vt:lpstr>
      <vt:lpstr>hitelek</vt:lpstr>
      <vt:lpstr>igazolás</vt:lpstr>
      <vt:lpstr>igazolás_doksi</vt:lpstr>
      <vt:lpstr>igennem</vt:lpstr>
      <vt:lpstr>ingatlan</vt:lpstr>
      <vt:lpstr>ingatlanjogi</vt:lpstr>
      <vt:lpstr>ingbesorolás</vt:lpstr>
      <vt:lpstr>jöv</vt:lpstr>
      <vt:lpstr>jövig</vt:lpstr>
      <vt:lpstr>jtm400alatt</vt:lpstr>
      <vt:lpstr>jtm400felett</vt:lpstr>
      <vt:lpstr>jtmhitelcél</vt:lpstr>
      <vt:lpstr>KHR</vt:lpstr>
      <vt:lpstr>kiváltás</vt:lpstr>
      <vt:lpstr>kompl_haromotvenfelett</vt:lpstr>
      <vt:lpstr>kompl_rendszeresjöv</vt:lpstr>
      <vt:lpstr>kompl_tizmilliofelett</vt:lpstr>
      <vt:lpstr>lakáscélú</vt:lpstr>
      <vt:lpstr>létmin</vt:lpstr>
      <vt:lpstr>meghit</vt:lpstr>
      <vt:lpstr>morál</vt:lpstr>
      <vt:lpstr>munka</vt:lpstr>
      <vt:lpstr>munkabérátutaláskedv</vt:lpstr>
      <vt:lpstr>nyelvismeret</vt:lpstr>
      <vt:lpstr>'Benyújtandó dok'!Nyomtatási_terület</vt:lpstr>
      <vt:lpstr>Hirdetmény!Nyomtatási_terület</vt:lpstr>
      <vt:lpstr>'Igénylő adatai_igény'!Nyomtatási_terület</vt:lpstr>
      <vt:lpstr>'Ingatlan adatai_igény'!Nyomtatási_terület</vt:lpstr>
      <vt:lpstr>'komplex kalkulátor'!Nyomtatási_terület</vt:lpstr>
      <vt:lpstr>'Személyes tájék'!Nyomtatási_terület</vt:lpstr>
      <vt:lpstr>'Ált tájék'!Print_Area</vt:lpstr>
      <vt:lpstr>egyszerűsített_kalkulátor!Print_Area</vt:lpstr>
      <vt:lpstr>Hirdetmény!Print_Area</vt:lpstr>
      <vt:lpstr>'Igénylő adatai_igény'!Print_Area</vt:lpstr>
      <vt:lpstr>'Ingatlan adatai_igény'!Print_Area</vt:lpstr>
      <vt:lpstr>'Jz.kötelezett tájék'!Print_Area</vt:lpstr>
      <vt:lpstr>'Kalkulációs adatlap'!Print_Area</vt:lpstr>
      <vt:lpstr>'komplex kalkulátor'!Print_Area</vt:lpstr>
      <vt:lpstr>'Kölcsön adatai_igény'!Print_Area</vt:lpstr>
      <vt:lpstr>munkáltatói!Print_Area</vt:lpstr>
      <vt:lpstr>'Személyes tájék'!Print_Area</vt:lpstr>
      <vt:lpstr>puffer</vt:lpstr>
      <vt:lpstr>rendszeresjöv</vt:lpstr>
      <vt:lpstr>'Személyes tájék'!sor13idrészlet_komplex</vt:lpstr>
      <vt:lpstr>'Személyes tájék'!sor13ikrészlet</vt:lpstr>
      <vt:lpstr>szabfelár</vt:lpstr>
      <vt:lpstr>számlacsomagok</vt:lpstr>
      <vt:lpstr>szerepek</vt:lpstr>
      <vt:lpstr>teherstat</vt:lpstr>
      <vt:lpstr>településlista</vt:lpstr>
      <vt:lpstr>terhek</vt:lpstr>
      <vt:lpstr>termék</vt:lpstr>
      <vt:lpstr>tizmilliofelett</vt:lpstr>
      <vt:lpstr>tizmilliokedvezmeny</vt:lpstr>
      <vt:lpstr>tullapktg</vt:lpstr>
      <vt:lpstr>ügyérték</vt:lpstr>
      <vt:lpstr>végzettség</vt:lpstr>
      <vt:lpstr>vonatkozóingatlan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Virág Olivér</dc:creator>
  <cp:lastModifiedBy>Virág Olivér</cp:lastModifiedBy>
  <cp:lastPrinted>2023-08-17T11:40:26Z</cp:lastPrinted>
  <dcterms:created xsi:type="dcterms:W3CDTF">2022-08-18T13:02:35Z</dcterms:created>
  <dcterms:modified xsi:type="dcterms:W3CDTF">2023-08-17T12:02:41Z</dcterms:modified>
</cp:coreProperties>
</file>